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940" yWindow="460" windowWidth="32660" windowHeight="20540" tabRatio="500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'Bulges_Constr_NonXtal_GPCRdb#'!$A$1:$AE$411</definedName>
    <definedName name="_xlnm._FilterDatabase" localSheetId="5" hidden="1">'SegEnds_NonXtal_BW#'!$A$1:$AL$411</definedName>
    <definedName name="_xlnm._FilterDatabase" localSheetId="0" hidden="1">'SegEnds_Xtal_Prot#'!$A$1:$CT$363</definedName>
    <definedName name="GPCRdb_alignment" localSheetId="8">Seqs!$A$413:$B$414</definedName>
    <definedName name="human_GPCR_fasta.fas" localSheetId="8">Seqs!$A$8:$B$411</definedName>
    <definedName name="xtal_templates_1" localSheetId="10">Xtal_Templ!$A$2:$B$411</definedName>
    <definedName name="xtal_templates_3" localSheetId="10">Xtal_Templ!$A$2:$B$411</definedName>
    <definedName name="xtal_templates_4" localSheetId="10">Xtal_Templ!$A$2:$B$411</definedName>
    <definedName name="Z_3E3401AF_8459_8641_BD70_AD04F80E86ED_.wvu.FilterData" localSheetId="7" hidden="1">'Bulges_Constr_NonXtal_GPCRdb#'!$A$1:$AE$411</definedName>
    <definedName name="Z_3E3401AF_8459_8641_BD70_AD04F80E86ED_.wvu.FilterData" localSheetId="5" hidden="1">'SegEnds_NonXtal_BW#'!$A$1:$AL$411</definedName>
    <definedName name="Z_3E3401AF_8459_8641_BD70_AD04F80E86ED_.wvu.FilterData" localSheetId="0" hidden="1">'SegEnds_Xtal_Prot#'!$A$1:$CT$363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66" i="1" l="1"/>
  <c r="D366" i="1"/>
  <c r="F366" i="1"/>
  <c r="H366" i="1"/>
  <c r="J366" i="1"/>
  <c r="L366" i="1"/>
  <c r="N366" i="1"/>
  <c r="P366" i="1"/>
  <c r="R366" i="1"/>
  <c r="T366" i="1"/>
  <c r="V366" i="1"/>
  <c r="X366" i="1"/>
  <c r="Z366" i="1"/>
  <c r="AB366" i="1"/>
  <c r="AD366" i="1"/>
  <c r="AF366" i="1"/>
  <c r="AH366" i="1"/>
  <c r="AJ366" i="1"/>
  <c r="AL366" i="1"/>
  <c r="AN366" i="1"/>
  <c r="AP366" i="1"/>
  <c r="AR366" i="1"/>
  <c r="AT366" i="1"/>
  <c r="AV366" i="1"/>
  <c r="AX366" i="1"/>
  <c r="AZ366" i="1"/>
  <c r="BA366" i="1"/>
  <c r="BB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BC366" i="1"/>
  <c r="CT36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Z127" i="1"/>
  <c r="BA127" i="1"/>
  <c r="BB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BC127" i="1"/>
  <c r="CT127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Z82" i="1"/>
  <c r="BA82" i="1"/>
  <c r="BB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BC82" i="1"/>
  <c r="CT82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Z72" i="1"/>
  <c r="BA72" i="1"/>
  <c r="BB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BC72" i="1"/>
  <c r="CT72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Z86" i="1"/>
  <c r="BA86" i="1"/>
  <c r="BB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BC86" i="1"/>
  <c r="CT86" i="1"/>
  <c r="A343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AR343" i="1"/>
  <c r="AT343" i="1"/>
  <c r="AV343" i="1"/>
  <c r="AX343" i="1"/>
  <c r="AZ343" i="1"/>
  <c r="BA343" i="1"/>
  <c r="BB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BC343" i="1"/>
  <c r="CT343" i="1"/>
  <c r="A342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AR342" i="1"/>
  <c r="AT342" i="1"/>
  <c r="AV342" i="1"/>
  <c r="AX342" i="1"/>
  <c r="AZ342" i="1"/>
  <c r="BA342" i="1"/>
  <c r="BB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BC342" i="1"/>
  <c r="CT342" i="1"/>
  <c r="A341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AR341" i="1"/>
  <c r="AT341" i="1"/>
  <c r="AV341" i="1"/>
  <c r="AX341" i="1"/>
  <c r="AZ341" i="1"/>
  <c r="BA341" i="1"/>
  <c r="BB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BC341" i="1"/>
  <c r="CT341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Z69" i="1"/>
  <c r="BA69" i="1"/>
  <c r="BB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BC69" i="1"/>
  <c r="CT69" i="1"/>
  <c r="H205" i="1"/>
  <c r="A205" i="1"/>
  <c r="D205" i="1"/>
  <c r="F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BC205" i="1"/>
  <c r="CT205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Z204" i="1"/>
  <c r="BA204" i="1"/>
  <c r="BB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BC204" i="1"/>
  <c r="CT204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Z203" i="1"/>
  <c r="BA203" i="1"/>
  <c r="BB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BC203" i="1"/>
  <c r="CT203" i="1"/>
  <c r="A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D70" i="2"/>
  <c r="B166" i="4"/>
  <c r="D166" i="4"/>
  <c r="E190" i="5"/>
  <c r="D39" i="2"/>
  <c r="B167" i="4"/>
  <c r="D167" i="4"/>
  <c r="E191" i="5"/>
  <c r="AC71" i="2"/>
  <c r="AD71" i="2"/>
  <c r="AE71" i="2"/>
  <c r="H70" i="2"/>
  <c r="H166" i="4"/>
  <c r="K190" i="5"/>
  <c r="H39" i="2"/>
  <c r="H167" i="4"/>
  <c r="K191" i="5"/>
  <c r="AF71" i="2"/>
  <c r="AG71" i="2"/>
  <c r="AH71" i="2"/>
  <c r="AI71" i="2"/>
  <c r="AJ71" i="2"/>
  <c r="AK71" i="2"/>
  <c r="M70" i="2"/>
  <c r="M166" i="4"/>
  <c r="R190" i="5"/>
  <c r="L70" i="2"/>
  <c r="L166" i="4"/>
  <c r="Q190" i="5"/>
  <c r="M39" i="2"/>
  <c r="M167" i="4"/>
  <c r="R191" i="5"/>
  <c r="L39" i="2"/>
  <c r="L167" i="4"/>
  <c r="Q191" i="5"/>
  <c r="AL71" i="2"/>
  <c r="AM71" i="2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Z201" i="1"/>
  <c r="BA201" i="1"/>
  <c r="BB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BC201" i="1"/>
  <c r="CT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Z200" i="1"/>
  <c r="BA200" i="1"/>
  <c r="BB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BC200" i="1"/>
  <c r="CT200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Z199" i="1"/>
  <c r="BA199" i="1"/>
  <c r="BB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BC199" i="1"/>
  <c r="CT199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BC197" i="1"/>
  <c r="BC198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Z198" i="1"/>
  <c r="BA198" i="1"/>
  <c r="BB198" i="1"/>
  <c r="S70" i="2"/>
  <c r="S166" i="4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209" i="1"/>
  <c r="C70" i="2"/>
  <c r="E70" i="2"/>
  <c r="F70" i="2"/>
  <c r="G70" i="2"/>
  <c r="I70" i="2"/>
  <c r="J70" i="2"/>
  <c r="K70" i="2"/>
  <c r="N70" i="2"/>
  <c r="O70" i="2"/>
  <c r="P70" i="2"/>
  <c r="Q70" i="2"/>
  <c r="R70" i="2"/>
  <c r="T70" i="2"/>
  <c r="U70" i="2"/>
  <c r="V70" i="2"/>
  <c r="W70" i="2"/>
  <c r="X70" i="2"/>
  <c r="Y70" i="2"/>
  <c r="Z70" i="2"/>
  <c r="AA70" i="2"/>
  <c r="AB70" i="2"/>
  <c r="D69" i="2"/>
  <c r="B146" i="4"/>
  <c r="D146" i="4"/>
  <c r="E43" i="5"/>
  <c r="D57" i="2"/>
  <c r="AC70" i="2"/>
  <c r="AD70" i="2"/>
  <c r="AE70" i="2"/>
  <c r="H69" i="2"/>
  <c r="H146" i="4"/>
  <c r="K43" i="5"/>
  <c r="H57" i="2"/>
  <c r="AF70" i="2"/>
  <c r="AG70" i="2"/>
  <c r="AH70" i="2"/>
  <c r="AI70" i="2"/>
  <c r="AJ70" i="2"/>
  <c r="AK70" i="2"/>
  <c r="M69" i="2"/>
  <c r="M146" i="4"/>
  <c r="R43" i="5"/>
  <c r="L69" i="2"/>
  <c r="L146" i="4"/>
  <c r="Q43" i="5"/>
  <c r="L57" i="2"/>
  <c r="AL70" i="2"/>
  <c r="AM70" i="2"/>
  <c r="AH196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J196" i="1"/>
  <c r="AL196" i="1"/>
  <c r="AN196" i="1"/>
  <c r="AP196" i="1"/>
  <c r="AR196" i="1"/>
  <c r="AT196" i="1"/>
  <c r="AV196" i="1"/>
  <c r="AX196" i="1"/>
  <c r="AZ196" i="1"/>
  <c r="BA196" i="1"/>
  <c r="BB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BC196" i="1"/>
  <c r="CT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Z197" i="1"/>
  <c r="BA197" i="1"/>
  <c r="BB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T197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Z119" i="1"/>
  <c r="BA119" i="1"/>
  <c r="BB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BC119" i="1"/>
  <c r="CT119" i="1"/>
  <c r="C69" i="2"/>
  <c r="E69" i="2"/>
  <c r="F69" i="2"/>
  <c r="G69" i="2"/>
  <c r="I69" i="2"/>
  <c r="J69" i="2"/>
  <c r="K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D68" i="2"/>
  <c r="B65" i="4"/>
  <c r="D65" i="4"/>
  <c r="E91" i="5"/>
  <c r="D9" i="2"/>
  <c r="AC69" i="2"/>
  <c r="AD69" i="2"/>
  <c r="AE69" i="2"/>
  <c r="L91" i="5"/>
  <c r="K91" i="5"/>
  <c r="H9" i="2"/>
  <c r="AF69" i="2"/>
  <c r="AG69" i="2"/>
  <c r="AH69" i="2"/>
  <c r="AI69" i="2"/>
  <c r="AJ69" i="2"/>
  <c r="O91" i="5"/>
  <c r="N91" i="5"/>
  <c r="AK69" i="2"/>
  <c r="L68" i="2"/>
  <c r="L65" i="4"/>
  <c r="Q91" i="5"/>
  <c r="M9" i="2"/>
  <c r="L9" i="2"/>
  <c r="AL69" i="2"/>
  <c r="AM69" i="2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Z8" i="1"/>
  <c r="BA8" i="1"/>
  <c r="BB8" i="1"/>
  <c r="CH8" i="1"/>
  <c r="CI8" i="1"/>
  <c r="CJ8" i="1"/>
  <c r="CK8" i="1"/>
  <c r="CL8" i="1"/>
  <c r="CM8" i="1"/>
  <c r="CN8" i="1"/>
  <c r="CO8" i="1"/>
  <c r="CP8" i="1"/>
  <c r="CQ8" i="1"/>
  <c r="CR8" i="1"/>
  <c r="CS8" i="1"/>
  <c r="BV8" i="1"/>
  <c r="BW8" i="1"/>
  <c r="BX8" i="1"/>
  <c r="BY8" i="1"/>
  <c r="BZ8" i="1"/>
  <c r="CA8" i="1"/>
  <c r="CB8" i="1"/>
  <c r="CC8" i="1"/>
  <c r="CD8" i="1"/>
  <c r="CE8" i="1"/>
  <c r="CF8" i="1"/>
  <c r="CG8" i="1"/>
  <c r="BC8" i="1"/>
  <c r="CT8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Z7" i="1"/>
  <c r="BA7" i="1"/>
  <c r="BB7" i="1"/>
  <c r="CH7" i="1"/>
  <c r="CI7" i="1"/>
  <c r="CJ7" i="1"/>
  <c r="CK7" i="1"/>
  <c r="CL7" i="1"/>
  <c r="CM7" i="1"/>
  <c r="CN7" i="1"/>
  <c r="CO7" i="1"/>
  <c r="CP7" i="1"/>
  <c r="CQ7" i="1"/>
  <c r="CR7" i="1"/>
  <c r="CS7" i="1"/>
  <c r="BV7" i="1"/>
  <c r="BW7" i="1"/>
  <c r="BX7" i="1"/>
  <c r="BY7" i="1"/>
  <c r="BZ7" i="1"/>
  <c r="CA7" i="1"/>
  <c r="CB7" i="1"/>
  <c r="CC7" i="1"/>
  <c r="CD7" i="1"/>
  <c r="CE7" i="1"/>
  <c r="CF7" i="1"/>
  <c r="CG7" i="1"/>
  <c r="BC7" i="1"/>
  <c r="CT7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W68" i="2"/>
  <c r="W65" i="4"/>
  <c r="C68" i="2"/>
  <c r="E68" i="2"/>
  <c r="F68" i="2"/>
  <c r="G68" i="2"/>
  <c r="H68" i="2"/>
  <c r="I68" i="2"/>
  <c r="J68" i="2"/>
  <c r="K68" i="2"/>
  <c r="M68" i="2"/>
  <c r="N68" i="2"/>
  <c r="O68" i="2"/>
  <c r="P68" i="2"/>
  <c r="Q68" i="2"/>
  <c r="R68" i="2"/>
  <c r="S68" i="2"/>
  <c r="T68" i="2"/>
  <c r="U68" i="2"/>
  <c r="V68" i="2"/>
  <c r="X68" i="2"/>
  <c r="Y68" i="2"/>
  <c r="Z68" i="2"/>
  <c r="AA68" i="2"/>
  <c r="AB68" i="2"/>
  <c r="D67" i="2"/>
  <c r="B370" i="4"/>
  <c r="D52" i="2"/>
  <c r="D370" i="4"/>
  <c r="E374" i="5"/>
  <c r="AC68" i="2"/>
  <c r="AD68" i="2"/>
  <c r="AE68" i="2"/>
  <c r="I67" i="2"/>
  <c r="I52" i="2"/>
  <c r="I370" i="4"/>
  <c r="L374" i="5"/>
  <c r="H67" i="2"/>
  <c r="H52" i="2"/>
  <c r="H370" i="4"/>
  <c r="K374" i="5"/>
  <c r="AF68" i="2"/>
  <c r="AG68" i="2"/>
  <c r="AH68" i="2"/>
  <c r="AI68" i="2"/>
  <c r="AJ68" i="2"/>
  <c r="K67" i="2"/>
  <c r="K52" i="2"/>
  <c r="K370" i="4"/>
  <c r="O374" i="5"/>
  <c r="J67" i="2"/>
  <c r="J52" i="2"/>
  <c r="J370" i="4"/>
  <c r="N374" i="5"/>
  <c r="AK68" i="2"/>
  <c r="M67" i="2"/>
  <c r="M52" i="2"/>
  <c r="M370" i="4"/>
  <c r="R374" i="5"/>
  <c r="L67" i="2"/>
  <c r="L52" i="2"/>
  <c r="L370" i="4"/>
  <c r="Q374" i="5"/>
  <c r="AL68" i="2"/>
  <c r="AM68" i="2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Z166" i="1"/>
  <c r="BA166" i="1"/>
  <c r="BB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BC166" i="1"/>
  <c r="CT166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Z165" i="1"/>
  <c r="BA165" i="1"/>
  <c r="BB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BC165" i="1"/>
  <c r="CT165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Z164" i="1"/>
  <c r="BA164" i="1"/>
  <c r="BB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BC164" i="1"/>
  <c r="CT164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Z133" i="1"/>
  <c r="BA133" i="1"/>
  <c r="BB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BC133" i="1"/>
  <c r="CT133" i="1"/>
  <c r="A354" i="1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A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A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A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A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A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A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A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A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A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A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A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A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A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A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A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A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A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A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A326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A327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A328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A329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A330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A331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A332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A333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A334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A335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AR335" i="1"/>
  <c r="AT335" i="1"/>
  <c r="AV335" i="1"/>
  <c r="AX335" i="1"/>
  <c r="A336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AR336" i="1"/>
  <c r="AT336" i="1"/>
  <c r="AV336" i="1"/>
  <c r="AX336" i="1"/>
  <c r="A337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AR337" i="1"/>
  <c r="AT337" i="1"/>
  <c r="AV337" i="1"/>
  <c r="AX337" i="1"/>
  <c r="A338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AR338" i="1"/>
  <c r="AT338" i="1"/>
  <c r="AV338" i="1"/>
  <c r="AX338" i="1"/>
  <c r="A339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AR339" i="1"/>
  <c r="AT339" i="1"/>
  <c r="AV339" i="1"/>
  <c r="AX339" i="1"/>
  <c r="A340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AR340" i="1"/>
  <c r="AT340" i="1"/>
  <c r="AV340" i="1"/>
  <c r="AX340" i="1"/>
  <c r="A344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AR344" i="1"/>
  <c r="AT344" i="1"/>
  <c r="AV344" i="1"/>
  <c r="AX344" i="1"/>
  <c r="A345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AR345" i="1"/>
  <c r="AT345" i="1"/>
  <c r="AV345" i="1"/>
  <c r="AX345" i="1"/>
  <c r="A346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AR346" i="1"/>
  <c r="AT346" i="1"/>
  <c r="AV346" i="1"/>
  <c r="AX346" i="1"/>
  <c r="A347" i="1"/>
  <c r="D347" i="1"/>
  <c r="F347" i="1"/>
  <c r="H347" i="1"/>
  <c r="J347" i="1"/>
  <c r="L347" i="1"/>
  <c r="N347" i="1"/>
  <c r="P347" i="1"/>
  <c r="R347" i="1"/>
  <c r="T347" i="1"/>
  <c r="V347" i="1"/>
  <c r="X347" i="1"/>
  <c r="Z347" i="1"/>
  <c r="AB347" i="1"/>
  <c r="AD347" i="1"/>
  <c r="AF347" i="1"/>
  <c r="AH347" i="1"/>
  <c r="AJ347" i="1"/>
  <c r="AL347" i="1"/>
  <c r="AN347" i="1"/>
  <c r="AP347" i="1"/>
  <c r="AR347" i="1"/>
  <c r="AT347" i="1"/>
  <c r="AV347" i="1"/>
  <c r="AX347" i="1"/>
  <c r="A348" i="1"/>
  <c r="D348" i="1"/>
  <c r="F348" i="1"/>
  <c r="H348" i="1"/>
  <c r="J348" i="1"/>
  <c r="L348" i="1"/>
  <c r="N348" i="1"/>
  <c r="P348" i="1"/>
  <c r="R348" i="1"/>
  <c r="T348" i="1"/>
  <c r="V348" i="1"/>
  <c r="X348" i="1"/>
  <c r="Z348" i="1"/>
  <c r="AB348" i="1"/>
  <c r="AD348" i="1"/>
  <c r="AF348" i="1"/>
  <c r="AH348" i="1"/>
  <c r="AJ348" i="1"/>
  <c r="AL348" i="1"/>
  <c r="AN348" i="1"/>
  <c r="AP348" i="1"/>
  <c r="AR348" i="1"/>
  <c r="AT348" i="1"/>
  <c r="AV348" i="1"/>
  <c r="AX348" i="1"/>
  <c r="A349" i="1"/>
  <c r="D349" i="1"/>
  <c r="F349" i="1"/>
  <c r="H349" i="1"/>
  <c r="J349" i="1"/>
  <c r="L349" i="1"/>
  <c r="N349" i="1"/>
  <c r="P349" i="1"/>
  <c r="R349" i="1"/>
  <c r="T349" i="1"/>
  <c r="V349" i="1"/>
  <c r="X349" i="1"/>
  <c r="Z349" i="1"/>
  <c r="AB349" i="1"/>
  <c r="AD349" i="1"/>
  <c r="AF349" i="1"/>
  <c r="AH349" i="1"/>
  <c r="AJ349" i="1"/>
  <c r="AL349" i="1"/>
  <c r="AN349" i="1"/>
  <c r="AP349" i="1"/>
  <c r="AR349" i="1"/>
  <c r="AT349" i="1"/>
  <c r="AV349" i="1"/>
  <c r="AX349" i="1"/>
  <c r="A350" i="1"/>
  <c r="D350" i="1"/>
  <c r="F350" i="1"/>
  <c r="H350" i="1"/>
  <c r="J350" i="1"/>
  <c r="L350" i="1"/>
  <c r="N350" i="1"/>
  <c r="P350" i="1"/>
  <c r="R350" i="1"/>
  <c r="T350" i="1"/>
  <c r="V350" i="1"/>
  <c r="X350" i="1"/>
  <c r="Z350" i="1"/>
  <c r="AB350" i="1"/>
  <c r="AD350" i="1"/>
  <c r="AF350" i="1"/>
  <c r="AH350" i="1"/>
  <c r="AJ350" i="1"/>
  <c r="AL350" i="1"/>
  <c r="AN350" i="1"/>
  <c r="AP350" i="1"/>
  <c r="AR350" i="1"/>
  <c r="AT350" i="1"/>
  <c r="AV350" i="1"/>
  <c r="AX350" i="1"/>
  <c r="A351" i="1"/>
  <c r="D351" i="1"/>
  <c r="F351" i="1"/>
  <c r="H351" i="1"/>
  <c r="J351" i="1"/>
  <c r="L351" i="1"/>
  <c r="N351" i="1"/>
  <c r="P351" i="1"/>
  <c r="R351" i="1"/>
  <c r="T351" i="1"/>
  <c r="V351" i="1"/>
  <c r="X351" i="1"/>
  <c r="Z351" i="1"/>
  <c r="AB351" i="1"/>
  <c r="AD351" i="1"/>
  <c r="AF351" i="1"/>
  <c r="AH351" i="1"/>
  <c r="AJ351" i="1"/>
  <c r="AL351" i="1"/>
  <c r="AN351" i="1"/>
  <c r="AP351" i="1"/>
  <c r="AR351" i="1"/>
  <c r="AT351" i="1"/>
  <c r="AV351" i="1"/>
  <c r="AX351" i="1"/>
  <c r="A352" i="1"/>
  <c r="D352" i="1"/>
  <c r="F352" i="1"/>
  <c r="H352" i="1"/>
  <c r="J352" i="1"/>
  <c r="L352" i="1"/>
  <c r="N352" i="1"/>
  <c r="P352" i="1"/>
  <c r="R352" i="1"/>
  <c r="T352" i="1"/>
  <c r="V352" i="1"/>
  <c r="X352" i="1"/>
  <c r="Z352" i="1"/>
  <c r="AB352" i="1"/>
  <c r="AD352" i="1"/>
  <c r="AF352" i="1"/>
  <c r="AH352" i="1"/>
  <c r="AJ352" i="1"/>
  <c r="AL352" i="1"/>
  <c r="AN352" i="1"/>
  <c r="AP352" i="1"/>
  <c r="AR352" i="1"/>
  <c r="AT352" i="1"/>
  <c r="AV352" i="1"/>
  <c r="AX352" i="1"/>
  <c r="A353" i="1"/>
  <c r="D353" i="1"/>
  <c r="F353" i="1"/>
  <c r="H353" i="1"/>
  <c r="J353" i="1"/>
  <c r="L353" i="1"/>
  <c r="N353" i="1"/>
  <c r="P353" i="1"/>
  <c r="R353" i="1"/>
  <c r="T353" i="1"/>
  <c r="V353" i="1"/>
  <c r="X353" i="1"/>
  <c r="Z353" i="1"/>
  <c r="AB353" i="1"/>
  <c r="AD353" i="1"/>
  <c r="AF353" i="1"/>
  <c r="AH353" i="1"/>
  <c r="AJ353" i="1"/>
  <c r="AL353" i="1"/>
  <c r="AN353" i="1"/>
  <c r="AP353" i="1"/>
  <c r="AR353" i="1"/>
  <c r="AT353" i="1"/>
  <c r="AV353" i="1"/>
  <c r="AX353" i="1"/>
  <c r="D354" i="1"/>
  <c r="F354" i="1"/>
  <c r="H354" i="1"/>
  <c r="J354" i="1"/>
  <c r="L354" i="1"/>
  <c r="N354" i="1"/>
  <c r="P354" i="1"/>
  <c r="R354" i="1"/>
  <c r="T354" i="1"/>
  <c r="V354" i="1"/>
  <c r="X354" i="1"/>
  <c r="Z354" i="1"/>
  <c r="AB354" i="1"/>
  <c r="AD354" i="1"/>
  <c r="AF354" i="1"/>
  <c r="AH354" i="1"/>
  <c r="AJ354" i="1"/>
  <c r="AL354" i="1"/>
  <c r="AN354" i="1"/>
  <c r="AP354" i="1"/>
  <c r="AR354" i="1"/>
  <c r="AT354" i="1"/>
  <c r="AV354" i="1"/>
  <c r="AX354" i="1"/>
  <c r="A355" i="1"/>
  <c r="D355" i="1"/>
  <c r="F355" i="1"/>
  <c r="H355" i="1"/>
  <c r="J355" i="1"/>
  <c r="L355" i="1"/>
  <c r="N355" i="1"/>
  <c r="P355" i="1"/>
  <c r="R355" i="1"/>
  <c r="T355" i="1"/>
  <c r="V355" i="1"/>
  <c r="X355" i="1"/>
  <c r="Z355" i="1"/>
  <c r="AB355" i="1"/>
  <c r="AD355" i="1"/>
  <c r="AF355" i="1"/>
  <c r="AH355" i="1"/>
  <c r="AJ355" i="1"/>
  <c r="AL355" i="1"/>
  <c r="AN355" i="1"/>
  <c r="AP355" i="1"/>
  <c r="AR355" i="1"/>
  <c r="AT355" i="1"/>
  <c r="AV355" i="1"/>
  <c r="AX355" i="1"/>
  <c r="A356" i="1"/>
  <c r="D356" i="1"/>
  <c r="F356" i="1"/>
  <c r="H356" i="1"/>
  <c r="J356" i="1"/>
  <c r="L356" i="1"/>
  <c r="N356" i="1"/>
  <c r="P356" i="1"/>
  <c r="R356" i="1"/>
  <c r="T356" i="1"/>
  <c r="V356" i="1"/>
  <c r="X356" i="1"/>
  <c r="Z356" i="1"/>
  <c r="AB356" i="1"/>
  <c r="AD356" i="1"/>
  <c r="AF356" i="1"/>
  <c r="AH356" i="1"/>
  <c r="AJ356" i="1"/>
  <c r="AL356" i="1"/>
  <c r="AN356" i="1"/>
  <c r="AP356" i="1"/>
  <c r="AR356" i="1"/>
  <c r="AT356" i="1"/>
  <c r="AV356" i="1"/>
  <c r="AX356" i="1"/>
  <c r="A357" i="1"/>
  <c r="D357" i="1"/>
  <c r="F357" i="1"/>
  <c r="H357" i="1"/>
  <c r="J357" i="1"/>
  <c r="L357" i="1"/>
  <c r="N357" i="1"/>
  <c r="P357" i="1"/>
  <c r="R357" i="1"/>
  <c r="T357" i="1"/>
  <c r="V357" i="1"/>
  <c r="X357" i="1"/>
  <c r="Z357" i="1"/>
  <c r="AB357" i="1"/>
  <c r="AD357" i="1"/>
  <c r="AF357" i="1"/>
  <c r="AH357" i="1"/>
  <c r="AJ357" i="1"/>
  <c r="AL357" i="1"/>
  <c r="AN357" i="1"/>
  <c r="AP357" i="1"/>
  <c r="AR357" i="1"/>
  <c r="AT357" i="1"/>
  <c r="AV357" i="1"/>
  <c r="AX357" i="1"/>
  <c r="A358" i="1"/>
  <c r="D358" i="1"/>
  <c r="F358" i="1"/>
  <c r="H358" i="1"/>
  <c r="J358" i="1"/>
  <c r="L358" i="1"/>
  <c r="N358" i="1"/>
  <c r="P358" i="1"/>
  <c r="R358" i="1"/>
  <c r="T358" i="1"/>
  <c r="V358" i="1"/>
  <c r="X358" i="1"/>
  <c r="Z358" i="1"/>
  <c r="AB358" i="1"/>
  <c r="AD358" i="1"/>
  <c r="AF358" i="1"/>
  <c r="AH358" i="1"/>
  <c r="AJ358" i="1"/>
  <c r="AL358" i="1"/>
  <c r="AN358" i="1"/>
  <c r="AP358" i="1"/>
  <c r="AR358" i="1"/>
  <c r="AT358" i="1"/>
  <c r="AV358" i="1"/>
  <c r="AX358" i="1"/>
  <c r="A359" i="1"/>
  <c r="D359" i="1"/>
  <c r="F359" i="1"/>
  <c r="H359" i="1"/>
  <c r="J359" i="1"/>
  <c r="L359" i="1"/>
  <c r="N359" i="1"/>
  <c r="P359" i="1"/>
  <c r="R359" i="1"/>
  <c r="T359" i="1"/>
  <c r="V359" i="1"/>
  <c r="X359" i="1"/>
  <c r="Z359" i="1"/>
  <c r="AB359" i="1"/>
  <c r="AD359" i="1"/>
  <c r="AF359" i="1"/>
  <c r="AH359" i="1"/>
  <c r="AJ359" i="1"/>
  <c r="AL359" i="1"/>
  <c r="AN359" i="1"/>
  <c r="AP359" i="1"/>
  <c r="AR359" i="1"/>
  <c r="AT359" i="1"/>
  <c r="AV359" i="1"/>
  <c r="AX359" i="1"/>
  <c r="A360" i="1"/>
  <c r="D360" i="1"/>
  <c r="F360" i="1"/>
  <c r="H360" i="1"/>
  <c r="J360" i="1"/>
  <c r="L360" i="1"/>
  <c r="N360" i="1"/>
  <c r="P360" i="1"/>
  <c r="R360" i="1"/>
  <c r="T360" i="1"/>
  <c r="V360" i="1"/>
  <c r="X360" i="1"/>
  <c r="Z360" i="1"/>
  <c r="AB360" i="1"/>
  <c r="AD360" i="1"/>
  <c r="AF360" i="1"/>
  <c r="AH360" i="1"/>
  <c r="AJ360" i="1"/>
  <c r="AL360" i="1"/>
  <c r="AN360" i="1"/>
  <c r="AP360" i="1"/>
  <c r="AR360" i="1"/>
  <c r="AT360" i="1"/>
  <c r="AV360" i="1"/>
  <c r="AX360" i="1"/>
  <c r="A361" i="1"/>
  <c r="D361" i="1"/>
  <c r="F361" i="1"/>
  <c r="H361" i="1"/>
  <c r="J361" i="1"/>
  <c r="L361" i="1"/>
  <c r="N361" i="1"/>
  <c r="P361" i="1"/>
  <c r="R361" i="1"/>
  <c r="T361" i="1"/>
  <c r="V361" i="1"/>
  <c r="X361" i="1"/>
  <c r="Z361" i="1"/>
  <c r="AB361" i="1"/>
  <c r="AD361" i="1"/>
  <c r="AF361" i="1"/>
  <c r="AH361" i="1"/>
  <c r="AJ361" i="1"/>
  <c r="AL361" i="1"/>
  <c r="AN361" i="1"/>
  <c r="AP361" i="1"/>
  <c r="AR361" i="1"/>
  <c r="AT361" i="1"/>
  <c r="AV361" i="1"/>
  <c r="AX361" i="1"/>
  <c r="A362" i="1"/>
  <c r="D362" i="1"/>
  <c r="F362" i="1"/>
  <c r="H362" i="1"/>
  <c r="J362" i="1"/>
  <c r="L362" i="1"/>
  <c r="N362" i="1"/>
  <c r="P362" i="1"/>
  <c r="R362" i="1"/>
  <c r="T362" i="1"/>
  <c r="V362" i="1"/>
  <c r="X362" i="1"/>
  <c r="Z362" i="1"/>
  <c r="AB362" i="1"/>
  <c r="AD362" i="1"/>
  <c r="AF362" i="1"/>
  <c r="AH362" i="1"/>
  <c r="AJ362" i="1"/>
  <c r="AL362" i="1"/>
  <c r="AN362" i="1"/>
  <c r="AP362" i="1"/>
  <c r="AR362" i="1"/>
  <c r="AT362" i="1"/>
  <c r="AV362" i="1"/>
  <c r="AX362" i="1"/>
  <c r="A363" i="1"/>
  <c r="D363" i="1"/>
  <c r="F363" i="1"/>
  <c r="H363" i="1"/>
  <c r="J363" i="1"/>
  <c r="L363" i="1"/>
  <c r="N363" i="1"/>
  <c r="P363" i="1"/>
  <c r="R363" i="1"/>
  <c r="T363" i="1"/>
  <c r="V363" i="1"/>
  <c r="X363" i="1"/>
  <c r="Z363" i="1"/>
  <c r="AB363" i="1"/>
  <c r="AD363" i="1"/>
  <c r="AF363" i="1"/>
  <c r="AH363" i="1"/>
  <c r="AJ363" i="1"/>
  <c r="AL363" i="1"/>
  <c r="AN363" i="1"/>
  <c r="AP363" i="1"/>
  <c r="AR363" i="1"/>
  <c r="AT363" i="1"/>
  <c r="AV363" i="1"/>
  <c r="AX363" i="1"/>
  <c r="A364" i="1"/>
  <c r="D364" i="1"/>
  <c r="F364" i="1"/>
  <c r="H364" i="1"/>
  <c r="J364" i="1"/>
  <c r="L364" i="1"/>
  <c r="N364" i="1"/>
  <c r="P364" i="1"/>
  <c r="R364" i="1"/>
  <c r="T364" i="1"/>
  <c r="V364" i="1"/>
  <c r="X364" i="1"/>
  <c r="Z364" i="1"/>
  <c r="AB364" i="1"/>
  <c r="AD364" i="1"/>
  <c r="AF364" i="1"/>
  <c r="AH364" i="1"/>
  <c r="AJ364" i="1"/>
  <c r="AL364" i="1"/>
  <c r="AN364" i="1"/>
  <c r="AP364" i="1"/>
  <c r="AR364" i="1"/>
  <c r="AT364" i="1"/>
  <c r="AV364" i="1"/>
  <c r="AX364" i="1"/>
  <c r="A365" i="1"/>
  <c r="D365" i="1"/>
  <c r="F365" i="1"/>
  <c r="H365" i="1"/>
  <c r="J365" i="1"/>
  <c r="L365" i="1"/>
  <c r="N365" i="1"/>
  <c r="P365" i="1"/>
  <c r="R365" i="1"/>
  <c r="T365" i="1"/>
  <c r="V365" i="1"/>
  <c r="X365" i="1"/>
  <c r="Z365" i="1"/>
  <c r="AB365" i="1"/>
  <c r="AD365" i="1"/>
  <c r="AF365" i="1"/>
  <c r="AH365" i="1"/>
  <c r="AJ365" i="1"/>
  <c r="AL365" i="1"/>
  <c r="AN365" i="1"/>
  <c r="AP365" i="1"/>
  <c r="AR365" i="1"/>
  <c r="AT365" i="1"/>
  <c r="AV365" i="1"/>
  <c r="AX365" i="1"/>
  <c r="A367" i="1"/>
  <c r="D367" i="1"/>
  <c r="F367" i="1"/>
  <c r="H367" i="1"/>
  <c r="J367" i="1"/>
  <c r="L367" i="1"/>
  <c r="N367" i="1"/>
  <c r="P367" i="1"/>
  <c r="R367" i="1"/>
  <c r="T367" i="1"/>
  <c r="V367" i="1"/>
  <c r="X367" i="1"/>
  <c r="Z367" i="1"/>
  <c r="AB367" i="1"/>
  <c r="AD367" i="1"/>
  <c r="AF367" i="1"/>
  <c r="AH367" i="1"/>
  <c r="AJ367" i="1"/>
  <c r="AL367" i="1"/>
  <c r="AN367" i="1"/>
  <c r="AP367" i="1"/>
  <c r="AR367" i="1"/>
  <c r="AT367" i="1"/>
  <c r="AV367" i="1"/>
  <c r="AX367" i="1"/>
  <c r="A368" i="1"/>
  <c r="D368" i="1"/>
  <c r="F368" i="1"/>
  <c r="H368" i="1"/>
  <c r="J368" i="1"/>
  <c r="L368" i="1"/>
  <c r="N368" i="1"/>
  <c r="P368" i="1"/>
  <c r="R368" i="1"/>
  <c r="T368" i="1"/>
  <c r="V368" i="1"/>
  <c r="X368" i="1"/>
  <c r="Z368" i="1"/>
  <c r="AB368" i="1"/>
  <c r="AD368" i="1"/>
  <c r="AF368" i="1"/>
  <c r="AH368" i="1"/>
  <c r="AJ368" i="1"/>
  <c r="AL368" i="1"/>
  <c r="AN368" i="1"/>
  <c r="AP368" i="1"/>
  <c r="AR368" i="1"/>
  <c r="AT368" i="1"/>
  <c r="AV368" i="1"/>
  <c r="AX368" i="1"/>
  <c r="A369" i="1"/>
  <c r="D369" i="1"/>
  <c r="F369" i="1"/>
  <c r="H369" i="1"/>
  <c r="J369" i="1"/>
  <c r="L369" i="1"/>
  <c r="N369" i="1"/>
  <c r="P369" i="1"/>
  <c r="R369" i="1"/>
  <c r="T369" i="1"/>
  <c r="V369" i="1"/>
  <c r="X369" i="1"/>
  <c r="Z369" i="1"/>
  <c r="AB369" i="1"/>
  <c r="AD369" i="1"/>
  <c r="AF369" i="1"/>
  <c r="AH369" i="1"/>
  <c r="AJ369" i="1"/>
  <c r="AL369" i="1"/>
  <c r="AN369" i="1"/>
  <c r="AP369" i="1"/>
  <c r="AR369" i="1"/>
  <c r="AT369" i="1"/>
  <c r="AV369" i="1"/>
  <c r="AX369" i="1"/>
  <c r="V67" i="2"/>
  <c r="V52" i="2"/>
  <c r="V370" i="4"/>
  <c r="C67" i="2"/>
  <c r="E67" i="2"/>
  <c r="F67" i="2"/>
  <c r="G67" i="2"/>
  <c r="N67" i="2"/>
  <c r="O67" i="2"/>
  <c r="P67" i="2"/>
  <c r="Q67" i="2"/>
  <c r="R67" i="2"/>
  <c r="S67" i="2"/>
  <c r="T67" i="2"/>
  <c r="U67" i="2"/>
  <c r="W67" i="2"/>
  <c r="X67" i="2"/>
  <c r="Y67" i="2"/>
  <c r="Z67" i="2"/>
  <c r="AA67" i="2"/>
  <c r="AB67" i="2"/>
  <c r="E66" i="2"/>
  <c r="B286" i="4"/>
  <c r="E286" i="4"/>
  <c r="F240" i="5"/>
  <c r="D66" i="2"/>
  <c r="D286" i="4"/>
  <c r="E240" i="5"/>
  <c r="AC67" i="2"/>
  <c r="I240" i="5"/>
  <c r="F66" i="2"/>
  <c r="F286" i="4"/>
  <c r="H240" i="5"/>
  <c r="AD67" i="2"/>
  <c r="AE67" i="2"/>
  <c r="K240" i="5"/>
  <c r="AF67" i="2"/>
  <c r="AG67" i="2"/>
  <c r="AH67" i="2"/>
  <c r="AI67" i="2"/>
  <c r="AJ67" i="2"/>
  <c r="AK67" i="2"/>
  <c r="M66" i="2"/>
  <c r="M286" i="4"/>
  <c r="R240" i="5"/>
  <c r="L66" i="2"/>
  <c r="L286" i="4"/>
  <c r="Q240" i="5"/>
  <c r="AL67" i="2"/>
  <c r="AM67" i="2"/>
  <c r="AZ354" i="1"/>
  <c r="BA354" i="1"/>
  <c r="BB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BC354" i="1"/>
  <c r="CT354" i="1"/>
  <c r="AZ355" i="1"/>
  <c r="BA355" i="1"/>
  <c r="BB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BC355" i="1"/>
  <c r="CT355" i="1"/>
  <c r="AZ353" i="1"/>
  <c r="BA353" i="1"/>
  <c r="BB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BC353" i="1"/>
  <c r="CT353" i="1"/>
  <c r="AZ352" i="1"/>
  <c r="BA352" i="1"/>
  <c r="BB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BC352" i="1"/>
  <c r="CT352" i="1"/>
  <c r="AZ317" i="1"/>
  <c r="BA317" i="1"/>
  <c r="BB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BC317" i="1"/>
  <c r="CT317" i="1"/>
  <c r="N7" i="2"/>
  <c r="B216" i="4"/>
  <c r="N40" i="2"/>
  <c r="N216" i="4"/>
  <c r="B217" i="4"/>
  <c r="N39" i="2"/>
  <c r="N217" i="4"/>
  <c r="N226" i="5"/>
  <c r="L226" i="5"/>
  <c r="J44" i="2"/>
  <c r="B178" i="4"/>
  <c r="J7" i="2"/>
  <c r="J178" i="4"/>
  <c r="W15" i="2"/>
  <c r="B120" i="4"/>
  <c r="W120" i="4"/>
  <c r="W18" i="2"/>
  <c r="W32" i="2"/>
  <c r="B122" i="4"/>
  <c r="W122" i="4"/>
  <c r="B123" i="4"/>
  <c r="W123" i="4"/>
  <c r="B124" i="4"/>
  <c r="W124" i="4"/>
  <c r="W20" i="2"/>
  <c r="W40" i="2"/>
  <c r="B126" i="4"/>
  <c r="W39" i="2"/>
  <c r="W126" i="4"/>
  <c r="W19" i="2"/>
  <c r="W28" i="2"/>
  <c r="B128" i="4"/>
  <c r="W128" i="4"/>
  <c r="B129" i="4"/>
  <c r="W44" i="2"/>
  <c r="W129" i="4"/>
  <c r="W56" i="2"/>
  <c r="B131" i="4"/>
  <c r="W131" i="4"/>
  <c r="W61" i="2"/>
  <c r="B132" i="4"/>
  <c r="W132" i="4"/>
  <c r="B133" i="4"/>
  <c r="W133" i="4"/>
  <c r="B134" i="4"/>
  <c r="W35" i="2"/>
  <c r="W31" i="2"/>
  <c r="W134" i="4"/>
  <c r="B135" i="4"/>
  <c r="W135" i="4"/>
  <c r="W9" i="2"/>
  <c r="B136" i="4"/>
  <c r="W136" i="4"/>
  <c r="W34" i="2"/>
  <c r="B138" i="4"/>
  <c r="W138" i="4"/>
  <c r="W43" i="2"/>
  <c r="B141" i="4"/>
  <c r="W141" i="4"/>
  <c r="W29" i="2"/>
  <c r="B142" i="4"/>
  <c r="W142" i="4"/>
  <c r="B143" i="4"/>
  <c r="W143" i="4"/>
  <c r="B144" i="4"/>
  <c r="W144" i="4"/>
  <c r="B145" i="4"/>
  <c r="W145" i="4"/>
  <c r="W8" i="2"/>
  <c r="B137" i="4"/>
  <c r="W7" i="2"/>
  <c r="W137" i="4"/>
  <c r="B139" i="4"/>
  <c r="W139" i="4"/>
  <c r="W33" i="2"/>
  <c r="B140" i="4"/>
  <c r="W140" i="4"/>
  <c r="B149" i="4"/>
  <c r="W149" i="4"/>
  <c r="B150" i="4"/>
  <c r="W150" i="4"/>
  <c r="W2" i="2"/>
  <c r="B151" i="4"/>
  <c r="W151" i="4"/>
  <c r="W25" i="2"/>
  <c r="B152" i="4"/>
  <c r="W152" i="4"/>
  <c r="B153" i="4"/>
  <c r="W153" i="4"/>
  <c r="B154" i="4"/>
  <c r="W154" i="4"/>
  <c r="B155" i="4"/>
  <c r="W155" i="4"/>
  <c r="W4" i="2"/>
  <c r="B156" i="4"/>
  <c r="W156" i="4"/>
  <c r="B157" i="4"/>
  <c r="W22" i="2"/>
  <c r="W157" i="4"/>
  <c r="B158" i="4"/>
  <c r="W158" i="4"/>
  <c r="B159" i="4"/>
  <c r="W159" i="4"/>
  <c r="B160" i="4"/>
  <c r="W160" i="4"/>
  <c r="B161" i="4"/>
  <c r="W161" i="4"/>
  <c r="B162" i="4"/>
  <c r="W162" i="4"/>
  <c r="B163" i="4"/>
  <c r="W163" i="4"/>
  <c r="B164" i="4"/>
  <c r="W164" i="4"/>
  <c r="W30" i="2"/>
  <c r="B165" i="4"/>
  <c r="W165" i="4"/>
  <c r="W57" i="2"/>
  <c r="W166" i="4"/>
  <c r="W167" i="4"/>
  <c r="B168" i="4"/>
  <c r="W168" i="4"/>
  <c r="W63" i="2"/>
  <c r="B170" i="4"/>
  <c r="W170" i="4"/>
  <c r="B171" i="4"/>
  <c r="W171" i="4"/>
  <c r="B173" i="4"/>
  <c r="W173" i="4"/>
  <c r="B174" i="4"/>
  <c r="W174" i="4"/>
  <c r="B175" i="4"/>
  <c r="W175" i="4"/>
  <c r="B179" i="4"/>
  <c r="W179" i="4"/>
  <c r="B180" i="4"/>
  <c r="W180" i="4"/>
  <c r="B182" i="4"/>
  <c r="W182" i="4"/>
  <c r="W16" i="2"/>
  <c r="B183" i="4"/>
  <c r="W24" i="2"/>
  <c r="W183" i="4"/>
  <c r="B184" i="4"/>
  <c r="W184" i="4"/>
  <c r="B185" i="4"/>
  <c r="W185" i="4"/>
  <c r="B172" i="4"/>
  <c r="W172" i="4"/>
  <c r="B176" i="4"/>
  <c r="W176" i="4"/>
  <c r="B177" i="4"/>
  <c r="W177" i="4"/>
  <c r="W178" i="4"/>
  <c r="W65" i="2"/>
  <c r="B181" i="4"/>
  <c r="W181" i="4"/>
  <c r="B169" i="4"/>
  <c r="W169" i="4"/>
  <c r="S63" i="2"/>
  <c r="S7" i="2"/>
  <c r="S169" i="4"/>
  <c r="AZ109" i="1"/>
  <c r="BA109" i="1"/>
  <c r="BB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BC109" i="1"/>
  <c r="CT109" i="1"/>
  <c r="AZ314" i="1"/>
  <c r="BA314" i="1"/>
  <c r="BB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BC314" i="1"/>
  <c r="CT314" i="1"/>
  <c r="C66" i="2"/>
  <c r="G66" i="2"/>
  <c r="H66" i="2"/>
  <c r="I66" i="2"/>
  <c r="J66" i="2"/>
  <c r="K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E65" i="2"/>
  <c r="E7" i="2"/>
  <c r="E181" i="4"/>
  <c r="F226" i="5"/>
  <c r="D65" i="2"/>
  <c r="D7" i="2"/>
  <c r="D181" i="4"/>
  <c r="E226" i="5"/>
  <c r="E64" i="2"/>
  <c r="D64" i="2"/>
  <c r="AC66" i="2"/>
  <c r="I226" i="5"/>
  <c r="F65" i="2"/>
  <c r="F7" i="2"/>
  <c r="F181" i="4"/>
  <c r="H226" i="5"/>
  <c r="F64" i="2"/>
  <c r="AD66" i="2"/>
  <c r="AE66" i="2"/>
  <c r="I65" i="2"/>
  <c r="I7" i="2"/>
  <c r="I181" i="4"/>
  <c r="H65" i="2"/>
  <c r="H7" i="2"/>
  <c r="H181" i="4"/>
  <c r="K226" i="5"/>
  <c r="L240" i="5"/>
  <c r="AF66" i="2"/>
  <c r="AG66" i="2"/>
  <c r="AH66" i="2"/>
  <c r="AI66" i="2"/>
  <c r="AJ66" i="2"/>
  <c r="O226" i="5"/>
  <c r="J65" i="2"/>
  <c r="J181" i="4"/>
  <c r="AK66" i="2"/>
  <c r="M65" i="2"/>
  <c r="M7" i="2"/>
  <c r="M181" i="4"/>
  <c r="R226" i="5"/>
  <c r="L65" i="2"/>
  <c r="L7" i="2"/>
  <c r="L181" i="4"/>
  <c r="Q226" i="5"/>
  <c r="M64" i="2"/>
  <c r="L64" i="2"/>
  <c r="AL66" i="2"/>
  <c r="AM66" i="2"/>
  <c r="AZ312" i="1"/>
  <c r="BA312" i="1"/>
  <c r="BB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BC312" i="1"/>
  <c r="CT312" i="1"/>
  <c r="AZ313" i="1"/>
  <c r="BA313" i="1"/>
  <c r="BB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BC313" i="1"/>
  <c r="CT313" i="1"/>
  <c r="AZ148" i="1"/>
  <c r="BA148" i="1"/>
  <c r="BB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BC148" i="1"/>
  <c r="CT148" i="1"/>
  <c r="AZ147" i="1"/>
  <c r="BA147" i="1"/>
  <c r="BB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BC147" i="1"/>
  <c r="CT147" i="1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AZ209" i="1"/>
  <c r="BA209" i="1"/>
  <c r="BB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BC209" i="1"/>
  <c r="CT209" i="1"/>
  <c r="AZ208" i="1"/>
  <c r="BA208" i="1"/>
  <c r="BB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BC208" i="1"/>
  <c r="CT208" i="1"/>
  <c r="C64" i="2"/>
  <c r="G64" i="2"/>
  <c r="H64" i="2"/>
  <c r="I64" i="2"/>
  <c r="J64" i="2"/>
  <c r="K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B293" i="4"/>
  <c r="E293" i="4"/>
  <c r="F225" i="5"/>
  <c r="D293" i="4"/>
  <c r="E225" i="5"/>
  <c r="AC64" i="2"/>
  <c r="I225" i="5"/>
  <c r="F293" i="4"/>
  <c r="H225" i="5"/>
  <c r="AD64" i="2"/>
  <c r="AE64" i="2"/>
  <c r="H293" i="4"/>
  <c r="K225" i="5"/>
  <c r="AF64" i="2"/>
  <c r="AG64" i="2"/>
  <c r="AH64" i="2"/>
  <c r="AI64" i="2"/>
  <c r="AJ64" i="2"/>
  <c r="AK64" i="2"/>
  <c r="M293" i="4"/>
  <c r="R225" i="5"/>
  <c r="L293" i="4"/>
  <c r="Q225" i="5"/>
  <c r="AL64" i="2"/>
  <c r="AM64" i="2"/>
  <c r="AG171" i="5"/>
  <c r="AF171" i="5"/>
  <c r="B290" i="4"/>
  <c r="C61" i="2"/>
  <c r="C290" i="4"/>
  <c r="C171" i="5"/>
  <c r="D61" i="2"/>
  <c r="D290" i="4"/>
  <c r="E171" i="5"/>
  <c r="K171" i="5"/>
  <c r="L61" i="2"/>
  <c r="L290" i="4"/>
  <c r="Q171" i="5"/>
  <c r="M61" i="2"/>
  <c r="M290" i="4"/>
  <c r="R171" i="5"/>
  <c r="T171" i="5"/>
  <c r="U171" i="5"/>
  <c r="P61" i="2"/>
  <c r="P290" i="4"/>
  <c r="W171" i="5"/>
  <c r="Q61" i="2"/>
  <c r="Q290" i="4"/>
  <c r="X171" i="5"/>
  <c r="S61" i="2"/>
  <c r="AA171" i="5"/>
  <c r="AI290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T290" i="4" a="1"/>
  <c r="T290" i="4"/>
  <c r="AC171" i="5"/>
  <c r="H6" i="3"/>
  <c r="U290" i="4" a="1"/>
  <c r="U290" i="4"/>
  <c r="AD171" i="5"/>
  <c r="X61" i="2"/>
  <c r="X290" i="4"/>
  <c r="AI171" i="5"/>
  <c r="Y61" i="2"/>
  <c r="Y290" i="4"/>
  <c r="AJ171" i="5"/>
  <c r="Z61" i="2"/>
  <c r="Z290" i="4"/>
  <c r="AL171" i="5"/>
  <c r="AN171" i="5"/>
  <c r="AZ154" i="1"/>
  <c r="BA154" i="1"/>
  <c r="BB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BC154" i="1"/>
  <c r="CT154" i="1"/>
  <c r="AD78" i="5"/>
  <c r="AI187" i="4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T187" i="4" a="1"/>
  <c r="T187" i="4"/>
  <c r="AC78" i="5"/>
  <c r="AI242" i="4"/>
  <c r="H10" i="3"/>
  <c r="U242" i="4" a="1"/>
  <c r="U242" i="4"/>
  <c r="AD85" i="5"/>
  <c r="T242" i="4" a="1"/>
  <c r="T242" i="4"/>
  <c r="AC85" i="5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CT155" i="1"/>
  <c r="AZ292" i="1"/>
  <c r="BA292" i="1"/>
  <c r="BB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BC292" i="1"/>
  <c r="CT292" i="1"/>
  <c r="AZ291" i="1"/>
  <c r="BA291" i="1"/>
  <c r="BB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BC291" i="1"/>
  <c r="CT291" i="1"/>
  <c r="AZ293" i="1"/>
  <c r="BA293" i="1"/>
  <c r="BB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BC293" i="1"/>
  <c r="CT293" i="1"/>
  <c r="AZ296" i="1"/>
  <c r="BA296" i="1"/>
  <c r="BB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BC296" i="1"/>
  <c r="CT296" i="1"/>
  <c r="C65" i="2"/>
  <c r="G65" i="2"/>
  <c r="K65" i="2"/>
  <c r="N65" i="2"/>
  <c r="O65" i="2"/>
  <c r="P65" i="2"/>
  <c r="Q65" i="2"/>
  <c r="R65" i="2"/>
  <c r="S65" i="2"/>
  <c r="T65" i="2"/>
  <c r="U65" i="2"/>
  <c r="V65" i="2"/>
  <c r="X65" i="2"/>
  <c r="Y65" i="2"/>
  <c r="Z65" i="2"/>
  <c r="AA65" i="2"/>
  <c r="AB65" i="2"/>
  <c r="D63" i="2"/>
  <c r="D169" i="4"/>
  <c r="E280" i="5"/>
  <c r="E9" i="2"/>
  <c r="AC65" i="2"/>
  <c r="F9" i="2"/>
  <c r="AD65" i="2"/>
  <c r="AE65" i="2"/>
  <c r="H63" i="2"/>
  <c r="H169" i="4"/>
  <c r="K280" i="5"/>
  <c r="I9" i="2"/>
  <c r="AF65" i="2"/>
  <c r="AG65" i="2"/>
  <c r="AH65" i="2"/>
  <c r="AI65" i="2"/>
  <c r="AJ65" i="2"/>
  <c r="J9" i="2"/>
  <c r="AK65" i="2"/>
  <c r="M63" i="2"/>
  <c r="M169" i="4"/>
  <c r="R280" i="5"/>
  <c r="L63" i="2"/>
  <c r="L169" i="4"/>
  <c r="Q280" i="5"/>
  <c r="AL65" i="2"/>
  <c r="AM65" i="2"/>
  <c r="AZ295" i="1"/>
  <c r="BA295" i="1"/>
  <c r="BB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BC295" i="1"/>
  <c r="CT295" i="1"/>
  <c r="AZ290" i="1"/>
  <c r="BA290" i="1"/>
  <c r="BB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BC290" i="1"/>
  <c r="CT290" i="1"/>
  <c r="C63" i="2"/>
  <c r="E63" i="2"/>
  <c r="F63" i="2"/>
  <c r="G63" i="2"/>
  <c r="I63" i="2"/>
  <c r="J63" i="2"/>
  <c r="K63" i="2"/>
  <c r="N63" i="2"/>
  <c r="O63" i="2"/>
  <c r="P63" i="2"/>
  <c r="Q63" i="2"/>
  <c r="R63" i="2"/>
  <c r="T63" i="2"/>
  <c r="U63" i="2"/>
  <c r="V63" i="2"/>
  <c r="X63" i="2"/>
  <c r="Y63" i="2"/>
  <c r="Z63" i="2"/>
  <c r="AA63" i="2"/>
  <c r="AB63" i="2"/>
  <c r="D62" i="2"/>
  <c r="B314" i="4"/>
  <c r="D314" i="4"/>
  <c r="E310" i="5"/>
  <c r="AC63" i="2"/>
  <c r="AD63" i="2"/>
  <c r="AE63" i="2"/>
  <c r="I62" i="2"/>
  <c r="I314" i="4"/>
  <c r="L310" i="5"/>
  <c r="K310" i="5"/>
  <c r="AF63" i="2"/>
  <c r="AG63" i="2"/>
  <c r="AH63" i="2"/>
  <c r="AI63" i="2"/>
  <c r="AJ63" i="2"/>
  <c r="O310" i="5"/>
  <c r="J62" i="2"/>
  <c r="J314" i="4"/>
  <c r="N310" i="5"/>
  <c r="AK63" i="2"/>
  <c r="M62" i="2"/>
  <c r="M314" i="4"/>
  <c r="R310" i="5"/>
  <c r="L62" i="2"/>
  <c r="L314" i="4"/>
  <c r="Q310" i="5"/>
  <c r="AL63" i="2"/>
  <c r="AM63" i="2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AZ81" i="1"/>
  <c r="BA81" i="1"/>
  <c r="BB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BC81" i="1"/>
  <c r="CT81" i="1"/>
  <c r="AZ80" i="1"/>
  <c r="BA80" i="1"/>
  <c r="BB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BC80" i="1"/>
  <c r="CT80" i="1"/>
  <c r="AZ79" i="1"/>
  <c r="BA79" i="1"/>
  <c r="BB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BC79" i="1"/>
  <c r="CT79" i="1"/>
  <c r="AZ78" i="1"/>
  <c r="BA78" i="1"/>
  <c r="BB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BC78" i="1"/>
  <c r="CT78" i="1"/>
  <c r="AZ77" i="1"/>
  <c r="BA77" i="1"/>
  <c r="BB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BC77" i="1"/>
  <c r="CT77" i="1"/>
  <c r="AZ184" i="1"/>
  <c r="BA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BC184" i="1"/>
  <c r="CT184" i="1"/>
  <c r="AZ183" i="1"/>
  <c r="BA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C62" i="2"/>
  <c r="E62" i="2"/>
  <c r="F62" i="2"/>
  <c r="G62" i="2"/>
  <c r="H62" i="2"/>
  <c r="K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E61" i="2"/>
  <c r="B199" i="4"/>
  <c r="E199" i="4"/>
  <c r="F222" i="5"/>
  <c r="D199" i="4"/>
  <c r="E222" i="5"/>
  <c r="D48" i="2"/>
  <c r="AC62" i="2"/>
  <c r="I222" i="5"/>
  <c r="F61" i="2"/>
  <c r="F199" i="4"/>
  <c r="H222" i="5"/>
  <c r="AD62" i="2"/>
  <c r="AE62" i="2"/>
  <c r="H61" i="2"/>
  <c r="H199" i="4"/>
  <c r="K222" i="5"/>
  <c r="I48" i="2"/>
  <c r="AF62" i="2"/>
  <c r="AG62" i="2"/>
  <c r="AH62" i="2"/>
  <c r="AI62" i="2"/>
  <c r="AJ62" i="2"/>
  <c r="J48" i="2"/>
  <c r="AK62" i="2"/>
  <c r="M199" i="4"/>
  <c r="R222" i="5"/>
  <c r="L199" i="4"/>
  <c r="Q222" i="5"/>
  <c r="M48" i="2"/>
  <c r="L48" i="2"/>
  <c r="AL62" i="2"/>
  <c r="AM62" i="2"/>
  <c r="AZ340" i="1"/>
  <c r="BA340" i="1"/>
  <c r="BB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BC340" i="1"/>
  <c r="CT340" i="1"/>
  <c r="AZ339" i="1"/>
  <c r="BA339" i="1"/>
  <c r="BB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BC339" i="1"/>
  <c r="CT339" i="1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Z153" i="1"/>
  <c r="BA153" i="1"/>
  <c r="BB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BC153" i="1"/>
  <c r="CT153" i="1"/>
  <c r="AZ152" i="1"/>
  <c r="BA152" i="1"/>
  <c r="BB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BC152" i="1"/>
  <c r="CT152" i="1"/>
  <c r="AZ108" i="1"/>
  <c r="BA108" i="1"/>
  <c r="BB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BC108" i="1"/>
  <c r="CT108" i="1"/>
  <c r="AZ107" i="1"/>
  <c r="BA107" i="1"/>
  <c r="BB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BC107" i="1"/>
  <c r="CT107" i="1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AZ105" i="1"/>
  <c r="BA105" i="1"/>
  <c r="BB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AZ104" i="1"/>
  <c r="BA104" i="1"/>
  <c r="BB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BC104" i="1"/>
  <c r="CT104" i="1"/>
  <c r="AZ260" i="1"/>
  <c r="BA260" i="1"/>
  <c r="BB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BC260" i="1"/>
  <c r="CT260" i="1"/>
  <c r="AZ294" i="1"/>
  <c r="BA294" i="1"/>
  <c r="BB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BC294" i="1"/>
  <c r="CT294" i="1"/>
  <c r="X7" i="2"/>
  <c r="X199" i="4"/>
  <c r="G61" i="2"/>
  <c r="I61" i="2"/>
  <c r="J61" i="2"/>
  <c r="K61" i="2"/>
  <c r="N61" i="2"/>
  <c r="O61" i="2"/>
  <c r="R61" i="2"/>
  <c r="T61" i="2"/>
  <c r="U61" i="2"/>
  <c r="V61" i="2"/>
  <c r="AA61" i="2"/>
  <c r="AB61" i="2"/>
  <c r="D60" i="2"/>
  <c r="B305" i="4"/>
  <c r="D305" i="4"/>
  <c r="E300" i="5"/>
  <c r="E19" i="2"/>
  <c r="D19" i="2"/>
  <c r="AC61" i="2"/>
  <c r="F19" i="2"/>
  <c r="AD61" i="2"/>
  <c r="AE61" i="2"/>
  <c r="I60" i="2"/>
  <c r="I305" i="4"/>
  <c r="L300" i="5"/>
  <c r="K300" i="5"/>
  <c r="H19" i="2"/>
  <c r="AF61" i="2"/>
  <c r="AG61" i="2"/>
  <c r="AH61" i="2"/>
  <c r="AI61" i="2"/>
  <c r="AJ61" i="2"/>
  <c r="O300" i="5"/>
  <c r="J60" i="2"/>
  <c r="J305" i="4"/>
  <c r="N300" i="5"/>
  <c r="AK61" i="2"/>
  <c r="M60" i="2"/>
  <c r="M305" i="4"/>
  <c r="R300" i="5"/>
  <c r="L60" i="2"/>
  <c r="L305" i="4"/>
  <c r="Q300" i="5"/>
  <c r="M19" i="2"/>
  <c r="L19" i="2"/>
  <c r="AL61" i="2"/>
  <c r="AM61" i="2"/>
  <c r="AZ289" i="1"/>
  <c r="BA289" i="1"/>
  <c r="BB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BC289" i="1"/>
  <c r="CT289" i="1"/>
  <c r="AZ288" i="1"/>
  <c r="BA288" i="1"/>
  <c r="BB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BC288" i="1"/>
  <c r="CT288" i="1"/>
  <c r="C60" i="2"/>
  <c r="E60" i="2"/>
  <c r="F60" i="2"/>
  <c r="G60" i="2"/>
  <c r="H60" i="2"/>
  <c r="K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D59" i="2"/>
  <c r="B282" i="4"/>
  <c r="D282" i="4"/>
  <c r="E298" i="5"/>
  <c r="D45" i="2"/>
  <c r="AC60" i="2"/>
  <c r="AD60" i="2"/>
  <c r="AE60" i="2"/>
  <c r="I59" i="2"/>
  <c r="I282" i="4"/>
  <c r="L298" i="5"/>
  <c r="K298" i="5"/>
  <c r="I45" i="2"/>
  <c r="AF60" i="2"/>
  <c r="AG60" i="2"/>
  <c r="AH60" i="2"/>
  <c r="AI60" i="2"/>
  <c r="AJ60" i="2"/>
  <c r="O298" i="5"/>
  <c r="J59" i="2"/>
  <c r="J282" i="4"/>
  <c r="N298" i="5"/>
  <c r="J45" i="2"/>
  <c r="AK60" i="2"/>
  <c r="M59" i="2"/>
  <c r="M282" i="4"/>
  <c r="R298" i="5"/>
  <c r="L59" i="2"/>
  <c r="L282" i="4"/>
  <c r="Q298" i="5"/>
  <c r="M45" i="2"/>
  <c r="L45" i="2"/>
  <c r="AL60" i="2"/>
  <c r="AM60" i="2"/>
  <c r="AZ319" i="1"/>
  <c r="BA319" i="1"/>
  <c r="BB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BC319" i="1"/>
  <c r="CT319" i="1"/>
  <c r="AZ318" i="1"/>
  <c r="BA318" i="1"/>
  <c r="BB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BC318" i="1"/>
  <c r="CT318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38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2" i="9"/>
  <c r="AL35" i="4"/>
  <c r="A6" i="14"/>
  <c r="H6" i="14"/>
  <c r="G6" i="14"/>
  <c r="F6" i="14"/>
  <c r="U52" i="2"/>
  <c r="B381" i="4"/>
  <c r="U381" i="4"/>
  <c r="AD380" i="5"/>
  <c r="T52" i="2"/>
  <c r="T381" i="4"/>
  <c r="AC380" i="5"/>
  <c r="E6" i="14"/>
  <c r="C6" i="14"/>
  <c r="B6" i="14"/>
  <c r="A8" i="13"/>
  <c r="H8" i="13"/>
  <c r="G8" i="13"/>
  <c r="F8" i="13"/>
  <c r="B309" i="4"/>
  <c r="U49" i="2"/>
  <c r="U309" i="4"/>
  <c r="AD303" i="5"/>
  <c r="T49" i="2"/>
  <c r="T309" i="4"/>
  <c r="AC303" i="5"/>
  <c r="E8" i="13"/>
  <c r="C8" i="13"/>
  <c r="B8" i="13"/>
  <c r="A7" i="13"/>
  <c r="H7" i="13"/>
  <c r="G7" i="13"/>
  <c r="F7" i="13"/>
  <c r="B313" i="4"/>
  <c r="U47" i="2"/>
  <c r="U313" i="4"/>
  <c r="AD308" i="5"/>
  <c r="T47" i="2"/>
  <c r="T313" i="4"/>
  <c r="AC308" i="5"/>
  <c r="E7" i="13"/>
  <c r="C7" i="13"/>
  <c r="B7" i="13"/>
  <c r="A6" i="13"/>
  <c r="H6" i="13"/>
  <c r="G6" i="13"/>
  <c r="F6" i="13"/>
  <c r="B311" i="4"/>
  <c r="U48" i="2"/>
  <c r="U311" i="4"/>
  <c r="AD306" i="5"/>
  <c r="T48" i="2"/>
  <c r="T311" i="4"/>
  <c r="AC306" i="5"/>
  <c r="E6" i="13"/>
  <c r="C6" i="13"/>
  <c r="B6" i="13"/>
  <c r="B298" i="6"/>
  <c r="C298" i="6"/>
  <c r="D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F298" i="5"/>
  <c r="B298" i="5"/>
  <c r="C23" i="2"/>
  <c r="B287" i="4"/>
  <c r="C59" i="2"/>
  <c r="C287" i="4"/>
  <c r="C282" i="4"/>
  <c r="C298" i="5"/>
  <c r="D23" i="2"/>
  <c r="D287" i="4"/>
  <c r="H298" i="5"/>
  <c r="I298" i="5"/>
  <c r="I23" i="2"/>
  <c r="I287" i="4"/>
  <c r="J23" i="2"/>
  <c r="J287" i="4"/>
  <c r="L23" i="2"/>
  <c r="L287" i="4"/>
  <c r="M23" i="2"/>
  <c r="M287" i="4"/>
  <c r="N23" i="2"/>
  <c r="N59" i="2"/>
  <c r="N287" i="4"/>
  <c r="N282" i="4"/>
  <c r="T298" i="5"/>
  <c r="O23" i="2"/>
  <c r="O59" i="2"/>
  <c r="O287" i="4"/>
  <c r="O282" i="4"/>
  <c r="U298" i="5"/>
  <c r="P23" i="2"/>
  <c r="P59" i="2"/>
  <c r="P287" i="4"/>
  <c r="P282" i="4"/>
  <c r="W298" i="5"/>
  <c r="Q23" i="2"/>
  <c r="Q59" i="2"/>
  <c r="Q287" i="4"/>
  <c r="Q282" i="4"/>
  <c r="X298" i="5"/>
  <c r="Z298" i="5"/>
  <c r="S23" i="2"/>
  <c r="S59" i="2"/>
  <c r="S287" i="4"/>
  <c r="S282" i="4"/>
  <c r="AA298" i="5"/>
  <c r="AI287" i="4"/>
  <c r="T287" i="4" a="1"/>
  <c r="T287" i="4"/>
  <c r="AI282" i="4"/>
  <c r="T282" i="4" a="1"/>
  <c r="T282" i="4"/>
  <c r="AC298" i="5"/>
  <c r="AD298" i="5"/>
  <c r="AF298" i="5"/>
  <c r="AG298" i="5"/>
  <c r="X23" i="2"/>
  <c r="X59" i="2"/>
  <c r="X287" i="4"/>
  <c r="X282" i="4"/>
  <c r="AI298" i="5"/>
  <c r="Y23" i="2"/>
  <c r="Y59" i="2"/>
  <c r="Y287" i="4"/>
  <c r="Y282" i="4"/>
  <c r="AJ298" i="5"/>
  <c r="Z23" i="2"/>
  <c r="Z59" i="2"/>
  <c r="Z287" i="4"/>
  <c r="Z282" i="4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E23" i="2"/>
  <c r="E59" i="2"/>
  <c r="E282" i="4"/>
  <c r="F23" i="2"/>
  <c r="F59" i="2"/>
  <c r="F282" i="4"/>
  <c r="R23" i="2"/>
  <c r="R59" i="2"/>
  <c r="R282" i="4"/>
  <c r="AA282" i="4"/>
  <c r="AB282" i="4"/>
  <c r="AC282" i="4"/>
  <c r="AD282" i="4"/>
  <c r="AE282" i="4"/>
  <c r="AF282" i="4"/>
  <c r="AG282" i="4"/>
  <c r="AH282" i="4"/>
  <c r="AJ282" i="4"/>
  <c r="AK282" i="4"/>
  <c r="AL282" i="4"/>
  <c r="G59" i="2"/>
  <c r="H59" i="2"/>
  <c r="K59" i="2"/>
  <c r="T59" i="2"/>
  <c r="U59" i="2"/>
  <c r="V59" i="2"/>
  <c r="W59" i="2"/>
  <c r="AA59" i="2"/>
  <c r="AB59" i="2"/>
  <c r="E58" i="2"/>
  <c r="B231" i="4"/>
  <c r="E231" i="4"/>
  <c r="F230" i="5"/>
  <c r="D58" i="2"/>
  <c r="D231" i="4"/>
  <c r="E230" i="5"/>
  <c r="AC59" i="2"/>
  <c r="I230" i="5"/>
  <c r="F58" i="2"/>
  <c r="F231" i="4"/>
  <c r="H230" i="5"/>
  <c r="AD59" i="2"/>
  <c r="AE59" i="2"/>
  <c r="H58" i="2"/>
  <c r="H231" i="4"/>
  <c r="K230" i="5"/>
  <c r="AF59" i="2"/>
  <c r="AG59" i="2"/>
  <c r="AH59" i="2"/>
  <c r="AI59" i="2"/>
  <c r="AJ59" i="2"/>
  <c r="AK59" i="2"/>
  <c r="M58" i="2"/>
  <c r="M231" i="4"/>
  <c r="R230" i="5"/>
  <c r="L58" i="2"/>
  <c r="L231" i="4"/>
  <c r="Q230" i="5"/>
  <c r="AL59" i="2"/>
  <c r="AM59" i="2"/>
  <c r="D411" i="9"/>
  <c r="E411" i="9"/>
  <c r="F411" i="9"/>
  <c r="G411" i="9"/>
  <c r="AZ311" i="1"/>
  <c r="BA311" i="1"/>
  <c r="BB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BC311" i="1"/>
  <c r="CT311" i="1"/>
  <c r="AZ310" i="1"/>
  <c r="BA310" i="1"/>
  <c r="BB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BC310" i="1"/>
  <c r="CT310" i="1"/>
  <c r="AZ309" i="1"/>
  <c r="BA309" i="1"/>
  <c r="BB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BC309" i="1"/>
  <c r="CT309" i="1"/>
  <c r="C124" i="7"/>
  <c r="D124" i="7"/>
  <c r="E124" i="7"/>
  <c r="AZ299" i="1"/>
  <c r="BA299" i="1"/>
  <c r="BB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BC299" i="1"/>
  <c r="CT299" i="1"/>
  <c r="AB26" i="4"/>
  <c r="AB288" i="4"/>
  <c r="AB4" i="4"/>
  <c r="AB5" i="4"/>
  <c r="AB204" i="4"/>
  <c r="AB6" i="4"/>
  <c r="AB130" i="4"/>
  <c r="AB132" i="4"/>
  <c r="AB133" i="4"/>
  <c r="AB277" i="4"/>
  <c r="AB128" i="4"/>
  <c r="AB129" i="4"/>
  <c r="AB253" i="4"/>
  <c r="AB59" i="4"/>
  <c r="AB105" i="4"/>
  <c r="AB120" i="4"/>
  <c r="AB14" i="4"/>
  <c r="AB233" i="4"/>
  <c r="AB265" i="4"/>
  <c r="AB266" i="4"/>
  <c r="AB239" i="4"/>
  <c r="AB241" i="4"/>
  <c r="AB242" i="4"/>
  <c r="AB267" i="4"/>
  <c r="AB244" i="4"/>
  <c r="AB268" i="4"/>
  <c r="AB247" i="4"/>
  <c r="AB269" i="4"/>
  <c r="AB270" i="4"/>
  <c r="AB271" i="4"/>
  <c r="AB272" i="4"/>
  <c r="AB273" i="4"/>
  <c r="AB151" i="4"/>
  <c r="AB2" i="4"/>
  <c r="AB295" i="4"/>
  <c r="AB287" i="4"/>
  <c r="AB263" i="4"/>
  <c r="AB238" i="4"/>
  <c r="AB240" i="4"/>
  <c r="AB243" i="4"/>
  <c r="AB64" i="4"/>
  <c r="AB65" i="4"/>
  <c r="AB203" i="4"/>
  <c r="AB274" i="4"/>
  <c r="AB153" i="4"/>
  <c r="AB190" i="4"/>
  <c r="AB249" i="4"/>
  <c r="AB73" i="4"/>
  <c r="AB213" i="4"/>
  <c r="AB110" i="4"/>
  <c r="AB47" i="4"/>
  <c r="AB85" i="4"/>
  <c r="AB86" i="4"/>
  <c r="AB255" i="4"/>
  <c r="AB281" i="4"/>
  <c r="AB256" i="4"/>
  <c r="AB290" i="4"/>
  <c r="AB291" i="4"/>
  <c r="AB113" i="4"/>
  <c r="AB134" i="4"/>
  <c r="AB135" i="4"/>
  <c r="AB176" i="4"/>
  <c r="AB177" i="4"/>
  <c r="AB137" i="4"/>
  <c r="AB138" i="4"/>
  <c r="AB139" i="4"/>
  <c r="AB140" i="4"/>
  <c r="AB258" i="4"/>
  <c r="AB98" i="4"/>
  <c r="AB262" i="4"/>
  <c r="AB232" i="4"/>
  <c r="AB115" i="4"/>
  <c r="AB116" i="4"/>
  <c r="AB117" i="4"/>
  <c r="AB142" i="4"/>
  <c r="AB118" i="4"/>
  <c r="AB27" i="4"/>
  <c r="AB143" i="4"/>
  <c r="AB144" i="4"/>
  <c r="AB28" i="4"/>
  <c r="AB145" i="4"/>
  <c r="AB285" i="4"/>
  <c r="AB183" i="4"/>
  <c r="AB102" i="4"/>
  <c r="AB103" i="4"/>
  <c r="AB104" i="4"/>
  <c r="AB29" i="4"/>
  <c r="AB58" i="4"/>
  <c r="AB30" i="4"/>
  <c r="AB13" i="4"/>
  <c r="AB264" i="4"/>
  <c r="AB32" i="4"/>
  <c r="AB33" i="4"/>
  <c r="AB34" i="4"/>
  <c r="AB35" i="4"/>
  <c r="AB36" i="4"/>
  <c r="AB37" i="4"/>
  <c r="AB60" i="4"/>
  <c r="AB61" i="4"/>
  <c r="AB62" i="4"/>
  <c r="AB15" i="4"/>
  <c r="AB106" i="4"/>
  <c r="AB107" i="4"/>
  <c r="AB38" i="4"/>
  <c r="AB39" i="4"/>
  <c r="AB40" i="4"/>
  <c r="AB63" i="4"/>
  <c r="AB234" i="4"/>
  <c r="AB235" i="4"/>
  <c r="AB219" i="4"/>
  <c r="AB236" i="4"/>
  <c r="AB237" i="4"/>
  <c r="AB202" i="4"/>
  <c r="AB186" i="4"/>
  <c r="AB187" i="4"/>
  <c r="AB188" i="4"/>
  <c r="AB150" i="4"/>
  <c r="AB246" i="4"/>
  <c r="AB189" i="4"/>
  <c r="AB121" i="4"/>
  <c r="AB41" i="4"/>
  <c r="AB276" i="4"/>
  <c r="AB152" i="4"/>
  <c r="AB16" i="4"/>
  <c r="AB8" i="4"/>
  <c r="AB9" i="4"/>
  <c r="AB210" i="4"/>
  <c r="AB220" i="4"/>
  <c r="AB221" i="4"/>
  <c r="AB122" i="4"/>
  <c r="AB123" i="4"/>
  <c r="AB124" i="4"/>
  <c r="AB154" i="4"/>
  <c r="AB211" i="4"/>
  <c r="AB125" i="4"/>
  <c r="AB108" i="4"/>
  <c r="AB69" i="4"/>
  <c r="AB296" i="4"/>
  <c r="AB127" i="4"/>
  <c r="AB191" i="4"/>
  <c r="AB70" i="4"/>
  <c r="AB248" i="4"/>
  <c r="AB250" i="4"/>
  <c r="AB289" i="4"/>
  <c r="AB192" i="4"/>
  <c r="AB222" i="4"/>
  <c r="AB251" i="4"/>
  <c r="AB74" i="4"/>
  <c r="AB20" i="4"/>
  <c r="AB75" i="4"/>
  <c r="AB278" i="4"/>
  <c r="AB43" i="4"/>
  <c r="AB212" i="4"/>
  <c r="AB77" i="4"/>
  <c r="AB223" i="4"/>
  <c r="AB158" i="4"/>
  <c r="AB252" i="4"/>
  <c r="AB10" i="4"/>
  <c r="AB159" i="4"/>
  <c r="AB21" i="4"/>
  <c r="AB160" i="4"/>
  <c r="AB44" i="4"/>
  <c r="AB45" i="4"/>
  <c r="AB11" i="4"/>
  <c r="AB254" i="4"/>
  <c r="AB193" i="4"/>
  <c r="AB194" i="4"/>
  <c r="AB279" i="4"/>
  <c r="AB280" i="4"/>
  <c r="AB46" i="4"/>
  <c r="AB80" i="4"/>
  <c r="AB81" i="4"/>
  <c r="AB215" i="4"/>
  <c r="AB7" i="4"/>
  <c r="AB111" i="4"/>
  <c r="AB112" i="4"/>
  <c r="AB24" i="4"/>
  <c r="AB25" i="4"/>
  <c r="AB131" i="4"/>
  <c r="AB165" i="4"/>
  <c r="AB166" i="4"/>
  <c r="AB167" i="4"/>
  <c r="AB168" i="4"/>
  <c r="AB169" i="4"/>
  <c r="AB170" i="4"/>
  <c r="AB171" i="4"/>
  <c r="AB195" i="4"/>
  <c r="AB207" i="4"/>
  <c r="AB208" i="4"/>
  <c r="AB136" i="4"/>
  <c r="AB172" i="4"/>
  <c r="AB173" i="4"/>
  <c r="AB174" i="4"/>
  <c r="AB175" i="4"/>
  <c r="AB298" i="4"/>
  <c r="AB196" i="4"/>
  <c r="AB88" i="4"/>
  <c r="AB89" i="4"/>
  <c r="AB90" i="4"/>
  <c r="AB91" i="4"/>
  <c r="AB92" i="4"/>
  <c r="AB93" i="4"/>
  <c r="AB95" i="4"/>
  <c r="AB96" i="4"/>
  <c r="AB216" i="4"/>
  <c r="AB217" i="4"/>
  <c r="AB218" i="4"/>
  <c r="AB228" i="4"/>
  <c r="AB97" i="4"/>
  <c r="AB292" i="4"/>
  <c r="AB229" i="4"/>
  <c r="AB230" i="4"/>
  <c r="AB257" i="4"/>
  <c r="AB141" i="4"/>
  <c r="AB297" i="4"/>
  <c r="AB259" i="4"/>
  <c r="AB260" i="4"/>
  <c r="AB261" i="4"/>
  <c r="AB197" i="4"/>
  <c r="AB178" i="4"/>
  <c r="AB179" i="4"/>
  <c r="AB180" i="4"/>
  <c r="AB199" i="4"/>
  <c r="AB181" i="4"/>
  <c r="AB294" i="4"/>
  <c r="AB231" i="4"/>
  <c r="AB209" i="4"/>
  <c r="AB283" i="4"/>
  <c r="AB284" i="4"/>
  <c r="AB51" i="4"/>
  <c r="AB52" i="4"/>
  <c r="AB53" i="4"/>
  <c r="AB54" i="4"/>
  <c r="AB55" i="4"/>
  <c r="AB56" i="4"/>
  <c r="AB57" i="4"/>
  <c r="AB99" i="4"/>
  <c r="AB184" i="4"/>
  <c r="AB185" i="4"/>
  <c r="AB101" i="4"/>
  <c r="AB146" i="4"/>
  <c r="AB119" i="4"/>
  <c r="AB147" i="4"/>
  <c r="AB31" i="4"/>
  <c r="AB148" i="4"/>
  <c r="AB66" i="4"/>
  <c r="AB67" i="4"/>
  <c r="AB155" i="4"/>
  <c r="AB156" i="4"/>
  <c r="AB71" i="4"/>
  <c r="AB109" i="4"/>
  <c r="AB79" i="4"/>
  <c r="AB23" i="4"/>
  <c r="AB205" i="4"/>
  <c r="AB206" i="4"/>
  <c r="AB94" i="4"/>
  <c r="AB182" i="4"/>
  <c r="AB157" i="4"/>
  <c r="AB42" i="4"/>
  <c r="AB224" i="4"/>
  <c r="AB78" i="4"/>
  <c r="AB225" i="4"/>
  <c r="AB226" i="4"/>
  <c r="AB227" i="4"/>
  <c r="AB200" i="4"/>
  <c r="AB201" i="4"/>
  <c r="AB72" i="4"/>
  <c r="AB3" i="4"/>
  <c r="AB18" i="4"/>
  <c r="AB76" i="4"/>
  <c r="AB214" i="4"/>
  <c r="AB12" i="4"/>
  <c r="AB293" i="4"/>
  <c r="AB114" i="4"/>
  <c r="AB286" i="4"/>
  <c r="AB275" i="4"/>
  <c r="AB19" i="4"/>
  <c r="AB162" i="4"/>
  <c r="AB48" i="4"/>
  <c r="AB149" i="4"/>
  <c r="AB161" i="4"/>
  <c r="AB163" i="4"/>
  <c r="AB164" i="4"/>
  <c r="AB198" i="4"/>
  <c r="AB68" i="4"/>
  <c r="AB82" i="4"/>
  <c r="AB83" i="4"/>
  <c r="AB84" i="4"/>
  <c r="AB87" i="4"/>
  <c r="AB49" i="4"/>
  <c r="AB50" i="4"/>
  <c r="AB100" i="4"/>
  <c r="AB126" i="4"/>
  <c r="AB22" i="4"/>
  <c r="AB17" i="4"/>
  <c r="AB307" i="4"/>
  <c r="AB306" i="4"/>
  <c r="AB304" i="4"/>
  <c r="AB305" i="4"/>
  <c r="AB300" i="4"/>
  <c r="AB301" i="4"/>
  <c r="AB299" i="4"/>
  <c r="AB302" i="4"/>
  <c r="AB303" i="4"/>
  <c r="AB310" i="4"/>
  <c r="AB309" i="4"/>
  <c r="AB311" i="4"/>
  <c r="AB312" i="4"/>
  <c r="AB313" i="4"/>
  <c r="AB308" i="4"/>
  <c r="AB314" i="4"/>
  <c r="AB335" i="4"/>
  <c r="AB336" i="4"/>
  <c r="AB318" i="4"/>
  <c r="AB315" i="4"/>
  <c r="AB319" i="4"/>
  <c r="AB320" i="4"/>
  <c r="AB321" i="4"/>
  <c r="AB347" i="4"/>
  <c r="AB326" i="4"/>
  <c r="AB327" i="4"/>
  <c r="AB328" i="4"/>
  <c r="AB329" i="4"/>
  <c r="AB341" i="4"/>
  <c r="AB331" i="4"/>
  <c r="AB332" i="4"/>
  <c r="AB333" i="4"/>
  <c r="AB343" i="4"/>
  <c r="AB344" i="4"/>
  <c r="AB345" i="4"/>
  <c r="AB342" i="4"/>
  <c r="AB322" i="4"/>
  <c r="AB317" i="4"/>
  <c r="AB323" i="4"/>
  <c r="AB325" i="4"/>
  <c r="AB330" i="4"/>
  <c r="AB334" i="4"/>
  <c r="AB324" i="4"/>
  <c r="AB338" i="4"/>
  <c r="AB337" i="4"/>
  <c r="AB316" i="4"/>
  <c r="AB339" i="4"/>
  <c r="AB340" i="4"/>
  <c r="AB346" i="4"/>
  <c r="AB350" i="4"/>
  <c r="AB361" i="4"/>
  <c r="AB362" i="4"/>
  <c r="AB368" i="4"/>
  <c r="AB363" i="4"/>
  <c r="AB369" i="4"/>
  <c r="AB351" i="4"/>
  <c r="AB348" i="4"/>
  <c r="AB358" i="4"/>
  <c r="AB359" i="4"/>
  <c r="AB364" i="4"/>
  <c r="AB349" i="4"/>
  <c r="AB365" i="4"/>
  <c r="AB366" i="4"/>
  <c r="AB367" i="4"/>
  <c r="AB360" i="4"/>
  <c r="AB352" i="4"/>
  <c r="AB353" i="4"/>
  <c r="AB354" i="4"/>
  <c r="AB355" i="4"/>
  <c r="AB356" i="4"/>
  <c r="AB357" i="4"/>
  <c r="AB371" i="4"/>
  <c r="AB377" i="4"/>
  <c r="AB378" i="4"/>
  <c r="AB379" i="4"/>
  <c r="AB373" i="4"/>
  <c r="AB370" i="4"/>
  <c r="AB376" i="4"/>
  <c r="AB381" i="4"/>
  <c r="AB380" i="4"/>
  <c r="AB374" i="4"/>
  <c r="AB375" i="4"/>
  <c r="AB372" i="4"/>
  <c r="AB383" i="4"/>
  <c r="AB385" i="4"/>
  <c r="AB386" i="4"/>
  <c r="AB384" i="4"/>
  <c r="AB382" i="4"/>
  <c r="AB390" i="4"/>
  <c r="AB395" i="4"/>
  <c r="AB408" i="4"/>
  <c r="AB397" i="4"/>
  <c r="AB398" i="4"/>
  <c r="AB399" i="4"/>
  <c r="AB400" i="4"/>
  <c r="AB403" i="4"/>
  <c r="AB387" i="4"/>
  <c r="AB404" i="4"/>
  <c r="AB405" i="4"/>
  <c r="AB407" i="4"/>
  <c r="AB396" i="4"/>
  <c r="AB388" i="4"/>
  <c r="AB389" i="4"/>
  <c r="AB391" i="4"/>
  <c r="AB392" i="4"/>
  <c r="AB393" i="4"/>
  <c r="AB402" i="4"/>
  <c r="AB394" i="4"/>
  <c r="AB406" i="4"/>
  <c r="AB409" i="4"/>
  <c r="AB410" i="4"/>
  <c r="AB411" i="4"/>
  <c r="AB401" i="4"/>
  <c r="AB245" i="4"/>
  <c r="C58" i="2"/>
  <c r="G58" i="2"/>
  <c r="I58" i="2"/>
  <c r="J58" i="2"/>
  <c r="K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D172" i="4"/>
  <c r="E287" i="5"/>
  <c r="E42" i="2"/>
  <c r="D42" i="2"/>
  <c r="AC58" i="2"/>
  <c r="F42" i="2"/>
  <c r="AD58" i="2"/>
  <c r="AE58" i="2"/>
  <c r="H172" i="4"/>
  <c r="K287" i="5"/>
  <c r="H42" i="2"/>
  <c r="L230" i="5"/>
  <c r="AF58" i="2"/>
  <c r="AG58" i="2"/>
  <c r="AH58" i="2"/>
  <c r="AI58" i="2"/>
  <c r="AJ58" i="2"/>
  <c r="N230" i="5"/>
  <c r="O230" i="5"/>
  <c r="AK58" i="2"/>
  <c r="M57" i="2"/>
  <c r="M172" i="4"/>
  <c r="R287" i="5"/>
  <c r="L172" i="4"/>
  <c r="Q287" i="5"/>
  <c r="M42" i="2"/>
  <c r="L42" i="2"/>
  <c r="AL58" i="2"/>
  <c r="AM58" i="2"/>
  <c r="AZ298" i="1"/>
  <c r="BA298" i="1"/>
  <c r="BB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BC298" i="1"/>
  <c r="CT298" i="1"/>
  <c r="AZ297" i="1"/>
  <c r="BA297" i="1"/>
  <c r="BB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BC297" i="1"/>
  <c r="CT297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6" i="1"/>
  <c r="BA26" i="1"/>
  <c r="BB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BC26" i="1"/>
  <c r="CT26" i="1"/>
  <c r="AZ265" i="1"/>
  <c r="BA265" i="1"/>
  <c r="BB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BC265" i="1"/>
  <c r="CT265" i="1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BC234" i="1"/>
  <c r="CT234" i="1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AZ144" i="1"/>
  <c r="BA144" i="1"/>
  <c r="BB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BC144" i="1"/>
  <c r="CT144" i="1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BC143" i="1"/>
  <c r="CT143" i="1"/>
  <c r="B381" i="6"/>
  <c r="C381" i="6"/>
  <c r="D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Z369" i="1"/>
  <c r="BA369" i="1"/>
  <c r="BB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BC369" i="1"/>
  <c r="CT369" i="1"/>
  <c r="H381" i="5"/>
  <c r="H53" i="2"/>
  <c r="B380" i="4"/>
  <c r="H380" i="4"/>
  <c r="K381" i="5"/>
  <c r="F45" i="2"/>
  <c r="B381" i="5"/>
  <c r="C52" i="2"/>
  <c r="C381" i="4"/>
  <c r="C53" i="2"/>
  <c r="C380" i="4"/>
  <c r="C381" i="5"/>
  <c r="D381" i="4"/>
  <c r="D53" i="2"/>
  <c r="D380" i="4"/>
  <c r="E381" i="5"/>
  <c r="F381" i="5"/>
  <c r="I381" i="5"/>
  <c r="H381" i="4"/>
  <c r="I381" i="4"/>
  <c r="I53" i="2"/>
  <c r="I380" i="4"/>
  <c r="L381" i="5"/>
  <c r="J381" i="4"/>
  <c r="J53" i="2"/>
  <c r="J380" i="4"/>
  <c r="N381" i="5"/>
  <c r="K381" i="4"/>
  <c r="K53" i="2"/>
  <c r="K380" i="4"/>
  <c r="O381" i="5"/>
  <c r="L381" i="4"/>
  <c r="L53" i="2"/>
  <c r="L380" i="4"/>
  <c r="Q381" i="5"/>
  <c r="M381" i="4"/>
  <c r="M53" i="2"/>
  <c r="M380" i="4"/>
  <c r="R381" i="5"/>
  <c r="N52" i="2"/>
  <c r="N381" i="4"/>
  <c r="N53" i="2"/>
  <c r="N380" i="4"/>
  <c r="T381" i="5"/>
  <c r="O52" i="2"/>
  <c r="O381" i="4"/>
  <c r="O53" i="2"/>
  <c r="O380" i="4"/>
  <c r="U381" i="5"/>
  <c r="P52" i="2"/>
  <c r="P381" i="4"/>
  <c r="P53" i="2"/>
  <c r="P380" i="4"/>
  <c r="W381" i="5"/>
  <c r="Q52" i="2"/>
  <c r="Q381" i="4"/>
  <c r="Q53" i="2"/>
  <c r="Q380" i="4"/>
  <c r="X381" i="5"/>
  <c r="Z381" i="5"/>
  <c r="S52" i="2"/>
  <c r="S381" i="4"/>
  <c r="S53" i="2"/>
  <c r="S380" i="4"/>
  <c r="AA381" i="5"/>
  <c r="T53" i="2"/>
  <c r="T380" i="4"/>
  <c r="AC381" i="5"/>
  <c r="U53" i="2"/>
  <c r="U380" i="4"/>
  <c r="AD381" i="5"/>
  <c r="V381" i="4"/>
  <c r="V53" i="2"/>
  <c r="V380" i="4"/>
  <c r="AF381" i="5"/>
  <c r="W52" i="2"/>
  <c r="W381" i="4"/>
  <c r="W53" i="2"/>
  <c r="W380" i="4"/>
  <c r="AG381" i="5"/>
  <c r="X52" i="2"/>
  <c r="X381" i="4"/>
  <c r="X53" i="2"/>
  <c r="X380" i="4"/>
  <c r="AI381" i="5"/>
  <c r="Y52" i="2"/>
  <c r="Y381" i="4"/>
  <c r="Y53" i="2"/>
  <c r="Y380" i="4"/>
  <c r="AJ381" i="5"/>
  <c r="Z52" i="2"/>
  <c r="Z381" i="4"/>
  <c r="Z53" i="2"/>
  <c r="Z380" i="4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D410" i="9"/>
  <c r="E410" i="9"/>
  <c r="F410" i="9"/>
  <c r="G410" i="9"/>
  <c r="E52" i="2"/>
  <c r="E53" i="2"/>
  <c r="E380" i="4"/>
  <c r="F52" i="2"/>
  <c r="F53" i="2"/>
  <c r="F380" i="4"/>
  <c r="R52" i="2"/>
  <c r="R53" i="2"/>
  <c r="R380" i="4"/>
  <c r="AA380" i="4"/>
  <c r="AC380" i="4"/>
  <c r="AD380" i="4"/>
  <c r="AE380" i="4"/>
  <c r="AF380" i="4"/>
  <c r="AG380" i="4"/>
  <c r="AH380" i="4"/>
  <c r="AI380" i="4"/>
  <c r="AJ380" i="4"/>
  <c r="AK380" i="4"/>
  <c r="AL380" i="4"/>
  <c r="G53" i="2"/>
  <c r="AA53" i="2"/>
  <c r="AB53" i="2"/>
  <c r="E380" i="5"/>
  <c r="AC53" i="2"/>
  <c r="AD53" i="2"/>
  <c r="AE53" i="2"/>
  <c r="L380" i="5"/>
  <c r="K380" i="5"/>
  <c r="AF53" i="2"/>
  <c r="AG53" i="2"/>
  <c r="AH53" i="2"/>
  <c r="AI53" i="2"/>
  <c r="AJ53" i="2"/>
  <c r="O380" i="5"/>
  <c r="N380" i="5"/>
  <c r="AK53" i="2"/>
  <c r="R380" i="5"/>
  <c r="Q380" i="5"/>
  <c r="AL53" i="2"/>
  <c r="AM53" i="2"/>
  <c r="AZ368" i="1"/>
  <c r="BA368" i="1"/>
  <c r="BB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BC368" i="1"/>
  <c r="CT368" i="1"/>
  <c r="AZ367" i="1"/>
  <c r="BA367" i="1"/>
  <c r="BB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BC367" i="1"/>
  <c r="CT367" i="1"/>
  <c r="D44" i="7"/>
  <c r="E44" i="7"/>
  <c r="AZ68" i="1"/>
  <c r="BA68" i="1"/>
  <c r="BB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BC68" i="1"/>
  <c r="CT68" i="1"/>
  <c r="AZ187" i="1"/>
  <c r="BA187" i="1"/>
  <c r="BB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BC187" i="1"/>
  <c r="CT187" i="1"/>
  <c r="C57" i="2"/>
  <c r="E57" i="2"/>
  <c r="F57" i="2"/>
  <c r="G57" i="2"/>
  <c r="I57" i="2"/>
  <c r="J57" i="2"/>
  <c r="K57" i="2"/>
  <c r="N57" i="2"/>
  <c r="O57" i="2"/>
  <c r="P57" i="2"/>
  <c r="Q57" i="2"/>
  <c r="R57" i="2"/>
  <c r="S57" i="2"/>
  <c r="T57" i="2"/>
  <c r="U57" i="2"/>
  <c r="V57" i="2"/>
  <c r="X57" i="2"/>
  <c r="Y57" i="2"/>
  <c r="Z57" i="2"/>
  <c r="AA57" i="2"/>
  <c r="AB57" i="2"/>
  <c r="E56" i="2"/>
  <c r="B187" i="4"/>
  <c r="E187" i="4"/>
  <c r="F78" i="5"/>
  <c r="D56" i="2"/>
  <c r="D187" i="4"/>
  <c r="E78" i="5"/>
  <c r="D40" i="2"/>
  <c r="F287" i="5"/>
  <c r="AC57" i="2"/>
  <c r="I78" i="5"/>
  <c r="F56" i="2"/>
  <c r="F187" i="4"/>
  <c r="H78" i="5"/>
  <c r="H287" i="5"/>
  <c r="I287" i="5"/>
  <c r="AD57" i="2"/>
  <c r="AE57" i="2"/>
  <c r="H56" i="2"/>
  <c r="H187" i="4"/>
  <c r="K78" i="5"/>
  <c r="H40" i="2"/>
  <c r="L287" i="5"/>
  <c r="AF57" i="2"/>
  <c r="AG57" i="2"/>
  <c r="AH57" i="2"/>
  <c r="AI57" i="2"/>
  <c r="AJ57" i="2"/>
  <c r="N287" i="5"/>
  <c r="O287" i="5"/>
  <c r="AK57" i="2"/>
  <c r="M56" i="2"/>
  <c r="M187" i="4"/>
  <c r="R78" i="5"/>
  <c r="L56" i="2"/>
  <c r="L187" i="4"/>
  <c r="Q78" i="5"/>
  <c r="M40" i="2"/>
  <c r="L40" i="2"/>
  <c r="AL57" i="2"/>
  <c r="AM57" i="2"/>
  <c r="AZ215" i="1"/>
  <c r="BA215" i="1"/>
  <c r="BB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BC215" i="1"/>
  <c r="CT215" i="1"/>
  <c r="AZ214" i="1"/>
  <c r="BA214" i="1"/>
  <c r="BB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BC214" i="1"/>
  <c r="CT214" i="1"/>
  <c r="AZ213" i="1"/>
  <c r="BA213" i="1"/>
  <c r="BB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BC213" i="1"/>
  <c r="CT213" i="1"/>
  <c r="AZ259" i="1"/>
  <c r="BA259" i="1"/>
  <c r="BB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BC259" i="1"/>
  <c r="CT259" i="1"/>
  <c r="AZ258" i="1"/>
  <c r="BA258" i="1"/>
  <c r="BB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BC258" i="1"/>
  <c r="CT258" i="1"/>
  <c r="AZ257" i="1"/>
  <c r="BA257" i="1"/>
  <c r="BB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BC257" i="1"/>
  <c r="CT257" i="1"/>
  <c r="AZ256" i="1"/>
  <c r="BA256" i="1"/>
  <c r="BB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BC256" i="1"/>
  <c r="CT256" i="1"/>
  <c r="AZ255" i="1"/>
  <c r="BA255" i="1"/>
  <c r="BB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BC255" i="1"/>
  <c r="CT255" i="1"/>
  <c r="AZ254" i="1"/>
  <c r="BA254" i="1"/>
  <c r="BB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BC254" i="1"/>
  <c r="CT254" i="1"/>
  <c r="AZ253" i="1"/>
  <c r="BA253" i="1"/>
  <c r="BB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BC253" i="1"/>
  <c r="CT253" i="1"/>
  <c r="AZ252" i="1"/>
  <c r="BA252" i="1"/>
  <c r="BB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BC252" i="1"/>
  <c r="CT252" i="1"/>
  <c r="X54" i="2"/>
  <c r="B262" i="4"/>
  <c r="X262" i="4"/>
  <c r="X56" i="2"/>
  <c r="AK3" i="4"/>
  <c r="AK7" i="4"/>
  <c r="AK4" i="4"/>
  <c r="AK5" i="4"/>
  <c r="AK6" i="4"/>
  <c r="AK9" i="4"/>
  <c r="AK10" i="4"/>
  <c r="AK8" i="4"/>
  <c r="AK12" i="4"/>
  <c r="AK11" i="4"/>
  <c r="AK26" i="4"/>
  <c r="AK23" i="4"/>
  <c r="AK24" i="4"/>
  <c r="AK25" i="4"/>
  <c r="AK16" i="4"/>
  <c r="AK27" i="4"/>
  <c r="AK28" i="4"/>
  <c r="AK14" i="4"/>
  <c r="AK22" i="4"/>
  <c r="AK20" i="4"/>
  <c r="AK21" i="4"/>
  <c r="AK18" i="4"/>
  <c r="AK13" i="4"/>
  <c r="AK19" i="4"/>
  <c r="AK17" i="4"/>
  <c r="AK15" i="4"/>
  <c r="AK49" i="4"/>
  <c r="AK50" i="4"/>
  <c r="AK45" i="4"/>
  <c r="AK47" i="4"/>
  <c r="AK52" i="4"/>
  <c r="AK54" i="4"/>
  <c r="AK48" i="4"/>
  <c r="AK42" i="4"/>
  <c r="AK53" i="4"/>
  <c r="AK51" i="4"/>
  <c r="AK55" i="4"/>
  <c r="AK56" i="4"/>
  <c r="AK57" i="4"/>
  <c r="AK30" i="4"/>
  <c r="AK43" i="4"/>
  <c r="AK44" i="4"/>
  <c r="AK40" i="4"/>
  <c r="AK39" i="4"/>
  <c r="AK31" i="4"/>
  <c r="AK38" i="4"/>
  <c r="AK29" i="4"/>
  <c r="AK32" i="4"/>
  <c r="AK41" i="4"/>
  <c r="AK33" i="4"/>
  <c r="AK36" i="4"/>
  <c r="AK46" i="4"/>
  <c r="AK37" i="4"/>
  <c r="AK34" i="4"/>
  <c r="AK35" i="4"/>
  <c r="AK77" i="4"/>
  <c r="AK82" i="4"/>
  <c r="AK83" i="4"/>
  <c r="AK84" i="4"/>
  <c r="AK68" i="4"/>
  <c r="AK87" i="4"/>
  <c r="AK100" i="4"/>
  <c r="AK73" i="4"/>
  <c r="AK91" i="4"/>
  <c r="AK92" i="4"/>
  <c r="AK93" i="4"/>
  <c r="AK95" i="4"/>
  <c r="AK96" i="4"/>
  <c r="AK80" i="4"/>
  <c r="AK74" i="4"/>
  <c r="AK85" i="4"/>
  <c r="AK86" i="4"/>
  <c r="AK88" i="4"/>
  <c r="AK90" i="4"/>
  <c r="AK59" i="4"/>
  <c r="AK65" i="4"/>
  <c r="AK69" i="4"/>
  <c r="AK72" i="4"/>
  <c r="AK89" i="4"/>
  <c r="AK94" i="4"/>
  <c r="AK71" i="4"/>
  <c r="AK79" i="4"/>
  <c r="AK101" i="4"/>
  <c r="AK64" i="4"/>
  <c r="AK97" i="4"/>
  <c r="AK99" i="4"/>
  <c r="AK78" i="4"/>
  <c r="AK70" i="4"/>
  <c r="AK60" i="4"/>
  <c r="AK63" i="4"/>
  <c r="AK61" i="4"/>
  <c r="AK98" i="4"/>
  <c r="AK62" i="4"/>
  <c r="AK75" i="4"/>
  <c r="AK76" i="4"/>
  <c r="AK58" i="4"/>
  <c r="AK66" i="4"/>
  <c r="AK81" i="4"/>
  <c r="AK67" i="4"/>
  <c r="AK113" i="4"/>
  <c r="AK116" i="4"/>
  <c r="AK114" i="4"/>
  <c r="AK111" i="4"/>
  <c r="AK117" i="4"/>
  <c r="AK112" i="4"/>
  <c r="AK115" i="4"/>
  <c r="AK105" i="4"/>
  <c r="AK118" i="4"/>
  <c r="AK104" i="4"/>
  <c r="AK103" i="4"/>
  <c r="AK109" i="4"/>
  <c r="AK110" i="4"/>
  <c r="AK102" i="4"/>
  <c r="AK107" i="4"/>
  <c r="AK106" i="4"/>
  <c r="AK108" i="4"/>
  <c r="AK130" i="4"/>
  <c r="AK131" i="4"/>
  <c r="AK132" i="4"/>
  <c r="AK133" i="4"/>
  <c r="AK121" i="4"/>
  <c r="AK141" i="4"/>
  <c r="AK129" i="4"/>
  <c r="AK122" i="4"/>
  <c r="AK145" i="4"/>
  <c r="AK127" i="4"/>
  <c r="AK134" i="4"/>
  <c r="AK135" i="4"/>
  <c r="AK137" i="4"/>
  <c r="AK138" i="4"/>
  <c r="AK139" i="4"/>
  <c r="AK140" i="4"/>
  <c r="AK142" i="4"/>
  <c r="AK143" i="4"/>
  <c r="AK123" i="4"/>
  <c r="AK124" i="4"/>
  <c r="AK144" i="4"/>
  <c r="AK120" i="4"/>
  <c r="AK126" i="4"/>
  <c r="AK125" i="4"/>
  <c r="AK128" i="4"/>
  <c r="AK136" i="4"/>
  <c r="AK119" i="4"/>
  <c r="AK149" i="4"/>
  <c r="AK179" i="4"/>
  <c r="AK180" i="4"/>
  <c r="AK151" i="4"/>
  <c r="AK162" i="4"/>
  <c r="AK163" i="4"/>
  <c r="AK156" i="4"/>
  <c r="AK164" i="4"/>
  <c r="AK155" i="4"/>
  <c r="AK161" i="4"/>
  <c r="AK178" i="4"/>
  <c r="AK183" i="4"/>
  <c r="AK176" i="4"/>
  <c r="AK177" i="4"/>
  <c r="AK168" i="4"/>
  <c r="AK173" i="4"/>
  <c r="AK152" i="4"/>
  <c r="AK158" i="4"/>
  <c r="AK165" i="4"/>
  <c r="AK166" i="4"/>
  <c r="AK167" i="4"/>
  <c r="AK174" i="4"/>
  <c r="AK169" i="4"/>
  <c r="AK171" i="4"/>
  <c r="AK172" i="4"/>
  <c r="AK170" i="4"/>
  <c r="AK182" i="4"/>
  <c r="AK157" i="4"/>
  <c r="AK159" i="4"/>
  <c r="AK160" i="4"/>
  <c r="AK153" i="4"/>
  <c r="AK184" i="4"/>
  <c r="AK185" i="4"/>
  <c r="AK181" i="4"/>
  <c r="AK148" i="4"/>
  <c r="AK146" i="4"/>
  <c r="AK147" i="4"/>
  <c r="AK150" i="4"/>
  <c r="AK154" i="4"/>
  <c r="AK175" i="4"/>
  <c r="AK188" i="4"/>
  <c r="AK187" i="4"/>
  <c r="AK192" i="4"/>
  <c r="AK199" i="4"/>
  <c r="AK186" i="4"/>
  <c r="AK190" i="4"/>
  <c r="AK196" i="4"/>
  <c r="AK197" i="4"/>
  <c r="AK194" i="4"/>
  <c r="AK191" i="4"/>
  <c r="AK189" i="4"/>
  <c r="AK200" i="4"/>
  <c r="AK201" i="4"/>
  <c r="AK193" i="4"/>
  <c r="AK195" i="4"/>
  <c r="AK198" i="4"/>
  <c r="AK204" i="4"/>
  <c r="AK206" i="4"/>
  <c r="AK202" i="4"/>
  <c r="AK207" i="4"/>
  <c r="AK208" i="4"/>
  <c r="AK209" i="4"/>
  <c r="AK205" i="4"/>
  <c r="AK203" i="4"/>
  <c r="AK210" i="4"/>
  <c r="AK213" i="4"/>
  <c r="AK218" i="4"/>
  <c r="AK212" i="4"/>
  <c r="AK214" i="4"/>
  <c r="AK211" i="4"/>
  <c r="AK215" i="4"/>
  <c r="AK217" i="4"/>
  <c r="AK216" i="4"/>
  <c r="AK220" i="4"/>
  <c r="AK221" i="4"/>
  <c r="AK232" i="4"/>
  <c r="AK228" i="4"/>
  <c r="AK230" i="4"/>
  <c r="AK222" i="4"/>
  <c r="AK231" i="4"/>
  <c r="AK219" i="4"/>
  <c r="AK229" i="4"/>
  <c r="AK223" i="4"/>
  <c r="AK224" i="4"/>
  <c r="AK225" i="4"/>
  <c r="AK226" i="4"/>
  <c r="AK227" i="4"/>
  <c r="AK245" i="4"/>
  <c r="AK233" i="4"/>
  <c r="AK238" i="4"/>
  <c r="AK240" i="4"/>
  <c r="AK241" i="4"/>
  <c r="AK243" i="4"/>
  <c r="AK244" i="4"/>
  <c r="AK247" i="4"/>
  <c r="AK250" i="4"/>
  <c r="AK263" i="4"/>
  <c r="AK239" i="4"/>
  <c r="AK242" i="4"/>
  <c r="AK251" i="4"/>
  <c r="AK252" i="4"/>
  <c r="AK246" i="4"/>
  <c r="AK248" i="4"/>
  <c r="AK234" i="4"/>
  <c r="AK235" i="4"/>
  <c r="AK249" i="4"/>
  <c r="AK253" i="4"/>
  <c r="AK255" i="4"/>
  <c r="AK256" i="4"/>
  <c r="AK258" i="4"/>
  <c r="AK237" i="4"/>
  <c r="AK254" i="4"/>
  <c r="AK262" i="4"/>
  <c r="AK257" i="4"/>
  <c r="AK259" i="4"/>
  <c r="AK260" i="4"/>
  <c r="AK261" i="4"/>
  <c r="AK236" i="4"/>
  <c r="AK286" i="4"/>
  <c r="AK264" i="4"/>
  <c r="AK265" i="4"/>
  <c r="AK266" i="4"/>
  <c r="AK267" i="4"/>
  <c r="AK268" i="4"/>
  <c r="AK269" i="4"/>
  <c r="AK270" i="4"/>
  <c r="AK271" i="4"/>
  <c r="AK272" i="4"/>
  <c r="AK287" i="4"/>
  <c r="AK273" i="4"/>
  <c r="AK278" i="4"/>
  <c r="AK284" i="4"/>
  <c r="AK279" i="4"/>
  <c r="AK280" i="4"/>
  <c r="AK281" i="4"/>
  <c r="AK285" i="4"/>
  <c r="AK277" i="4"/>
  <c r="AK276" i="4"/>
  <c r="AK275" i="4"/>
  <c r="AK283" i="4"/>
  <c r="AK274" i="4"/>
  <c r="AK288" i="4"/>
  <c r="AK290" i="4"/>
  <c r="AK291" i="4"/>
  <c r="AK292" i="4"/>
  <c r="AK294" i="4"/>
  <c r="AK289" i="4"/>
  <c r="AK293" i="4"/>
  <c r="AK295" i="4"/>
  <c r="AK296" i="4"/>
  <c r="AK297" i="4"/>
  <c r="AK298" i="4"/>
  <c r="AK299" i="4"/>
  <c r="AK300" i="4"/>
  <c r="AK301" i="4"/>
  <c r="AK302" i="4"/>
  <c r="AK303" i="4"/>
  <c r="AK304" i="4"/>
  <c r="AK305" i="4"/>
  <c r="AK306" i="4"/>
  <c r="AK307" i="4"/>
  <c r="AK308" i="4"/>
  <c r="AK309" i="4"/>
  <c r="AK310" i="4"/>
  <c r="AK311" i="4"/>
  <c r="AK312" i="4"/>
  <c r="AK313" i="4"/>
  <c r="AK314" i="4"/>
  <c r="AK315" i="4"/>
  <c r="AK316" i="4"/>
  <c r="AK317" i="4"/>
  <c r="AK333" i="4"/>
  <c r="AK331" i="4"/>
  <c r="AK332" i="4"/>
  <c r="AK324" i="4"/>
  <c r="AK334" i="4"/>
  <c r="AK323" i="4"/>
  <c r="AK322" i="4"/>
  <c r="AK325" i="4"/>
  <c r="AK318" i="4"/>
  <c r="AK319" i="4"/>
  <c r="AK320" i="4"/>
  <c r="AK321" i="4"/>
  <c r="AK326" i="4"/>
  <c r="AK327" i="4"/>
  <c r="AK328" i="4"/>
  <c r="AK329" i="4"/>
  <c r="AK330" i="4"/>
  <c r="AK341" i="4"/>
  <c r="AK339" i="4"/>
  <c r="AK337" i="4"/>
  <c r="AK338" i="4"/>
  <c r="AK340" i="4"/>
  <c r="AK335" i="4"/>
  <c r="AK336" i="4"/>
  <c r="AK342" i="4"/>
  <c r="AK346" i="4"/>
  <c r="AK345" i="4"/>
  <c r="AK343" i="4"/>
  <c r="AK344" i="4"/>
  <c r="AK347" i="4"/>
  <c r="AK348" i="4"/>
  <c r="AK349" i="4"/>
  <c r="AK351" i="4"/>
  <c r="AK350" i="4"/>
  <c r="AK352" i="4"/>
  <c r="AK353" i="4"/>
  <c r="AK354" i="4"/>
  <c r="AK355" i="4"/>
  <c r="AK358" i="4"/>
  <c r="AK359" i="4"/>
  <c r="AK356" i="4"/>
  <c r="AK357" i="4"/>
  <c r="AK360" i="4"/>
  <c r="AK361" i="4"/>
  <c r="AK362" i="4"/>
  <c r="AK364" i="4"/>
  <c r="AK365" i="4"/>
  <c r="AK366" i="4"/>
  <c r="AK367" i="4"/>
  <c r="AK363" i="4"/>
  <c r="AK368" i="4"/>
  <c r="AK369" i="4"/>
  <c r="AK370" i="4"/>
  <c r="AK371" i="4"/>
  <c r="AK372" i="4"/>
  <c r="AK373" i="4"/>
  <c r="AK374" i="4"/>
  <c r="AK375" i="4"/>
  <c r="AK376" i="4"/>
  <c r="AK377" i="4"/>
  <c r="AK378" i="4"/>
  <c r="AK379" i="4"/>
  <c r="AK381" i="4"/>
  <c r="AK382" i="4"/>
  <c r="AK383" i="4"/>
  <c r="AK384" i="4"/>
  <c r="AK385" i="4"/>
  <c r="AK386" i="4"/>
  <c r="AK387" i="4"/>
  <c r="AK390" i="4"/>
  <c r="AK389" i="4"/>
  <c r="AK388" i="4"/>
  <c r="AK391" i="4"/>
  <c r="AK392" i="4"/>
  <c r="AK393" i="4"/>
  <c r="AK394" i="4"/>
  <c r="AK395" i="4"/>
  <c r="AK396" i="4"/>
  <c r="AK397" i="4"/>
  <c r="AK398" i="4"/>
  <c r="AK399" i="4"/>
  <c r="AK400" i="4"/>
  <c r="AK401" i="4"/>
  <c r="AK402" i="4"/>
  <c r="AK403" i="4"/>
  <c r="AK404" i="4"/>
  <c r="AK405" i="4"/>
  <c r="AK406" i="4"/>
  <c r="AK407" i="4"/>
  <c r="AK408" i="4"/>
  <c r="AK409" i="4"/>
  <c r="AK410" i="4"/>
  <c r="AK411" i="4"/>
  <c r="AK2" i="4"/>
  <c r="B7" i="3"/>
  <c r="C7" i="3"/>
  <c r="AI272" i="4"/>
  <c r="H7" i="3"/>
  <c r="H8" i="3"/>
  <c r="H9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U272" i="4" a="1"/>
  <c r="U272" i="4"/>
  <c r="AD94" i="5"/>
  <c r="T272" i="4" a="1"/>
  <c r="T272" i="4"/>
  <c r="AC94" i="5"/>
  <c r="E7" i="3"/>
  <c r="C56" i="2"/>
  <c r="G56" i="2"/>
  <c r="I56" i="2"/>
  <c r="J56" i="2"/>
  <c r="K56" i="2"/>
  <c r="N56" i="2"/>
  <c r="O56" i="2"/>
  <c r="P56" i="2"/>
  <c r="Q56" i="2"/>
  <c r="R56" i="2"/>
  <c r="S56" i="2"/>
  <c r="T56" i="2"/>
  <c r="U56" i="2"/>
  <c r="V56" i="2"/>
  <c r="Y56" i="2"/>
  <c r="Z56" i="2"/>
  <c r="AA56" i="2"/>
  <c r="AB56" i="2"/>
  <c r="D55" i="2"/>
  <c r="D232" i="4"/>
  <c r="E20" i="5"/>
  <c r="E18" i="2"/>
  <c r="D18" i="2"/>
  <c r="AC56" i="2"/>
  <c r="F18" i="2"/>
  <c r="AD56" i="2"/>
  <c r="AE56" i="2"/>
  <c r="H55" i="2"/>
  <c r="H232" i="4"/>
  <c r="K20" i="5"/>
  <c r="H18" i="2"/>
  <c r="L78" i="5"/>
  <c r="AF56" i="2"/>
  <c r="AG56" i="2"/>
  <c r="AH56" i="2"/>
  <c r="AI56" i="2"/>
  <c r="AJ56" i="2"/>
  <c r="N78" i="5"/>
  <c r="O78" i="5"/>
  <c r="AK56" i="2"/>
  <c r="M55" i="2"/>
  <c r="M232" i="4"/>
  <c r="R20" i="5"/>
  <c r="L55" i="2"/>
  <c r="L232" i="4"/>
  <c r="Q20" i="5"/>
  <c r="M18" i="2"/>
  <c r="L18" i="2"/>
  <c r="AL56" i="2"/>
  <c r="AM56" i="2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BC142" i="1"/>
  <c r="CT142" i="1"/>
  <c r="AZ141" i="1"/>
  <c r="BA141" i="1"/>
  <c r="BB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BC141" i="1"/>
  <c r="CT141" i="1"/>
  <c r="AZ365" i="1"/>
  <c r="BA365" i="1"/>
  <c r="BB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BC365" i="1"/>
  <c r="CT365" i="1"/>
  <c r="AZ364" i="1"/>
  <c r="BA364" i="1"/>
  <c r="BB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BC364" i="1"/>
  <c r="CT364" i="1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S51" i="2"/>
  <c r="B361" i="4"/>
  <c r="S361" i="4"/>
  <c r="AZ351" i="1"/>
  <c r="BA351" i="1"/>
  <c r="BB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BC351" i="1"/>
  <c r="CT351" i="1"/>
  <c r="AZ350" i="1"/>
  <c r="BA350" i="1"/>
  <c r="BB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BC350" i="1"/>
  <c r="CT350" i="1"/>
  <c r="AZ336" i="1"/>
  <c r="BA336" i="1"/>
  <c r="BB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BC336" i="1"/>
  <c r="CT336" i="1"/>
  <c r="AZ67" i="1"/>
  <c r="BA67" i="1"/>
  <c r="BB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BC67" i="1"/>
  <c r="CT67" i="1"/>
  <c r="AZ66" i="1"/>
  <c r="BA66" i="1"/>
  <c r="BB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BC66" i="1"/>
  <c r="CT66" i="1"/>
  <c r="B57" i="4"/>
  <c r="H57" i="4"/>
  <c r="H30" i="2"/>
  <c r="S9" i="2"/>
  <c r="B147" i="4"/>
  <c r="S8" i="2"/>
  <c r="S147" i="4"/>
  <c r="N30" i="2"/>
  <c r="B227" i="4"/>
  <c r="N227" i="4"/>
  <c r="N9" i="2"/>
  <c r="N25" i="2"/>
  <c r="N16" i="2"/>
  <c r="N21" i="2"/>
  <c r="N5" i="2"/>
  <c r="N8" i="2"/>
  <c r="N18" i="2"/>
  <c r="N44" i="2"/>
  <c r="N181" i="4"/>
  <c r="B31" i="4"/>
  <c r="N31" i="4"/>
  <c r="C9" i="2"/>
  <c r="G9" i="2"/>
  <c r="K9" i="2"/>
  <c r="O9" i="2"/>
  <c r="P9" i="2"/>
  <c r="Q9" i="2"/>
  <c r="R9" i="2"/>
  <c r="T9" i="2"/>
  <c r="U9" i="2"/>
  <c r="V9" i="2"/>
  <c r="X9" i="2"/>
  <c r="Y9" i="2"/>
  <c r="Z9" i="2"/>
  <c r="AA9" i="2"/>
  <c r="AB9" i="2"/>
  <c r="D8" i="2"/>
  <c r="B119" i="4"/>
  <c r="D119" i="4"/>
  <c r="E44" i="5"/>
  <c r="D147" i="4"/>
  <c r="E45" i="5"/>
  <c r="F45" i="5"/>
  <c r="AC9" i="2"/>
  <c r="H45" i="5"/>
  <c r="I45" i="5"/>
  <c r="AD9" i="2"/>
  <c r="AE9" i="2"/>
  <c r="H8" i="2"/>
  <c r="H119" i="4"/>
  <c r="K44" i="5"/>
  <c r="H147" i="4"/>
  <c r="K45" i="5"/>
  <c r="L45" i="5"/>
  <c r="AF9" i="2"/>
  <c r="AG9" i="2"/>
  <c r="AH9" i="2"/>
  <c r="AI9" i="2"/>
  <c r="AJ9" i="2"/>
  <c r="N45" i="5"/>
  <c r="O45" i="5"/>
  <c r="AK9" i="2"/>
  <c r="M8" i="2"/>
  <c r="M119" i="4"/>
  <c r="R44" i="5"/>
  <c r="L8" i="2"/>
  <c r="L119" i="4"/>
  <c r="Q44" i="5"/>
  <c r="M147" i="4"/>
  <c r="R45" i="5"/>
  <c r="L147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AZ21" i="1"/>
  <c r="BA21" i="1"/>
  <c r="BB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S4" i="2"/>
  <c r="B41" i="4"/>
  <c r="S5" i="2"/>
  <c r="S41" i="4"/>
  <c r="S42" i="2"/>
  <c r="S16" i="2"/>
  <c r="B38" i="4"/>
  <c r="S38" i="4"/>
  <c r="S17" i="2"/>
  <c r="B39" i="4"/>
  <c r="S39" i="4"/>
  <c r="B40" i="4"/>
  <c r="S40" i="4"/>
  <c r="S12" i="2"/>
  <c r="B35" i="4"/>
  <c r="S35" i="4"/>
  <c r="S10" i="2"/>
  <c r="B36" i="4"/>
  <c r="S36" i="4"/>
  <c r="B37" i="4"/>
  <c r="S37" i="4"/>
  <c r="S11" i="2"/>
  <c r="B32" i="4"/>
  <c r="S32" i="4"/>
  <c r="S13" i="2"/>
  <c r="B33" i="4"/>
  <c r="S33" i="4"/>
  <c r="B34" i="4"/>
  <c r="S34" i="4"/>
  <c r="S31" i="4"/>
  <c r="B30" i="4"/>
  <c r="S30" i="4"/>
  <c r="B29" i="4"/>
  <c r="S29" i="4"/>
  <c r="N4" i="2"/>
  <c r="N41" i="4"/>
  <c r="C4" i="2"/>
  <c r="D4" i="2"/>
  <c r="E4" i="2"/>
  <c r="F4" i="2"/>
  <c r="G4" i="2"/>
  <c r="H4" i="2"/>
  <c r="I4" i="2"/>
  <c r="J4" i="2"/>
  <c r="K4" i="2"/>
  <c r="L4" i="2"/>
  <c r="M4" i="2"/>
  <c r="O4" i="2"/>
  <c r="P4" i="2"/>
  <c r="Q4" i="2"/>
  <c r="R4" i="2"/>
  <c r="T4" i="2"/>
  <c r="U4" i="2"/>
  <c r="V4" i="2"/>
  <c r="X4" i="2"/>
  <c r="Y4" i="2"/>
  <c r="Z4" i="2"/>
  <c r="AA4" i="2"/>
  <c r="AB4" i="2"/>
  <c r="D5" i="2"/>
  <c r="B66" i="4"/>
  <c r="D66" i="4"/>
  <c r="E262" i="5"/>
  <c r="D41" i="4"/>
  <c r="E253" i="5"/>
  <c r="F253" i="5"/>
  <c r="AC4" i="2"/>
  <c r="H253" i="5"/>
  <c r="I253" i="5"/>
  <c r="AD4" i="2"/>
  <c r="AE4" i="2"/>
  <c r="H5" i="2"/>
  <c r="H66" i="4"/>
  <c r="K262" i="5"/>
  <c r="H41" i="4"/>
  <c r="K253" i="5"/>
  <c r="L253" i="5"/>
  <c r="AF4" i="2"/>
  <c r="AG4" i="2"/>
  <c r="AH4" i="2"/>
  <c r="AI4" i="2"/>
  <c r="AJ4" i="2"/>
  <c r="N253" i="5"/>
  <c r="O253" i="5"/>
  <c r="AK4" i="2"/>
  <c r="M5" i="2"/>
  <c r="M66" i="4"/>
  <c r="R262" i="5"/>
  <c r="L5" i="2"/>
  <c r="L66" i="4"/>
  <c r="Q262" i="5"/>
  <c r="M41" i="4"/>
  <c r="R253" i="5"/>
  <c r="L41" i="4"/>
  <c r="Q253" i="5"/>
  <c r="AL4" i="2"/>
  <c r="AM4" i="2"/>
  <c r="AZ171" i="1"/>
  <c r="BA171" i="1"/>
  <c r="BB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BC171" i="1"/>
  <c r="CT171" i="1"/>
  <c r="AZ229" i="1"/>
  <c r="BA229" i="1"/>
  <c r="BB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BC229" i="1"/>
  <c r="CT229" i="1"/>
  <c r="AZ331" i="1"/>
  <c r="BA331" i="1"/>
  <c r="BB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BC331" i="1"/>
  <c r="CT331" i="1"/>
  <c r="AZ65" i="1"/>
  <c r="BA65" i="1"/>
  <c r="BB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BC65" i="1"/>
  <c r="CT65" i="1"/>
  <c r="AZ64" i="1"/>
  <c r="BA64" i="1"/>
  <c r="BB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BC64" i="1"/>
  <c r="CT64" i="1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N2" i="2"/>
  <c r="B237" i="4"/>
  <c r="M237" i="4"/>
  <c r="M24" i="2"/>
  <c r="B238" i="4"/>
  <c r="M238" i="4"/>
  <c r="B236" i="4"/>
  <c r="N236" i="4"/>
  <c r="N19" i="2"/>
  <c r="N24" i="2"/>
  <c r="N238" i="4"/>
  <c r="N3" i="2"/>
  <c r="B239" i="4"/>
  <c r="N239" i="4"/>
  <c r="B240" i="4"/>
  <c r="N240" i="4"/>
  <c r="B241" i="4"/>
  <c r="N241" i="4"/>
  <c r="B242" i="4"/>
  <c r="N242" i="4"/>
  <c r="B235" i="4"/>
  <c r="N235" i="4"/>
  <c r="N32" i="2"/>
  <c r="B218" i="4"/>
  <c r="N218" i="4"/>
  <c r="N20" i="2"/>
  <c r="B219" i="4"/>
  <c r="N219" i="4"/>
  <c r="B220" i="4"/>
  <c r="N22" i="2"/>
  <c r="N220" i="4"/>
  <c r="B221" i="4"/>
  <c r="N221" i="4"/>
  <c r="B222" i="4"/>
  <c r="N222" i="4"/>
  <c r="N43" i="2"/>
  <c r="B223" i="4"/>
  <c r="N223" i="4"/>
  <c r="B224" i="4"/>
  <c r="N224" i="4"/>
  <c r="B225" i="4"/>
  <c r="N225" i="4"/>
  <c r="B226" i="4"/>
  <c r="N226" i="4"/>
  <c r="N41" i="2"/>
  <c r="B228" i="4"/>
  <c r="N228" i="4"/>
  <c r="B229" i="4"/>
  <c r="N229" i="4"/>
  <c r="B230" i="4"/>
  <c r="N230" i="4"/>
  <c r="N42" i="2"/>
  <c r="N231" i="4"/>
  <c r="B233" i="4"/>
  <c r="N233" i="4"/>
  <c r="B234" i="4"/>
  <c r="N234" i="4"/>
  <c r="O41" i="2"/>
  <c r="O230" i="4"/>
  <c r="O55" i="2"/>
  <c r="O232" i="4"/>
  <c r="O3" i="2"/>
  <c r="O24" i="2"/>
  <c r="O233" i="4"/>
  <c r="N55" i="2"/>
  <c r="N232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54" i="2"/>
  <c r="C262" i="4"/>
  <c r="C55" i="2"/>
  <c r="C232" i="4"/>
  <c r="C20" i="5"/>
  <c r="D54" i="2"/>
  <c r="D262" i="4"/>
  <c r="F20" i="5"/>
  <c r="H20" i="5"/>
  <c r="I20" i="5"/>
  <c r="H54" i="2"/>
  <c r="H262" i="4"/>
  <c r="L20" i="5"/>
  <c r="N20" i="5"/>
  <c r="O20" i="5"/>
  <c r="L54" i="2"/>
  <c r="L262" i="4"/>
  <c r="M54" i="2"/>
  <c r="M262" i="4"/>
  <c r="N54" i="2"/>
  <c r="N262" i="4"/>
  <c r="T20" i="5"/>
  <c r="O54" i="2"/>
  <c r="O262" i="4"/>
  <c r="U20" i="5"/>
  <c r="P54" i="2"/>
  <c r="P262" i="4"/>
  <c r="P55" i="2"/>
  <c r="P232" i="4"/>
  <c r="W20" i="5"/>
  <c r="Q54" i="2"/>
  <c r="Q262" i="4"/>
  <c r="Q55" i="2"/>
  <c r="Q232" i="4"/>
  <c r="X20" i="5"/>
  <c r="R54" i="2"/>
  <c r="R262" i="4"/>
  <c r="R55" i="2"/>
  <c r="R232" i="4"/>
  <c r="Z20" i="5"/>
  <c r="S54" i="2"/>
  <c r="S262" i="4"/>
  <c r="S55" i="2"/>
  <c r="S232" i="4"/>
  <c r="AA20" i="5"/>
  <c r="AI262" i="4"/>
  <c r="T262" i="4" a="1"/>
  <c r="T262" i="4"/>
  <c r="AI232" i="4"/>
  <c r="T232" i="4" a="1"/>
  <c r="T232" i="4"/>
  <c r="AC20" i="5"/>
  <c r="U262" i="4" a="1"/>
  <c r="U262" i="4"/>
  <c r="U232" i="4" a="1"/>
  <c r="U232" i="4"/>
  <c r="AD20" i="5"/>
  <c r="AF20" i="5"/>
  <c r="AG20" i="5"/>
  <c r="X55" i="2"/>
  <c r="X232" i="4"/>
  <c r="AI20" i="5"/>
  <c r="Y54" i="2"/>
  <c r="Y262" i="4"/>
  <c r="Y55" i="2"/>
  <c r="Y232" i="4"/>
  <c r="AJ20" i="5"/>
  <c r="Z54" i="2"/>
  <c r="Z262" i="4"/>
  <c r="Z55" i="2"/>
  <c r="Z232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54" i="2"/>
  <c r="E55" i="2"/>
  <c r="E232" i="4"/>
  <c r="F54" i="2"/>
  <c r="F55" i="2"/>
  <c r="F232" i="4"/>
  <c r="I54" i="2"/>
  <c r="I55" i="2"/>
  <c r="I232" i="4"/>
  <c r="J54" i="2"/>
  <c r="J55" i="2"/>
  <c r="J232" i="4"/>
  <c r="K54" i="2"/>
  <c r="K55" i="2"/>
  <c r="K232" i="4"/>
  <c r="AA232" i="4"/>
  <c r="AC232" i="4"/>
  <c r="AD232" i="4"/>
  <c r="AE232" i="4"/>
  <c r="AF232" i="4"/>
  <c r="AG232" i="4"/>
  <c r="AH232" i="4"/>
  <c r="AJ232" i="4"/>
  <c r="AL232" i="4"/>
  <c r="G55" i="2"/>
  <c r="T55" i="2"/>
  <c r="U55" i="2"/>
  <c r="V55" i="2"/>
  <c r="W55" i="2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302" i="1"/>
  <c r="BA302" i="1"/>
  <c r="BB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BC302" i="1"/>
  <c r="CT302" i="1"/>
  <c r="D347" i="9"/>
  <c r="E347" i="9"/>
  <c r="F347" i="9"/>
  <c r="G347" i="9"/>
  <c r="C125" i="7"/>
  <c r="D125" i="7"/>
  <c r="E125" i="7"/>
  <c r="AZ303" i="1"/>
  <c r="BA303" i="1"/>
  <c r="BB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BC303" i="1"/>
  <c r="CT303" i="1"/>
  <c r="AZ251" i="1"/>
  <c r="BA251" i="1"/>
  <c r="BB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BC251" i="1"/>
  <c r="CT251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274" i="1"/>
  <c r="BA274" i="1"/>
  <c r="BB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BC274" i="1"/>
  <c r="CT274" i="1"/>
  <c r="AZ273" i="1"/>
  <c r="BA273" i="1"/>
  <c r="BB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BC273" i="1"/>
  <c r="CT273" i="1"/>
  <c r="X29" i="2"/>
  <c r="B115" i="4"/>
  <c r="X115" i="4"/>
  <c r="N29" i="2"/>
  <c r="N115" i="4"/>
  <c r="X30" i="2"/>
  <c r="B109" i="4"/>
  <c r="X16" i="2"/>
  <c r="X12" i="2"/>
  <c r="X109" i="4"/>
  <c r="Q21" i="2"/>
  <c r="N38" i="2"/>
  <c r="B95" i="4"/>
  <c r="N95" i="4"/>
  <c r="N36" i="2"/>
  <c r="B96" i="4"/>
  <c r="N96" i="4"/>
  <c r="B92" i="4"/>
  <c r="N92" i="4"/>
  <c r="B93" i="4"/>
  <c r="N93" i="4"/>
  <c r="O28" i="2"/>
  <c r="B85" i="4"/>
  <c r="O85" i="4"/>
  <c r="B86" i="4"/>
  <c r="O86" i="4"/>
  <c r="H14" i="2"/>
  <c r="B47" i="4"/>
  <c r="O7" i="2"/>
  <c r="O47" i="4"/>
  <c r="N28" i="2"/>
  <c r="N47" i="4"/>
  <c r="Y51" i="2"/>
  <c r="B369" i="4"/>
  <c r="Y369" i="4"/>
  <c r="AJ356" i="5"/>
  <c r="Q30" i="2"/>
  <c r="Q29" i="2"/>
  <c r="Q185" i="4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V15" i="2"/>
  <c r="V8" i="2"/>
  <c r="V7" i="2"/>
  <c r="V40" i="2"/>
  <c r="V32" i="2"/>
  <c r="V39" i="2"/>
  <c r="V27" i="2"/>
  <c r="V18" i="2"/>
  <c r="V16" i="2"/>
  <c r="V21" i="2"/>
  <c r="V65" i="4"/>
  <c r="V5" i="2"/>
  <c r="V66" i="4"/>
  <c r="V6" i="2"/>
  <c r="B67" i="4"/>
  <c r="V67" i="4"/>
  <c r="C5" i="2"/>
  <c r="C6" i="2"/>
  <c r="C7" i="2"/>
  <c r="C67" i="4"/>
  <c r="D6" i="2"/>
  <c r="D67" i="4"/>
  <c r="E5" i="2"/>
  <c r="E6" i="2"/>
  <c r="E67" i="4"/>
  <c r="F5" i="2"/>
  <c r="F6" i="2"/>
  <c r="F67" i="4"/>
  <c r="H6" i="2"/>
  <c r="H67" i="4"/>
  <c r="I5" i="2"/>
  <c r="I6" i="2"/>
  <c r="I67" i="4"/>
  <c r="J5" i="2"/>
  <c r="J6" i="2"/>
  <c r="J67" i="4"/>
  <c r="L6" i="2"/>
  <c r="L67" i="4"/>
  <c r="M6" i="2"/>
  <c r="M67" i="4"/>
  <c r="N6" i="2"/>
  <c r="N67" i="4"/>
  <c r="O5" i="2"/>
  <c r="O6" i="2"/>
  <c r="O67" i="4"/>
  <c r="P5" i="2"/>
  <c r="P6" i="2"/>
  <c r="P7" i="2"/>
  <c r="P67" i="4"/>
  <c r="Q5" i="2"/>
  <c r="Q6" i="2"/>
  <c r="Q7" i="2"/>
  <c r="Q67" i="4"/>
  <c r="R5" i="2"/>
  <c r="R6" i="2"/>
  <c r="R7" i="2"/>
  <c r="R67" i="4"/>
  <c r="AI67" i="4"/>
  <c r="T67" i="4" a="1"/>
  <c r="T67" i="4"/>
  <c r="U67" i="4" a="1"/>
  <c r="U67" i="4"/>
  <c r="X5" i="2"/>
  <c r="X6" i="2"/>
  <c r="X67" i="4"/>
  <c r="Y5" i="2"/>
  <c r="Y6" i="2"/>
  <c r="Y7" i="2"/>
  <c r="Y67" i="4"/>
  <c r="Z5" i="2"/>
  <c r="Z6" i="2"/>
  <c r="Z7" i="2"/>
  <c r="Z67" i="4"/>
  <c r="AA67" i="4"/>
  <c r="AC67" i="4"/>
  <c r="AD67" i="4"/>
  <c r="AE67" i="4"/>
  <c r="AF67" i="4"/>
  <c r="AG67" i="4"/>
  <c r="AH67" i="4"/>
  <c r="AJ67" i="4"/>
  <c r="AL67" i="4"/>
  <c r="G6" i="2"/>
  <c r="K6" i="2"/>
  <c r="S6" i="2"/>
  <c r="T6" i="2"/>
  <c r="U6" i="2"/>
  <c r="W6" i="2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175" i="1"/>
  <c r="BA175" i="1"/>
  <c r="BB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BC175" i="1"/>
  <c r="CT175" i="1"/>
  <c r="AZ176" i="1"/>
  <c r="BA176" i="1"/>
  <c r="BB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BC176" i="1"/>
  <c r="CT176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28" i="2"/>
  <c r="C86" i="4"/>
  <c r="C19" i="5"/>
  <c r="D28" i="2"/>
  <c r="D86" i="4"/>
  <c r="F19" i="5"/>
  <c r="H19" i="5"/>
  <c r="I19" i="5"/>
  <c r="H28" i="2"/>
  <c r="H86" i="4"/>
  <c r="O19" i="5"/>
  <c r="L28" i="2"/>
  <c r="L86" i="4"/>
  <c r="M28" i="2"/>
  <c r="M86" i="4"/>
  <c r="T19" i="5"/>
  <c r="U19" i="5"/>
  <c r="P28" i="2"/>
  <c r="P86" i="4"/>
  <c r="W19" i="5"/>
  <c r="Q28" i="2"/>
  <c r="Q86" i="4"/>
  <c r="X19" i="5"/>
  <c r="R28" i="2"/>
  <c r="R86" i="4"/>
  <c r="Z19" i="5"/>
  <c r="S28" i="2"/>
  <c r="S86" i="4"/>
  <c r="AA19" i="5"/>
  <c r="AI86" i="4"/>
  <c r="T86" i="4" a="1"/>
  <c r="T86" i="4"/>
  <c r="AC19" i="5"/>
  <c r="U86" i="4" a="1"/>
  <c r="U86" i="4"/>
  <c r="AD19" i="5"/>
  <c r="AF19" i="5"/>
  <c r="AG19" i="5"/>
  <c r="X28" i="2"/>
  <c r="X86" i="4"/>
  <c r="AI19" i="5"/>
  <c r="Y28" i="2"/>
  <c r="Y86" i="4"/>
  <c r="AJ19" i="5"/>
  <c r="Z28" i="2"/>
  <c r="Z86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8" i="2"/>
  <c r="E262" i="4"/>
  <c r="F28" i="2"/>
  <c r="F262" i="4"/>
  <c r="I28" i="2"/>
  <c r="I262" i="4"/>
  <c r="J28" i="2"/>
  <c r="J262" i="4"/>
  <c r="K28" i="2"/>
  <c r="K262" i="4"/>
  <c r="AA262" i="4"/>
  <c r="AC262" i="4"/>
  <c r="AD262" i="4"/>
  <c r="AE262" i="4"/>
  <c r="AF262" i="4"/>
  <c r="AG262" i="4"/>
  <c r="AH262" i="4"/>
  <c r="AJ262" i="4"/>
  <c r="AL262" i="4"/>
  <c r="G54" i="2"/>
  <c r="T54" i="2"/>
  <c r="U54" i="2"/>
  <c r="V54" i="2"/>
  <c r="W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301" i="1"/>
  <c r="BA301" i="1"/>
  <c r="BB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BC301" i="1"/>
  <c r="CT301" i="1"/>
  <c r="AZ300" i="1"/>
  <c r="BA300" i="1"/>
  <c r="BB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BC300" i="1"/>
  <c r="CT300" i="1"/>
  <c r="D346" i="9"/>
  <c r="E346" i="9"/>
  <c r="F346" i="9"/>
  <c r="G346" i="9"/>
  <c r="C123" i="7"/>
  <c r="E123" i="7"/>
  <c r="D123" i="7"/>
  <c r="AG3" i="5"/>
  <c r="AF3" i="5"/>
  <c r="C39" i="2"/>
  <c r="B74" i="4"/>
  <c r="C74" i="4"/>
  <c r="C3" i="5"/>
  <c r="D74" i="4"/>
  <c r="E3" i="5"/>
  <c r="H74" i="4"/>
  <c r="K3" i="5"/>
  <c r="L74" i="4"/>
  <c r="Q3" i="5"/>
  <c r="M74" i="4"/>
  <c r="R3" i="5"/>
  <c r="T3" i="5"/>
  <c r="O39" i="2"/>
  <c r="O74" i="4"/>
  <c r="U3" i="5"/>
  <c r="P39" i="2"/>
  <c r="P74" i="4"/>
  <c r="W3" i="5"/>
  <c r="Q39" i="2"/>
  <c r="Q74" i="4"/>
  <c r="X3" i="5"/>
  <c r="S39" i="2"/>
  <c r="S74" i="4"/>
  <c r="AA3" i="5"/>
  <c r="AI74" i="4"/>
  <c r="T74" i="4" a="1"/>
  <c r="T74" i="4"/>
  <c r="AC3" i="5"/>
  <c r="U74" i="4" a="1"/>
  <c r="U74" i="4"/>
  <c r="AD3" i="5"/>
  <c r="X39" i="2"/>
  <c r="X74" i="4"/>
  <c r="AI3" i="5"/>
  <c r="Y39" i="2"/>
  <c r="Y74" i="4"/>
  <c r="AJ3" i="5"/>
  <c r="Z39" i="2"/>
  <c r="Z74" i="4"/>
  <c r="AL3" i="5"/>
  <c r="F3" i="5"/>
  <c r="L3" i="5"/>
  <c r="N3" i="5"/>
  <c r="O3" i="5"/>
  <c r="H3" i="5"/>
  <c r="I3" i="5"/>
  <c r="Z3" i="5"/>
  <c r="AN3" i="5"/>
  <c r="O4" i="5"/>
  <c r="H27" i="2"/>
  <c r="B75" i="4"/>
  <c r="H75" i="4"/>
  <c r="K4" i="5"/>
  <c r="AG4" i="5"/>
  <c r="AF4" i="5"/>
  <c r="C27" i="2"/>
  <c r="C75" i="4"/>
  <c r="C4" i="5"/>
  <c r="D27" i="2"/>
  <c r="D75" i="4"/>
  <c r="E4" i="5"/>
  <c r="I27" i="2"/>
  <c r="I75" i="4"/>
  <c r="L4" i="5"/>
  <c r="J27" i="2"/>
  <c r="J75" i="4"/>
  <c r="N4" i="5"/>
  <c r="L27" i="2"/>
  <c r="L75" i="4"/>
  <c r="Q4" i="5"/>
  <c r="M27" i="2"/>
  <c r="M75" i="4"/>
  <c r="R4" i="5"/>
  <c r="T4" i="5"/>
  <c r="O27" i="2"/>
  <c r="O75" i="4"/>
  <c r="U4" i="5"/>
  <c r="W4" i="5"/>
  <c r="Q27" i="2"/>
  <c r="Q75" i="4"/>
  <c r="X4" i="5"/>
  <c r="AA4" i="5"/>
  <c r="AI75" i="4"/>
  <c r="T75" i="4" a="1"/>
  <c r="T75" i="4"/>
  <c r="AC4" i="5"/>
  <c r="U75" i="4" a="1"/>
  <c r="U75" i="4"/>
  <c r="AD4" i="5"/>
  <c r="X27" i="2"/>
  <c r="X75" i="4"/>
  <c r="AI4" i="5"/>
  <c r="Y27" i="2"/>
  <c r="Y75" i="4"/>
  <c r="AJ4" i="5"/>
  <c r="Z27" i="2"/>
  <c r="Z75" i="4"/>
  <c r="AL4" i="5"/>
  <c r="F4" i="5"/>
  <c r="H4" i="5"/>
  <c r="I4" i="5"/>
  <c r="Z4" i="5"/>
  <c r="AN4" i="5"/>
  <c r="AG5" i="5"/>
  <c r="AF5" i="5"/>
  <c r="C16" i="2"/>
  <c r="C136" i="4"/>
  <c r="C5" i="5"/>
  <c r="D16" i="2"/>
  <c r="D136" i="4"/>
  <c r="E5" i="5"/>
  <c r="E27" i="2"/>
  <c r="E16" i="2"/>
  <c r="E136" i="4"/>
  <c r="F5" i="5"/>
  <c r="F27" i="2"/>
  <c r="F16" i="2"/>
  <c r="F136" i="4"/>
  <c r="H5" i="5"/>
  <c r="I5" i="5"/>
  <c r="H16" i="2"/>
  <c r="H136" i="4"/>
  <c r="K5" i="5"/>
  <c r="L16" i="2"/>
  <c r="L136" i="4"/>
  <c r="Q5" i="5"/>
  <c r="M16" i="2"/>
  <c r="M136" i="4"/>
  <c r="R5" i="5"/>
  <c r="T5" i="5"/>
  <c r="U5" i="5"/>
  <c r="P27" i="2"/>
  <c r="P16" i="2"/>
  <c r="P136" i="4"/>
  <c r="W5" i="5"/>
  <c r="Q16" i="2"/>
  <c r="Q136" i="4"/>
  <c r="X5" i="5"/>
  <c r="S27" i="2"/>
  <c r="S136" i="4"/>
  <c r="AA5" i="5"/>
  <c r="AI136" i="4"/>
  <c r="T136" i="4" a="1"/>
  <c r="T136" i="4"/>
  <c r="AC5" i="5"/>
  <c r="U136" i="4" a="1"/>
  <c r="U136" i="4"/>
  <c r="AD5" i="5"/>
  <c r="X136" i="4"/>
  <c r="AI5" i="5"/>
  <c r="Y16" i="2"/>
  <c r="Y136" i="4"/>
  <c r="AJ5" i="5"/>
  <c r="Z16" i="2"/>
  <c r="Z136" i="4"/>
  <c r="AL5" i="5"/>
  <c r="L5" i="5"/>
  <c r="N5" i="5"/>
  <c r="O5" i="5"/>
  <c r="Z5" i="5"/>
  <c r="AN5" i="5"/>
  <c r="AG6" i="5"/>
  <c r="AF6" i="5"/>
  <c r="C40" i="2"/>
  <c r="C216" i="4"/>
  <c r="C6" i="5"/>
  <c r="D216" i="4"/>
  <c r="E6" i="5"/>
  <c r="H216" i="4"/>
  <c r="K6" i="5"/>
  <c r="L216" i="4"/>
  <c r="Q6" i="5"/>
  <c r="M216" i="4"/>
  <c r="R6" i="5"/>
  <c r="T6" i="5"/>
  <c r="O40" i="2"/>
  <c r="O216" i="4"/>
  <c r="U6" i="5"/>
  <c r="P40" i="2"/>
  <c r="P216" i="4"/>
  <c r="W6" i="5"/>
  <c r="Q40" i="2"/>
  <c r="Q216" i="4"/>
  <c r="X6" i="5"/>
  <c r="S40" i="2"/>
  <c r="S216" i="4"/>
  <c r="AA6" i="5"/>
  <c r="AD6" i="5"/>
  <c r="X40" i="2"/>
  <c r="X216" i="4"/>
  <c r="AI6" i="5"/>
  <c r="Y40" i="2"/>
  <c r="Y216" i="4"/>
  <c r="AJ6" i="5"/>
  <c r="Z40" i="2"/>
  <c r="Z216" i="4"/>
  <c r="AL6" i="5"/>
  <c r="F6" i="5"/>
  <c r="H6" i="5"/>
  <c r="I6" i="5"/>
  <c r="L6" i="5"/>
  <c r="N6" i="5"/>
  <c r="O6" i="5"/>
  <c r="Z6" i="5"/>
  <c r="AN6" i="5"/>
  <c r="AG7" i="5"/>
  <c r="AF7" i="5"/>
  <c r="C217" i="4"/>
  <c r="C7" i="5"/>
  <c r="D217" i="4"/>
  <c r="E7" i="5"/>
  <c r="H217" i="4"/>
  <c r="K7" i="5"/>
  <c r="L217" i="4"/>
  <c r="Q7" i="5"/>
  <c r="M217" i="4"/>
  <c r="R7" i="5"/>
  <c r="T7" i="5"/>
  <c r="O217" i="4"/>
  <c r="U7" i="5"/>
  <c r="P217" i="4"/>
  <c r="W7" i="5"/>
  <c r="Q217" i="4"/>
  <c r="X7" i="5"/>
  <c r="S217" i="4"/>
  <c r="AA7" i="5"/>
  <c r="AD7" i="5"/>
  <c r="X217" i="4"/>
  <c r="AI7" i="5"/>
  <c r="Y217" i="4"/>
  <c r="AJ7" i="5"/>
  <c r="Z217" i="4"/>
  <c r="AL7" i="5"/>
  <c r="F7" i="5"/>
  <c r="H7" i="5"/>
  <c r="I7" i="5"/>
  <c r="L7" i="5"/>
  <c r="N7" i="5"/>
  <c r="O7" i="5"/>
  <c r="Z7" i="5"/>
  <c r="AN7" i="5"/>
  <c r="AG8" i="5"/>
  <c r="AF8" i="5"/>
  <c r="C182" i="4"/>
  <c r="C8" i="5"/>
  <c r="D182" i="4"/>
  <c r="E8" i="5"/>
  <c r="H182" i="4"/>
  <c r="K8" i="5"/>
  <c r="L182" i="4"/>
  <c r="Q8" i="5"/>
  <c r="M182" i="4"/>
  <c r="R8" i="5"/>
  <c r="T8" i="5"/>
  <c r="O182" i="4"/>
  <c r="U8" i="5"/>
  <c r="P182" i="4"/>
  <c r="W8" i="5"/>
  <c r="Q182" i="4"/>
  <c r="X8" i="5"/>
  <c r="S182" i="4"/>
  <c r="AA8" i="5"/>
  <c r="AI182" i="4"/>
  <c r="T182" i="4" a="1"/>
  <c r="T182" i="4"/>
  <c r="AC8" i="5"/>
  <c r="U182" i="4" a="1"/>
  <c r="U182" i="4"/>
  <c r="AD8" i="5"/>
  <c r="X182" i="4"/>
  <c r="AI8" i="5"/>
  <c r="Y182" i="4"/>
  <c r="AJ8" i="5"/>
  <c r="Z182" i="4"/>
  <c r="AL8" i="5"/>
  <c r="F8" i="5"/>
  <c r="H8" i="5"/>
  <c r="I8" i="5"/>
  <c r="L8" i="5"/>
  <c r="N8" i="5"/>
  <c r="O8" i="5"/>
  <c r="Z8" i="5"/>
  <c r="AN8" i="5"/>
  <c r="AG9" i="5"/>
  <c r="AF9" i="5"/>
  <c r="C19" i="2"/>
  <c r="C235" i="4"/>
  <c r="C9" i="5"/>
  <c r="D235" i="4"/>
  <c r="E9" i="5"/>
  <c r="E235" i="4"/>
  <c r="F9" i="5"/>
  <c r="F235" i="4"/>
  <c r="H9" i="5"/>
  <c r="I9" i="5"/>
  <c r="H235" i="4"/>
  <c r="K9" i="5"/>
  <c r="L235" i="4"/>
  <c r="Q9" i="5"/>
  <c r="M235" i="4"/>
  <c r="R9" i="5"/>
  <c r="T9" i="5"/>
  <c r="O19" i="2"/>
  <c r="O235" i="4"/>
  <c r="U9" i="5"/>
  <c r="P19" i="2"/>
  <c r="P235" i="4"/>
  <c r="W9" i="5"/>
  <c r="Q19" i="2"/>
  <c r="Q235" i="4"/>
  <c r="X9" i="5"/>
  <c r="S19" i="2"/>
  <c r="S235" i="4"/>
  <c r="AA9" i="5"/>
  <c r="AI235" i="4"/>
  <c r="T235" i="4" a="1"/>
  <c r="T235" i="4"/>
  <c r="AC9" i="5"/>
  <c r="U235" i="4" a="1"/>
  <c r="U235" i="4"/>
  <c r="AD9" i="5"/>
  <c r="X19" i="2"/>
  <c r="X235" i="4"/>
  <c r="AI9" i="5"/>
  <c r="Y19" i="2"/>
  <c r="Y235" i="4"/>
  <c r="AJ9" i="5"/>
  <c r="Z19" i="2"/>
  <c r="Z235" i="4"/>
  <c r="AL9" i="5"/>
  <c r="L9" i="5"/>
  <c r="N9" i="5"/>
  <c r="O9" i="5"/>
  <c r="Z9" i="5"/>
  <c r="AN9" i="5"/>
  <c r="AG10" i="5"/>
  <c r="AF10" i="5"/>
  <c r="C3" i="2"/>
  <c r="B269" i="4"/>
  <c r="C269" i="4"/>
  <c r="C10" i="5"/>
  <c r="D3" i="2"/>
  <c r="D269" i="4"/>
  <c r="E10" i="5"/>
  <c r="K10" i="5"/>
  <c r="L3" i="2"/>
  <c r="L269" i="4"/>
  <c r="Q10" i="5"/>
  <c r="M3" i="2"/>
  <c r="M269" i="4"/>
  <c r="R10" i="5"/>
  <c r="T10" i="5"/>
  <c r="O269" i="4"/>
  <c r="U10" i="5"/>
  <c r="P3" i="2"/>
  <c r="P269" i="4"/>
  <c r="W10" i="5"/>
  <c r="Q3" i="2"/>
  <c r="Q269" i="4"/>
  <c r="X10" i="5"/>
  <c r="S3" i="2"/>
  <c r="S269" i="4"/>
  <c r="AA10" i="5"/>
  <c r="AI269" i="4"/>
  <c r="T269" i="4" a="1"/>
  <c r="T269" i="4"/>
  <c r="AC10" i="5"/>
  <c r="U269" i="4" a="1"/>
  <c r="U269" i="4"/>
  <c r="AD10" i="5"/>
  <c r="X3" i="2"/>
  <c r="X269" i="4"/>
  <c r="AI10" i="5"/>
  <c r="Y3" i="2"/>
  <c r="Y269" i="4"/>
  <c r="AJ10" i="5"/>
  <c r="Z3" i="2"/>
  <c r="Z269" i="4"/>
  <c r="AL10" i="5"/>
  <c r="F10" i="5"/>
  <c r="H10" i="5"/>
  <c r="I10" i="5"/>
  <c r="L10" i="5"/>
  <c r="N10" i="5"/>
  <c r="O10" i="5"/>
  <c r="Z10" i="5"/>
  <c r="AN10" i="5"/>
  <c r="AG11" i="5"/>
  <c r="AF11" i="5"/>
  <c r="C2" i="2"/>
  <c r="B270" i="4"/>
  <c r="C270" i="4"/>
  <c r="C11" i="5"/>
  <c r="D2" i="2"/>
  <c r="D270" i="4"/>
  <c r="E11" i="5"/>
  <c r="K11" i="5"/>
  <c r="L2" i="2"/>
  <c r="L270" i="4"/>
  <c r="Q11" i="5"/>
  <c r="M2" i="2"/>
  <c r="M270" i="4"/>
  <c r="R11" i="5"/>
  <c r="T11" i="5"/>
  <c r="U11" i="5"/>
  <c r="P2" i="2"/>
  <c r="P270" i="4"/>
  <c r="W11" i="5"/>
  <c r="Q2" i="2"/>
  <c r="Q270" i="4"/>
  <c r="X11" i="5"/>
  <c r="S2" i="2"/>
  <c r="S270" i="4"/>
  <c r="AA11" i="5"/>
  <c r="AI270" i="4"/>
  <c r="T270" i="4" a="1"/>
  <c r="T270" i="4"/>
  <c r="AC11" i="5"/>
  <c r="U270" i="4" a="1"/>
  <c r="U270" i="4"/>
  <c r="AD11" i="5"/>
  <c r="X2" i="2"/>
  <c r="X270" i="4"/>
  <c r="AI11" i="5"/>
  <c r="Y2" i="2"/>
  <c r="Y270" i="4"/>
  <c r="AJ11" i="5"/>
  <c r="Z2" i="2"/>
  <c r="Z270" i="4"/>
  <c r="AL11" i="5"/>
  <c r="F11" i="5"/>
  <c r="H11" i="5"/>
  <c r="I11" i="5"/>
  <c r="L11" i="5"/>
  <c r="N11" i="5"/>
  <c r="O11" i="5"/>
  <c r="Z11" i="5"/>
  <c r="AN11" i="5"/>
  <c r="S30" i="2"/>
  <c r="S155" i="4"/>
  <c r="AA12" i="5"/>
  <c r="P30" i="2"/>
  <c r="P155" i="4"/>
  <c r="W12" i="5"/>
  <c r="O12" i="5"/>
  <c r="K12" i="5"/>
  <c r="AG12" i="5"/>
  <c r="AF12" i="5"/>
  <c r="C30" i="2"/>
  <c r="C155" i="4"/>
  <c r="C12" i="5"/>
  <c r="D30" i="2"/>
  <c r="D155" i="4"/>
  <c r="E12" i="5"/>
  <c r="E30" i="2"/>
  <c r="E155" i="4"/>
  <c r="F12" i="5"/>
  <c r="F30" i="2"/>
  <c r="F155" i="4"/>
  <c r="H12" i="5"/>
  <c r="I12" i="5"/>
  <c r="L30" i="2"/>
  <c r="L155" i="4"/>
  <c r="Q12" i="5"/>
  <c r="M30" i="2"/>
  <c r="M155" i="4"/>
  <c r="R12" i="5"/>
  <c r="T12" i="5"/>
  <c r="O30" i="2"/>
  <c r="O155" i="4"/>
  <c r="U12" i="5"/>
  <c r="Q155" i="4"/>
  <c r="X12" i="5"/>
  <c r="R30" i="2"/>
  <c r="R155" i="4"/>
  <c r="Z12" i="5"/>
  <c r="AI155" i="4"/>
  <c r="T155" i="4" a="1"/>
  <c r="T155" i="4"/>
  <c r="AC12" i="5"/>
  <c r="U155" i="4" a="1"/>
  <c r="U155" i="4"/>
  <c r="AD12" i="5"/>
  <c r="X155" i="4"/>
  <c r="AI12" i="5"/>
  <c r="Y30" i="2"/>
  <c r="Y155" i="4"/>
  <c r="AJ12" i="5"/>
  <c r="Z30" i="2"/>
  <c r="Z155" i="4"/>
  <c r="AL12" i="5"/>
  <c r="AN12" i="5"/>
  <c r="S156" i="4"/>
  <c r="AA13" i="5"/>
  <c r="P8" i="2"/>
  <c r="P156" i="4"/>
  <c r="W13" i="5"/>
  <c r="O13" i="5"/>
  <c r="K13" i="5"/>
  <c r="AG13" i="5"/>
  <c r="AF13" i="5"/>
  <c r="C8" i="2"/>
  <c r="C156" i="4"/>
  <c r="C13" i="5"/>
  <c r="D156" i="4"/>
  <c r="E13" i="5"/>
  <c r="E8" i="2"/>
  <c r="E156" i="4"/>
  <c r="F13" i="5"/>
  <c r="F8" i="2"/>
  <c r="F156" i="4"/>
  <c r="H13" i="5"/>
  <c r="I13" i="5"/>
  <c r="I8" i="2"/>
  <c r="I156" i="4"/>
  <c r="L13" i="5"/>
  <c r="J8" i="2"/>
  <c r="J156" i="4"/>
  <c r="N13" i="5"/>
  <c r="L156" i="4"/>
  <c r="Q13" i="5"/>
  <c r="M156" i="4"/>
  <c r="R13" i="5"/>
  <c r="T13" i="5"/>
  <c r="O8" i="2"/>
  <c r="O156" i="4"/>
  <c r="U13" i="5"/>
  <c r="Q8" i="2"/>
  <c r="Q156" i="4"/>
  <c r="X13" i="5"/>
  <c r="R8" i="2"/>
  <c r="R156" i="4"/>
  <c r="Z13" i="5"/>
  <c r="AI156" i="4"/>
  <c r="T156" i="4" a="1"/>
  <c r="T156" i="4"/>
  <c r="AC13" i="5"/>
  <c r="U156" i="4" a="1"/>
  <c r="U156" i="4"/>
  <c r="AD13" i="5"/>
  <c r="X8" i="2"/>
  <c r="X156" i="4"/>
  <c r="AI13" i="5"/>
  <c r="Y8" i="2"/>
  <c r="Y156" i="4"/>
  <c r="AJ13" i="5"/>
  <c r="Z8" i="2"/>
  <c r="Z156" i="4"/>
  <c r="AL13" i="5"/>
  <c r="AN13" i="5"/>
  <c r="AG14" i="5"/>
  <c r="AF14" i="5"/>
  <c r="B127" i="4"/>
  <c r="C127" i="4"/>
  <c r="C14" i="5"/>
  <c r="D127" i="4"/>
  <c r="E14" i="5"/>
  <c r="E127" i="4"/>
  <c r="F14" i="5"/>
  <c r="F127" i="4"/>
  <c r="H14" i="5"/>
  <c r="I14" i="5"/>
  <c r="H127" i="4"/>
  <c r="K14" i="5"/>
  <c r="L127" i="4"/>
  <c r="Q14" i="5"/>
  <c r="M127" i="4"/>
  <c r="R14" i="5"/>
  <c r="T14" i="5"/>
  <c r="O127" i="4"/>
  <c r="U14" i="5"/>
  <c r="P127" i="4"/>
  <c r="W14" i="5"/>
  <c r="Q127" i="4"/>
  <c r="X14" i="5"/>
  <c r="S127" i="4"/>
  <c r="AA14" i="5"/>
  <c r="AI127" i="4"/>
  <c r="T127" i="4" a="1"/>
  <c r="T127" i="4"/>
  <c r="AC14" i="5"/>
  <c r="U127" i="4" a="1"/>
  <c r="U127" i="4"/>
  <c r="AD14" i="5"/>
  <c r="X127" i="4"/>
  <c r="AI14" i="5"/>
  <c r="Y127" i="4"/>
  <c r="AJ14" i="5"/>
  <c r="Z127" i="4"/>
  <c r="AL14" i="5"/>
  <c r="L14" i="5"/>
  <c r="N14" i="5"/>
  <c r="O14" i="5"/>
  <c r="Z14" i="5"/>
  <c r="AN14" i="5"/>
  <c r="AG15" i="5"/>
  <c r="AF15" i="5"/>
  <c r="C41" i="2"/>
  <c r="B249" i="4"/>
  <c r="C249" i="4"/>
  <c r="C15" i="5"/>
  <c r="D41" i="2"/>
  <c r="D249" i="4"/>
  <c r="E15" i="5"/>
  <c r="E41" i="2"/>
  <c r="E249" i="4"/>
  <c r="F15" i="5"/>
  <c r="F41" i="2"/>
  <c r="F249" i="4"/>
  <c r="H15" i="5"/>
  <c r="I15" i="5"/>
  <c r="K15" i="5"/>
  <c r="L41" i="2"/>
  <c r="L249" i="4"/>
  <c r="Q15" i="5"/>
  <c r="M41" i="2"/>
  <c r="M249" i="4"/>
  <c r="R15" i="5"/>
  <c r="T15" i="5"/>
  <c r="O249" i="4"/>
  <c r="U15" i="5"/>
  <c r="P41" i="2"/>
  <c r="P249" i="4"/>
  <c r="W15" i="5"/>
  <c r="Q41" i="2"/>
  <c r="Q249" i="4"/>
  <c r="X15" i="5"/>
  <c r="S41" i="2"/>
  <c r="S249" i="4"/>
  <c r="AA15" i="5"/>
  <c r="AI249" i="4"/>
  <c r="T249" i="4" a="1"/>
  <c r="T249" i="4"/>
  <c r="AC15" i="5"/>
  <c r="U249" i="4" a="1"/>
  <c r="U249" i="4"/>
  <c r="AD15" i="5"/>
  <c r="X41" i="2"/>
  <c r="X249" i="4"/>
  <c r="AI15" i="5"/>
  <c r="Y41" i="2"/>
  <c r="Y249" i="4"/>
  <c r="AJ15" i="5"/>
  <c r="Z41" i="2"/>
  <c r="Z249" i="4"/>
  <c r="AL15" i="5"/>
  <c r="L15" i="5"/>
  <c r="N15" i="5"/>
  <c r="O15" i="5"/>
  <c r="Z15" i="5"/>
  <c r="AN15" i="5"/>
  <c r="S47" i="4"/>
  <c r="AA16" i="5"/>
  <c r="P47" i="4"/>
  <c r="W16" i="5"/>
  <c r="AG16" i="5"/>
  <c r="AF16" i="5"/>
  <c r="C47" i="4"/>
  <c r="C16" i="5"/>
  <c r="D47" i="4"/>
  <c r="E16" i="5"/>
  <c r="K16" i="5"/>
  <c r="L47" i="4"/>
  <c r="Q16" i="5"/>
  <c r="M47" i="4"/>
  <c r="R16" i="5"/>
  <c r="T16" i="5"/>
  <c r="U16" i="5"/>
  <c r="Q47" i="4"/>
  <c r="X16" i="5"/>
  <c r="R47" i="4"/>
  <c r="Z16" i="5"/>
  <c r="AI47" i="4"/>
  <c r="T47" i="4" a="1"/>
  <c r="T47" i="4"/>
  <c r="AC16" i="5"/>
  <c r="U47" i="4" a="1"/>
  <c r="U47" i="4"/>
  <c r="AD16" i="5"/>
  <c r="X47" i="4"/>
  <c r="AI16" i="5"/>
  <c r="Y47" i="4"/>
  <c r="AJ16" i="5"/>
  <c r="Z47" i="4"/>
  <c r="AL16" i="5"/>
  <c r="L16" i="5"/>
  <c r="N16" i="5"/>
  <c r="O16" i="5"/>
  <c r="F16" i="5"/>
  <c r="H16" i="5"/>
  <c r="I16" i="5"/>
  <c r="AN16" i="5"/>
  <c r="S85" i="4"/>
  <c r="AA17" i="5"/>
  <c r="P85" i="4"/>
  <c r="W17" i="5"/>
  <c r="AG17" i="5"/>
  <c r="AF17" i="5"/>
  <c r="C85" i="4"/>
  <c r="C17" i="5"/>
  <c r="D85" i="4"/>
  <c r="E17" i="5"/>
  <c r="H85" i="4"/>
  <c r="K17" i="5"/>
  <c r="L85" i="4"/>
  <c r="Q17" i="5"/>
  <c r="M85" i="4"/>
  <c r="R17" i="5"/>
  <c r="T17" i="5"/>
  <c r="U17" i="5"/>
  <c r="Q85" i="4"/>
  <c r="X17" i="5"/>
  <c r="R85" i="4"/>
  <c r="Z17" i="5"/>
  <c r="AI85" i="4"/>
  <c r="T85" i="4" a="1"/>
  <c r="T85" i="4"/>
  <c r="AC17" i="5"/>
  <c r="U85" i="4" a="1"/>
  <c r="U85" i="4"/>
  <c r="AD17" i="5"/>
  <c r="X85" i="4"/>
  <c r="AI17" i="5"/>
  <c r="Y85" i="4"/>
  <c r="AJ17" i="5"/>
  <c r="Z85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C36" i="2"/>
  <c r="B90" i="4"/>
  <c r="C90" i="4"/>
  <c r="C21" i="5"/>
  <c r="D36" i="2"/>
  <c r="D90" i="4"/>
  <c r="E21" i="5"/>
  <c r="L36" i="2"/>
  <c r="L90" i="4"/>
  <c r="Q21" i="5"/>
  <c r="M36" i="2"/>
  <c r="M90" i="4"/>
  <c r="R21" i="5"/>
  <c r="T21" i="5"/>
  <c r="O36" i="2"/>
  <c r="O90" i="4"/>
  <c r="U21" i="5"/>
  <c r="P36" i="2"/>
  <c r="P90" i="4"/>
  <c r="W21" i="5"/>
  <c r="Q36" i="2"/>
  <c r="Q90" i="4"/>
  <c r="X21" i="5"/>
  <c r="S36" i="2"/>
  <c r="S90" i="4"/>
  <c r="AA21" i="5"/>
  <c r="AI90" i="4"/>
  <c r="T90" i="4" a="1"/>
  <c r="T90" i="4"/>
  <c r="AC21" i="5"/>
  <c r="U90" i="4" a="1"/>
  <c r="U90" i="4"/>
  <c r="AD21" i="5"/>
  <c r="X36" i="2"/>
  <c r="X90" i="4"/>
  <c r="AI21" i="5"/>
  <c r="Y36" i="2"/>
  <c r="Y90" i="4"/>
  <c r="AJ21" i="5"/>
  <c r="Z36" i="2"/>
  <c r="Z90" i="4"/>
  <c r="AL21" i="5"/>
  <c r="L21" i="5"/>
  <c r="N21" i="5"/>
  <c r="O21" i="5"/>
  <c r="F21" i="5"/>
  <c r="H21" i="5"/>
  <c r="I21" i="5"/>
  <c r="Z21" i="5"/>
  <c r="AN21" i="5"/>
  <c r="AG22" i="5"/>
  <c r="AF22" i="5"/>
  <c r="C38" i="2"/>
  <c r="B91" i="4"/>
  <c r="C91" i="4"/>
  <c r="C22" i="5"/>
  <c r="D38" i="2"/>
  <c r="D91" i="4"/>
  <c r="E22" i="5"/>
  <c r="H38" i="2"/>
  <c r="H91" i="4"/>
  <c r="K22" i="5"/>
  <c r="L38" i="2"/>
  <c r="L91" i="4"/>
  <c r="Q22" i="5"/>
  <c r="M38" i="2"/>
  <c r="M91" i="4"/>
  <c r="R22" i="5"/>
  <c r="T22" i="5"/>
  <c r="O38" i="2"/>
  <c r="O91" i="4"/>
  <c r="U22" i="5"/>
  <c r="P38" i="2"/>
  <c r="P91" i="4"/>
  <c r="W22" i="5"/>
  <c r="Q38" i="2"/>
  <c r="Q91" i="4"/>
  <c r="X22" i="5"/>
  <c r="S38" i="2"/>
  <c r="S91" i="4"/>
  <c r="AA22" i="5"/>
  <c r="AI91" i="4"/>
  <c r="T91" i="4" a="1"/>
  <c r="T91" i="4"/>
  <c r="AC22" i="5"/>
  <c r="U91" i="4" a="1"/>
  <c r="U91" i="4"/>
  <c r="AD22" i="5"/>
  <c r="X38" i="2"/>
  <c r="X91" i="4"/>
  <c r="AI22" i="5"/>
  <c r="Y38" i="2"/>
  <c r="Y91" i="4"/>
  <c r="AJ22" i="5"/>
  <c r="Z38" i="2"/>
  <c r="Z91" i="4"/>
  <c r="AL22" i="5"/>
  <c r="L22" i="5"/>
  <c r="N22" i="5"/>
  <c r="O22" i="5"/>
  <c r="F22" i="5"/>
  <c r="H22" i="5"/>
  <c r="I22" i="5"/>
  <c r="Z22" i="5"/>
  <c r="AN22" i="5"/>
  <c r="AG23" i="5"/>
  <c r="AF23" i="5"/>
  <c r="C92" i="4"/>
  <c r="C23" i="5"/>
  <c r="D92" i="4"/>
  <c r="E23" i="5"/>
  <c r="H36" i="2"/>
  <c r="H92" i="4"/>
  <c r="K23" i="5"/>
  <c r="I36" i="2"/>
  <c r="I92" i="4"/>
  <c r="L23" i="5"/>
  <c r="J36" i="2"/>
  <c r="J92" i="4"/>
  <c r="N23" i="5"/>
  <c r="O23" i="5"/>
  <c r="L92" i="4"/>
  <c r="Q23" i="5"/>
  <c r="M92" i="4"/>
  <c r="R23" i="5"/>
  <c r="T23" i="5"/>
  <c r="O92" i="4"/>
  <c r="U23" i="5"/>
  <c r="P92" i="4"/>
  <c r="W23" i="5"/>
  <c r="Q92" i="4"/>
  <c r="X23" i="5"/>
  <c r="S92" i="4"/>
  <c r="AA23" i="5"/>
  <c r="AI92" i="4"/>
  <c r="T92" i="4" a="1"/>
  <c r="T92" i="4"/>
  <c r="AC23" i="5"/>
  <c r="U92" i="4" a="1"/>
  <c r="U92" i="4"/>
  <c r="AD23" i="5"/>
  <c r="X92" i="4"/>
  <c r="AI23" i="5"/>
  <c r="Y92" i="4"/>
  <c r="AJ23" i="5"/>
  <c r="Z92" i="4"/>
  <c r="AL23" i="5"/>
  <c r="F23" i="5"/>
  <c r="H23" i="5"/>
  <c r="I23" i="5"/>
  <c r="Z23" i="5"/>
  <c r="AN23" i="5"/>
  <c r="AG24" i="5"/>
  <c r="AF24" i="5"/>
  <c r="C93" i="4"/>
  <c r="C24" i="5"/>
  <c r="D93" i="4"/>
  <c r="E24" i="5"/>
  <c r="H93" i="4"/>
  <c r="K24" i="5"/>
  <c r="L93" i="4"/>
  <c r="Q24" i="5"/>
  <c r="M93" i="4"/>
  <c r="R24" i="5"/>
  <c r="T24" i="5"/>
  <c r="O93" i="4"/>
  <c r="U24" i="5"/>
  <c r="P93" i="4"/>
  <c r="W24" i="5"/>
  <c r="Q93" i="4"/>
  <c r="X24" i="5"/>
  <c r="S93" i="4"/>
  <c r="AA24" i="5"/>
  <c r="AI93" i="4"/>
  <c r="T93" i="4" a="1"/>
  <c r="T93" i="4"/>
  <c r="AC24" i="5"/>
  <c r="U93" i="4" a="1"/>
  <c r="U93" i="4"/>
  <c r="AD24" i="5"/>
  <c r="X93" i="4"/>
  <c r="AI24" i="5"/>
  <c r="Y93" i="4"/>
  <c r="AJ24" i="5"/>
  <c r="Z93" i="4"/>
  <c r="AL24" i="5"/>
  <c r="L24" i="5"/>
  <c r="N24" i="5"/>
  <c r="O24" i="5"/>
  <c r="F24" i="5"/>
  <c r="H24" i="5"/>
  <c r="I24" i="5"/>
  <c r="Z24" i="5"/>
  <c r="AN24" i="5"/>
  <c r="AG25" i="5"/>
  <c r="AF25" i="5"/>
  <c r="C95" i="4"/>
  <c r="C25" i="5"/>
  <c r="D95" i="4"/>
  <c r="E25" i="5"/>
  <c r="H95" i="4"/>
  <c r="K25" i="5"/>
  <c r="L95" i="4"/>
  <c r="Q25" i="5"/>
  <c r="M95" i="4"/>
  <c r="R25" i="5"/>
  <c r="T25" i="5"/>
  <c r="O95" i="4"/>
  <c r="U25" i="5"/>
  <c r="P95" i="4"/>
  <c r="W25" i="5"/>
  <c r="Q95" i="4"/>
  <c r="X25" i="5"/>
  <c r="S95" i="4"/>
  <c r="AA25" i="5"/>
  <c r="AI95" i="4"/>
  <c r="T95" i="4" a="1"/>
  <c r="T95" i="4"/>
  <c r="AC25" i="5"/>
  <c r="U95" i="4" a="1"/>
  <c r="U95" i="4"/>
  <c r="AD25" i="5"/>
  <c r="X95" i="4"/>
  <c r="AI25" i="5"/>
  <c r="Y95" i="4"/>
  <c r="AJ25" i="5"/>
  <c r="Z95" i="4"/>
  <c r="AL25" i="5"/>
  <c r="L25" i="5"/>
  <c r="N25" i="5"/>
  <c r="O25" i="5"/>
  <c r="F25" i="5"/>
  <c r="H25" i="5"/>
  <c r="I25" i="5"/>
  <c r="Z25" i="5"/>
  <c r="AN25" i="5"/>
  <c r="AG26" i="5"/>
  <c r="AF26" i="5"/>
  <c r="C96" i="4"/>
  <c r="C26" i="5"/>
  <c r="D96" i="4"/>
  <c r="E26" i="5"/>
  <c r="H96" i="4"/>
  <c r="K26" i="5"/>
  <c r="L96" i="4"/>
  <c r="Q26" i="5"/>
  <c r="M96" i="4"/>
  <c r="R26" i="5"/>
  <c r="T26" i="5"/>
  <c r="O96" i="4"/>
  <c r="U26" i="5"/>
  <c r="P96" i="4"/>
  <c r="W26" i="5"/>
  <c r="Q96" i="4"/>
  <c r="X26" i="5"/>
  <c r="S96" i="4"/>
  <c r="AA26" i="5"/>
  <c r="AI96" i="4"/>
  <c r="T96" i="4" a="1"/>
  <c r="T96" i="4"/>
  <c r="AC26" i="5"/>
  <c r="U96" i="4" a="1"/>
  <c r="U96" i="4"/>
  <c r="AD26" i="5"/>
  <c r="X96" i="4"/>
  <c r="AI26" i="5"/>
  <c r="Y96" i="4"/>
  <c r="AJ26" i="5"/>
  <c r="Z96" i="4"/>
  <c r="AL26" i="5"/>
  <c r="L26" i="5"/>
  <c r="N26" i="5"/>
  <c r="O26" i="5"/>
  <c r="F26" i="5"/>
  <c r="H26" i="5"/>
  <c r="I26" i="5"/>
  <c r="Z26" i="5"/>
  <c r="AN26" i="5"/>
  <c r="AG27" i="5"/>
  <c r="AF27" i="5"/>
  <c r="B258" i="4"/>
  <c r="C258" i="4"/>
  <c r="C27" i="5"/>
  <c r="D258" i="4"/>
  <c r="E27" i="5"/>
  <c r="E258" i="4"/>
  <c r="F27" i="5"/>
  <c r="F258" i="4"/>
  <c r="H27" i="5"/>
  <c r="I27" i="5"/>
  <c r="K27" i="5"/>
  <c r="L258" i="4"/>
  <c r="Q27" i="5"/>
  <c r="M258" i="4"/>
  <c r="R27" i="5"/>
  <c r="T27" i="5"/>
  <c r="O258" i="4"/>
  <c r="U27" i="5"/>
  <c r="P258" i="4"/>
  <c r="W27" i="5"/>
  <c r="Q258" i="4"/>
  <c r="X27" i="5"/>
  <c r="S258" i="4"/>
  <c r="AA27" i="5"/>
  <c r="AI258" i="4"/>
  <c r="T258" i="4" a="1"/>
  <c r="T258" i="4"/>
  <c r="AC27" i="5"/>
  <c r="U258" i="4" a="1"/>
  <c r="U258" i="4"/>
  <c r="AD27" i="5"/>
  <c r="X258" i="4"/>
  <c r="AI27" i="5"/>
  <c r="Y258" i="4"/>
  <c r="AJ27" i="5"/>
  <c r="Z258" i="4"/>
  <c r="AL27" i="5"/>
  <c r="L27" i="5"/>
  <c r="N27" i="5"/>
  <c r="O27" i="5"/>
  <c r="Z27" i="5"/>
  <c r="AN27" i="5"/>
  <c r="AG28" i="5"/>
  <c r="AF28" i="5"/>
  <c r="C44" i="2"/>
  <c r="C178" i="4"/>
  <c r="C28" i="5"/>
  <c r="D44" i="2"/>
  <c r="D178" i="4"/>
  <c r="E28" i="5"/>
  <c r="E44" i="2"/>
  <c r="E178" i="4"/>
  <c r="F28" i="5"/>
  <c r="F44" i="2"/>
  <c r="F178" i="4"/>
  <c r="H28" i="5"/>
  <c r="I28" i="5"/>
  <c r="H44" i="2"/>
  <c r="H178" i="4"/>
  <c r="K28" i="5"/>
  <c r="L44" i="2"/>
  <c r="L178" i="4"/>
  <c r="Q28" i="5"/>
  <c r="M44" i="2"/>
  <c r="M178" i="4"/>
  <c r="R28" i="5"/>
  <c r="N178" i="4"/>
  <c r="T28" i="5"/>
  <c r="O44" i="2"/>
  <c r="O178" i="4"/>
  <c r="U28" i="5"/>
  <c r="P44" i="2"/>
  <c r="P178" i="4"/>
  <c r="W28" i="5"/>
  <c r="Q44" i="2"/>
  <c r="Q178" i="4"/>
  <c r="X28" i="5"/>
  <c r="S44" i="2"/>
  <c r="S178" i="4"/>
  <c r="AA28" i="5"/>
  <c r="AI178" i="4"/>
  <c r="T178" i="4" a="1"/>
  <c r="T178" i="4"/>
  <c r="AC28" i="5"/>
  <c r="U178" i="4" a="1"/>
  <c r="U178" i="4"/>
  <c r="AD28" i="5"/>
  <c r="X44" i="2"/>
  <c r="X178" i="4"/>
  <c r="AI28" i="5"/>
  <c r="Y44" i="2"/>
  <c r="Y178" i="4"/>
  <c r="AJ28" i="5"/>
  <c r="Z44" i="2"/>
  <c r="Z178" i="4"/>
  <c r="AL28" i="5"/>
  <c r="L28" i="5"/>
  <c r="N28" i="5"/>
  <c r="O28" i="5"/>
  <c r="Z28" i="5"/>
  <c r="AN28" i="5"/>
  <c r="O29" i="5"/>
  <c r="B49" i="4"/>
  <c r="H49" i="4"/>
  <c r="K29" i="5"/>
  <c r="AG29" i="5"/>
  <c r="AF29" i="5"/>
  <c r="C14" i="2"/>
  <c r="C49" i="4"/>
  <c r="C29" i="5"/>
  <c r="D14" i="2"/>
  <c r="D49" i="4"/>
  <c r="E29" i="5"/>
  <c r="I14" i="2"/>
  <c r="I49" i="4"/>
  <c r="L29" i="5"/>
  <c r="J14" i="2"/>
  <c r="J49" i="4"/>
  <c r="N29" i="5"/>
  <c r="L14" i="2"/>
  <c r="L49" i="4"/>
  <c r="Q29" i="5"/>
  <c r="M14" i="2"/>
  <c r="M49" i="4"/>
  <c r="R29" i="5"/>
  <c r="T29" i="5"/>
  <c r="O14" i="2"/>
  <c r="O49" i="4"/>
  <c r="U29" i="5"/>
  <c r="P14" i="2"/>
  <c r="P49" i="4"/>
  <c r="W29" i="5"/>
  <c r="Q14" i="2"/>
  <c r="Q49" i="4"/>
  <c r="X29" i="5"/>
  <c r="AA29" i="5"/>
  <c r="AI49" i="4"/>
  <c r="T49" i="4" a="1"/>
  <c r="T49" i="4"/>
  <c r="AC29" i="5"/>
  <c r="U49" i="4" a="1"/>
  <c r="U49" i="4"/>
  <c r="AD29" i="5"/>
  <c r="Y14" i="2"/>
  <c r="Y49" i="4"/>
  <c r="AJ29" i="5"/>
  <c r="Z14" i="2"/>
  <c r="Z49" i="4"/>
  <c r="AL29" i="5"/>
  <c r="F29" i="5"/>
  <c r="H29" i="5"/>
  <c r="I29" i="5"/>
  <c r="Z29" i="5"/>
  <c r="AN29" i="5"/>
  <c r="AG30" i="5"/>
  <c r="AF30" i="5"/>
  <c r="B50" i="4"/>
  <c r="C50" i="4"/>
  <c r="C30" i="5"/>
  <c r="D50" i="4"/>
  <c r="E30" i="5"/>
  <c r="H50" i="4"/>
  <c r="K30" i="5"/>
  <c r="L50" i="4"/>
  <c r="Q30" i="5"/>
  <c r="M50" i="4"/>
  <c r="R30" i="5"/>
  <c r="T30" i="5"/>
  <c r="O50" i="4"/>
  <c r="U30" i="5"/>
  <c r="P50" i="4"/>
  <c r="W30" i="5"/>
  <c r="Q50" i="4"/>
  <c r="X30" i="5"/>
  <c r="AA30" i="5"/>
  <c r="AI50" i="4"/>
  <c r="T50" i="4" a="1"/>
  <c r="T50" i="4"/>
  <c r="AC30" i="5"/>
  <c r="U50" i="4" a="1"/>
  <c r="U50" i="4"/>
  <c r="AD30" i="5"/>
  <c r="Y50" i="4"/>
  <c r="AJ30" i="5"/>
  <c r="Z50" i="4"/>
  <c r="AL30" i="5"/>
  <c r="L30" i="5"/>
  <c r="N30" i="5"/>
  <c r="O30" i="5"/>
  <c r="F30" i="5"/>
  <c r="H30" i="5"/>
  <c r="I30" i="5"/>
  <c r="Z30" i="5"/>
  <c r="AN30" i="5"/>
  <c r="S29" i="2"/>
  <c r="S115" i="4"/>
  <c r="AA31" i="5"/>
  <c r="P29" i="2"/>
  <c r="P115" i="4"/>
  <c r="W31" i="5"/>
  <c r="AG31" i="5"/>
  <c r="AF31" i="5"/>
  <c r="C29" i="2"/>
  <c r="C115" i="4"/>
  <c r="C31" i="5"/>
  <c r="D29" i="2"/>
  <c r="D115" i="4"/>
  <c r="E31" i="5"/>
  <c r="K31" i="5"/>
  <c r="L29" i="2"/>
  <c r="L115" i="4"/>
  <c r="Q31" i="5"/>
  <c r="M29" i="2"/>
  <c r="M115" i="4"/>
  <c r="R31" i="5"/>
  <c r="T31" i="5"/>
  <c r="O29" i="2"/>
  <c r="O115" i="4"/>
  <c r="U31" i="5"/>
  <c r="Q115" i="4"/>
  <c r="X31" i="5"/>
  <c r="R29" i="2"/>
  <c r="R115" i="4"/>
  <c r="Z31" i="5"/>
  <c r="AI115" i="4"/>
  <c r="T115" i="4" a="1"/>
  <c r="T115" i="4"/>
  <c r="AC31" i="5"/>
  <c r="U115" i="4" a="1"/>
  <c r="U115" i="4"/>
  <c r="AD31" i="5"/>
  <c r="AI31" i="5"/>
  <c r="Y29" i="2"/>
  <c r="Y115" i="4"/>
  <c r="AJ31" i="5"/>
  <c r="Z29" i="2"/>
  <c r="Z115" i="4"/>
  <c r="AL31" i="5"/>
  <c r="L31" i="5"/>
  <c r="N31" i="5"/>
  <c r="O31" i="5"/>
  <c r="F31" i="5"/>
  <c r="H31" i="5"/>
  <c r="I31" i="5"/>
  <c r="AN31" i="5"/>
  <c r="B116" i="4"/>
  <c r="S116" i="4"/>
  <c r="AA32" i="5"/>
  <c r="P116" i="4"/>
  <c r="W32" i="5"/>
  <c r="AG32" i="5"/>
  <c r="AF32" i="5"/>
  <c r="C116" i="4"/>
  <c r="C32" i="5"/>
  <c r="D116" i="4"/>
  <c r="E32" i="5"/>
  <c r="K32" i="5"/>
  <c r="L116" i="4"/>
  <c r="Q32" i="5"/>
  <c r="M116" i="4"/>
  <c r="R32" i="5"/>
  <c r="T32" i="5"/>
  <c r="O116" i="4"/>
  <c r="U32" i="5"/>
  <c r="Q116" i="4"/>
  <c r="X32" i="5"/>
  <c r="R116" i="4"/>
  <c r="Z32" i="5"/>
  <c r="AI116" i="4"/>
  <c r="T116" i="4" a="1"/>
  <c r="T116" i="4"/>
  <c r="AC32" i="5"/>
  <c r="U116" i="4" a="1"/>
  <c r="U116" i="4"/>
  <c r="AD32" i="5"/>
  <c r="X116" i="4"/>
  <c r="AI32" i="5"/>
  <c r="Y116" i="4"/>
  <c r="AJ32" i="5"/>
  <c r="Z116" i="4"/>
  <c r="AL32" i="5"/>
  <c r="L32" i="5"/>
  <c r="N32" i="5"/>
  <c r="O32" i="5"/>
  <c r="F32" i="5"/>
  <c r="H32" i="5"/>
  <c r="I32" i="5"/>
  <c r="AN32" i="5"/>
  <c r="B117" i="4"/>
  <c r="S117" i="4"/>
  <c r="AA33" i="5"/>
  <c r="P117" i="4"/>
  <c r="W33" i="5"/>
  <c r="AG33" i="5"/>
  <c r="AF33" i="5"/>
  <c r="C117" i="4"/>
  <c r="C33" i="5"/>
  <c r="D117" i="4"/>
  <c r="E33" i="5"/>
  <c r="K33" i="5"/>
  <c r="L117" i="4"/>
  <c r="Q33" i="5"/>
  <c r="M117" i="4"/>
  <c r="R33" i="5"/>
  <c r="T33" i="5"/>
  <c r="O117" i="4"/>
  <c r="U33" i="5"/>
  <c r="Q117" i="4"/>
  <c r="X33" i="5"/>
  <c r="R117" i="4"/>
  <c r="Z33" i="5"/>
  <c r="AI117" i="4"/>
  <c r="T117" i="4" a="1"/>
  <c r="T117" i="4"/>
  <c r="AC33" i="5"/>
  <c r="U117" i="4" a="1"/>
  <c r="U117" i="4"/>
  <c r="AD33" i="5"/>
  <c r="X117" i="4"/>
  <c r="AI33" i="5"/>
  <c r="Y117" i="4"/>
  <c r="AJ33" i="5"/>
  <c r="Z117" i="4"/>
  <c r="AL33" i="5"/>
  <c r="L33" i="5"/>
  <c r="N33" i="5"/>
  <c r="O33" i="5"/>
  <c r="F33" i="5"/>
  <c r="H33" i="5"/>
  <c r="I33" i="5"/>
  <c r="AN33" i="5"/>
  <c r="B118" i="4"/>
  <c r="S118" i="4"/>
  <c r="AA34" i="5"/>
  <c r="P118" i="4"/>
  <c r="W34" i="5"/>
  <c r="AG34" i="5"/>
  <c r="AF34" i="5"/>
  <c r="C118" i="4"/>
  <c r="C34" i="5"/>
  <c r="D118" i="4"/>
  <c r="E34" i="5"/>
  <c r="K34" i="5"/>
  <c r="L118" i="4"/>
  <c r="Q34" i="5"/>
  <c r="M118" i="4"/>
  <c r="R34" i="5"/>
  <c r="T34" i="5"/>
  <c r="O118" i="4"/>
  <c r="U34" i="5"/>
  <c r="Q118" i="4"/>
  <c r="X34" i="5"/>
  <c r="R118" i="4"/>
  <c r="Z34" i="5"/>
  <c r="AI118" i="4"/>
  <c r="T118" i="4" a="1"/>
  <c r="T118" i="4"/>
  <c r="AC34" i="5"/>
  <c r="U118" i="4" a="1"/>
  <c r="U118" i="4"/>
  <c r="AD34" i="5"/>
  <c r="X118" i="4"/>
  <c r="AI34" i="5"/>
  <c r="Y118" i="4"/>
  <c r="AJ34" i="5"/>
  <c r="Z118" i="4"/>
  <c r="AL34" i="5"/>
  <c r="L34" i="5"/>
  <c r="N34" i="5"/>
  <c r="O34" i="5"/>
  <c r="F34" i="5"/>
  <c r="H34" i="5"/>
  <c r="I34" i="5"/>
  <c r="AN34" i="5"/>
  <c r="AG35" i="5"/>
  <c r="AF35" i="5"/>
  <c r="C24" i="2"/>
  <c r="C183" i="4"/>
  <c r="C35" i="5"/>
  <c r="D24" i="2"/>
  <c r="D183" i="4"/>
  <c r="E35" i="5"/>
  <c r="K35" i="5"/>
  <c r="L24" i="2"/>
  <c r="L183" i="4"/>
  <c r="Q35" i="5"/>
  <c r="M183" i="4"/>
  <c r="R35" i="5"/>
  <c r="T35" i="5"/>
  <c r="O16" i="2"/>
  <c r="O183" i="4"/>
  <c r="U35" i="5"/>
  <c r="P24" i="2"/>
  <c r="P183" i="4"/>
  <c r="W35" i="5"/>
  <c r="Q24" i="2"/>
  <c r="Q183" i="4"/>
  <c r="X35" i="5"/>
  <c r="S24" i="2"/>
  <c r="S183" i="4"/>
  <c r="AA35" i="5"/>
  <c r="AI183" i="4"/>
  <c r="T183" i="4" a="1"/>
  <c r="T183" i="4"/>
  <c r="AC35" i="5"/>
  <c r="U183" i="4" a="1"/>
  <c r="U183" i="4"/>
  <c r="AD35" i="5"/>
  <c r="AI35" i="5"/>
  <c r="Y24" i="2"/>
  <c r="Y183" i="4"/>
  <c r="AJ35" i="5"/>
  <c r="Z24" i="2"/>
  <c r="Z183" i="4"/>
  <c r="AL35" i="5"/>
  <c r="L35" i="5"/>
  <c r="F35" i="5"/>
  <c r="H35" i="5"/>
  <c r="I35" i="5"/>
  <c r="N35" i="5"/>
  <c r="O35" i="5"/>
  <c r="Z35" i="5"/>
  <c r="AN35" i="5"/>
  <c r="AG36" i="5"/>
  <c r="AF36" i="5"/>
  <c r="C184" i="4"/>
  <c r="C36" i="5"/>
  <c r="D184" i="4"/>
  <c r="E36" i="5"/>
  <c r="K36" i="5"/>
  <c r="L184" i="4"/>
  <c r="Q36" i="5"/>
  <c r="M184" i="4"/>
  <c r="R36" i="5"/>
  <c r="T36" i="5"/>
  <c r="O184" i="4"/>
  <c r="U36" i="5"/>
  <c r="P184" i="4"/>
  <c r="W36" i="5"/>
  <c r="Q184" i="4"/>
  <c r="X36" i="5"/>
  <c r="S184" i="4"/>
  <c r="AA36" i="5"/>
  <c r="AI184" i="4"/>
  <c r="T184" i="4" a="1"/>
  <c r="T184" i="4"/>
  <c r="AC36" i="5"/>
  <c r="U184" i="4" a="1"/>
  <c r="U184" i="4"/>
  <c r="AD36" i="5"/>
  <c r="X184" i="4"/>
  <c r="AI36" i="5"/>
  <c r="Y184" i="4"/>
  <c r="AJ36" i="5"/>
  <c r="Z184" i="4"/>
  <c r="AL36" i="5"/>
  <c r="L36" i="5"/>
  <c r="F36" i="5"/>
  <c r="H36" i="5"/>
  <c r="I36" i="5"/>
  <c r="N36" i="5"/>
  <c r="O36" i="5"/>
  <c r="Z36" i="5"/>
  <c r="AN36" i="5"/>
  <c r="AG37" i="5"/>
  <c r="AF37" i="5"/>
  <c r="C185" i="4"/>
  <c r="C37" i="5"/>
  <c r="D185" i="4"/>
  <c r="E37" i="5"/>
  <c r="H29" i="2"/>
  <c r="K37" i="5"/>
  <c r="L185" i="4"/>
  <c r="Q37" i="5"/>
  <c r="M185" i="4"/>
  <c r="R37" i="5"/>
  <c r="T37" i="5"/>
  <c r="O185" i="4"/>
  <c r="U37" i="5"/>
  <c r="P185" i="4"/>
  <c r="W37" i="5"/>
  <c r="S185" i="4"/>
  <c r="AA37" i="5"/>
  <c r="AI185" i="4"/>
  <c r="T185" i="4" a="1"/>
  <c r="T185" i="4"/>
  <c r="AC37" i="5"/>
  <c r="U185" i="4" a="1"/>
  <c r="U185" i="4"/>
  <c r="AD37" i="5"/>
  <c r="X185" i="4"/>
  <c r="AI37" i="5"/>
  <c r="Y185" i="4"/>
  <c r="AJ37" i="5"/>
  <c r="Z185" i="4"/>
  <c r="AL37" i="5"/>
  <c r="L37" i="5"/>
  <c r="F37" i="5"/>
  <c r="H37" i="5"/>
  <c r="I37" i="5"/>
  <c r="N37" i="5"/>
  <c r="O37" i="5"/>
  <c r="Z37" i="5"/>
  <c r="AN37" i="5"/>
  <c r="AG38" i="5"/>
  <c r="AF38" i="5"/>
  <c r="B102" i="4"/>
  <c r="C102" i="4"/>
  <c r="C38" i="5"/>
  <c r="D102" i="4"/>
  <c r="E38" i="5"/>
  <c r="H102" i="4"/>
  <c r="K38" i="5"/>
  <c r="L102" i="4"/>
  <c r="Q38" i="5"/>
  <c r="M102" i="4"/>
  <c r="R38" i="5"/>
  <c r="T38" i="5"/>
  <c r="U38" i="5"/>
  <c r="P102" i="4"/>
  <c r="W38" i="5"/>
  <c r="Q102" i="4"/>
  <c r="X38" i="5"/>
  <c r="AA38" i="5"/>
  <c r="AI102" i="4"/>
  <c r="T102" i="4" a="1"/>
  <c r="T102" i="4"/>
  <c r="AC38" i="5"/>
  <c r="U102" i="4" a="1"/>
  <c r="U102" i="4"/>
  <c r="AD38" i="5"/>
  <c r="X102" i="4"/>
  <c r="AI38" i="5"/>
  <c r="Y102" i="4"/>
  <c r="AJ38" i="5"/>
  <c r="Z102" i="4"/>
  <c r="AL38" i="5"/>
  <c r="F38" i="5"/>
  <c r="H38" i="5"/>
  <c r="I38" i="5"/>
  <c r="L38" i="5"/>
  <c r="N38" i="5"/>
  <c r="O38" i="5"/>
  <c r="Z38" i="5"/>
  <c r="AN38" i="5"/>
  <c r="AG39" i="5"/>
  <c r="AF39" i="5"/>
  <c r="B103" i="4"/>
  <c r="C103" i="4"/>
  <c r="C39" i="5"/>
  <c r="D103" i="4"/>
  <c r="E39" i="5"/>
  <c r="H103" i="4"/>
  <c r="K39" i="5"/>
  <c r="L103" i="4"/>
  <c r="Q39" i="5"/>
  <c r="M103" i="4"/>
  <c r="R39" i="5"/>
  <c r="N103" i="4"/>
  <c r="T39" i="5"/>
  <c r="O103" i="4"/>
  <c r="U39" i="5"/>
  <c r="P103" i="4"/>
  <c r="W39" i="5"/>
  <c r="Q103" i="4"/>
  <c r="X39" i="5"/>
  <c r="AA39" i="5"/>
  <c r="AI103" i="4"/>
  <c r="T103" i="4" a="1"/>
  <c r="T103" i="4"/>
  <c r="AC39" i="5"/>
  <c r="U103" i="4" a="1"/>
  <c r="U103" i="4"/>
  <c r="AD39" i="5"/>
  <c r="X103" i="4"/>
  <c r="AI39" i="5"/>
  <c r="Y103" i="4"/>
  <c r="AJ39" i="5"/>
  <c r="Z103" i="4"/>
  <c r="AL39" i="5"/>
  <c r="F39" i="5"/>
  <c r="H39" i="5"/>
  <c r="I39" i="5"/>
  <c r="L39" i="5"/>
  <c r="N39" i="5"/>
  <c r="O39" i="5"/>
  <c r="Z39" i="5"/>
  <c r="AN39" i="5"/>
  <c r="AG40" i="5"/>
  <c r="AF40" i="5"/>
  <c r="B104" i="4"/>
  <c r="C104" i="4"/>
  <c r="C40" i="5"/>
  <c r="D104" i="4"/>
  <c r="E40" i="5"/>
  <c r="H104" i="4"/>
  <c r="K40" i="5"/>
  <c r="L104" i="4"/>
  <c r="Q40" i="5"/>
  <c r="M104" i="4"/>
  <c r="R40" i="5"/>
  <c r="T40" i="5"/>
  <c r="U40" i="5"/>
  <c r="P104" i="4"/>
  <c r="W40" i="5"/>
  <c r="Q104" i="4"/>
  <c r="X40" i="5"/>
  <c r="AA40" i="5"/>
  <c r="AI104" i="4"/>
  <c r="T104" i="4" a="1"/>
  <c r="T104" i="4"/>
  <c r="AC40" i="5"/>
  <c r="U104" i="4" a="1"/>
  <c r="U104" i="4"/>
  <c r="AD40" i="5"/>
  <c r="X104" i="4"/>
  <c r="AI40" i="5"/>
  <c r="Y104" i="4"/>
  <c r="AJ40" i="5"/>
  <c r="Z104" i="4"/>
  <c r="AL40" i="5"/>
  <c r="F40" i="5"/>
  <c r="H40" i="5"/>
  <c r="I40" i="5"/>
  <c r="L40" i="5"/>
  <c r="N40" i="5"/>
  <c r="O40" i="5"/>
  <c r="Z40" i="5"/>
  <c r="AN40" i="5"/>
  <c r="AG41" i="5"/>
  <c r="AF41" i="5"/>
  <c r="C29" i="4"/>
  <c r="C41" i="5"/>
  <c r="D29" i="4"/>
  <c r="E41" i="5"/>
  <c r="H29" i="4"/>
  <c r="K41" i="5"/>
  <c r="L29" i="4"/>
  <c r="Q41" i="5"/>
  <c r="M29" i="4"/>
  <c r="R41" i="5"/>
  <c r="T41" i="5"/>
  <c r="U41" i="5"/>
  <c r="P29" i="4"/>
  <c r="W41" i="5"/>
  <c r="Q29" i="4"/>
  <c r="X41" i="5"/>
  <c r="AA41" i="5"/>
  <c r="AI29" i="4"/>
  <c r="T29" i="4" a="1"/>
  <c r="T29" i="4"/>
  <c r="AC41" i="5"/>
  <c r="U29" i="4" a="1"/>
  <c r="U29" i="4"/>
  <c r="AD41" i="5"/>
  <c r="X29" i="4"/>
  <c r="AI41" i="5"/>
  <c r="Y29" i="4"/>
  <c r="AJ41" i="5"/>
  <c r="Z29" i="4"/>
  <c r="AL41" i="5"/>
  <c r="F41" i="5"/>
  <c r="H41" i="5"/>
  <c r="I41" i="5"/>
  <c r="L41" i="5"/>
  <c r="N41" i="5"/>
  <c r="O41" i="5"/>
  <c r="Z41" i="5"/>
  <c r="AN41" i="5"/>
  <c r="AG42" i="5"/>
  <c r="AF42" i="5"/>
  <c r="B58" i="4"/>
  <c r="C58" i="4"/>
  <c r="C42" i="5"/>
  <c r="D58" i="4"/>
  <c r="E42" i="5"/>
  <c r="H58" i="4"/>
  <c r="K42" i="5"/>
  <c r="L58" i="4"/>
  <c r="Q42" i="5"/>
  <c r="M58" i="4"/>
  <c r="R42" i="5"/>
  <c r="T42" i="5"/>
  <c r="U42" i="5"/>
  <c r="P58" i="4"/>
  <c r="W42" i="5"/>
  <c r="Q58" i="4"/>
  <c r="X42" i="5"/>
  <c r="AA42" i="5"/>
  <c r="AI58" i="4"/>
  <c r="T58" i="4" a="1"/>
  <c r="T58" i="4"/>
  <c r="AC42" i="5"/>
  <c r="U58" i="4" a="1"/>
  <c r="U58" i="4"/>
  <c r="AD42" i="5"/>
  <c r="X58" i="4"/>
  <c r="AI42" i="5"/>
  <c r="Y58" i="4"/>
  <c r="AJ42" i="5"/>
  <c r="Z58" i="4"/>
  <c r="AL42" i="5"/>
  <c r="F42" i="5"/>
  <c r="H42" i="5"/>
  <c r="I42" i="5"/>
  <c r="L42" i="5"/>
  <c r="N42" i="5"/>
  <c r="O42" i="5"/>
  <c r="Z42" i="5"/>
  <c r="AN42" i="5"/>
  <c r="AG43" i="5"/>
  <c r="AF43" i="5"/>
  <c r="C146" i="4"/>
  <c r="C43" i="5"/>
  <c r="T43" i="5"/>
  <c r="O146" i="4"/>
  <c r="U43" i="5"/>
  <c r="P146" i="4"/>
  <c r="W43" i="5"/>
  <c r="Q146" i="4"/>
  <c r="X43" i="5"/>
  <c r="AA43" i="5"/>
  <c r="AI146" i="4"/>
  <c r="T146" i="4" a="1"/>
  <c r="T146" i="4"/>
  <c r="AC43" i="5"/>
  <c r="U146" i="4" a="1"/>
  <c r="U146" i="4"/>
  <c r="AD43" i="5"/>
  <c r="X146" i="4"/>
  <c r="AI43" i="5"/>
  <c r="Y146" i="4"/>
  <c r="AJ43" i="5"/>
  <c r="Z146" i="4"/>
  <c r="AL43" i="5"/>
  <c r="F43" i="5"/>
  <c r="H43" i="5"/>
  <c r="I43" i="5"/>
  <c r="L43" i="5"/>
  <c r="N43" i="5"/>
  <c r="O43" i="5"/>
  <c r="Z43" i="5"/>
  <c r="AN43" i="5"/>
  <c r="AG44" i="5"/>
  <c r="AF44" i="5"/>
  <c r="C119" i="4"/>
  <c r="C44" i="5"/>
  <c r="N119" i="4"/>
  <c r="T44" i="5"/>
  <c r="O119" i="4"/>
  <c r="U44" i="5"/>
  <c r="P119" i="4"/>
  <c r="W44" i="5"/>
  <c r="Q119" i="4"/>
  <c r="X44" i="5"/>
  <c r="AA44" i="5"/>
  <c r="AI119" i="4"/>
  <c r="T119" i="4" a="1"/>
  <c r="T119" i="4"/>
  <c r="AC44" i="5"/>
  <c r="U119" i="4" a="1"/>
  <c r="U119" i="4"/>
  <c r="AD44" i="5"/>
  <c r="X119" i="4"/>
  <c r="AI44" i="5"/>
  <c r="Y119" i="4"/>
  <c r="AJ44" i="5"/>
  <c r="Z119" i="4"/>
  <c r="AL44" i="5"/>
  <c r="F44" i="5"/>
  <c r="H44" i="5"/>
  <c r="I44" i="5"/>
  <c r="L44" i="5"/>
  <c r="N44" i="5"/>
  <c r="O44" i="5"/>
  <c r="Z44" i="5"/>
  <c r="AN44" i="5"/>
  <c r="AG45" i="5"/>
  <c r="AF45" i="5"/>
  <c r="C147" i="4"/>
  <c r="C45" i="5"/>
  <c r="T45" i="5"/>
  <c r="O147" i="4"/>
  <c r="U45" i="5"/>
  <c r="P147" i="4"/>
  <c r="W45" i="5"/>
  <c r="Q147" i="4"/>
  <c r="X45" i="5"/>
  <c r="AA45" i="5"/>
  <c r="AI147" i="4"/>
  <c r="T147" i="4" a="1"/>
  <c r="T147" i="4"/>
  <c r="AC45" i="5"/>
  <c r="U147" i="4" a="1"/>
  <c r="U147" i="4"/>
  <c r="AD45" i="5"/>
  <c r="X147" i="4"/>
  <c r="AI45" i="5"/>
  <c r="Y147" i="4"/>
  <c r="AJ45" i="5"/>
  <c r="Z147" i="4"/>
  <c r="AL45" i="5"/>
  <c r="Z45" i="5"/>
  <c r="AN45" i="5"/>
  <c r="AG46" i="5"/>
  <c r="AF46" i="5"/>
  <c r="C30" i="4"/>
  <c r="C46" i="5"/>
  <c r="D30" i="4"/>
  <c r="E46" i="5"/>
  <c r="H30" i="4"/>
  <c r="K46" i="5"/>
  <c r="L30" i="4"/>
  <c r="Q46" i="5"/>
  <c r="M30" i="4"/>
  <c r="R46" i="5"/>
  <c r="T46" i="5"/>
  <c r="U46" i="5"/>
  <c r="P30" i="4"/>
  <c r="W46" i="5"/>
  <c r="Q30" i="4"/>
  <c r="X46" i="5"/>
  <c r="AA46" i="5"/>
  <c r="AI30" i="4"/>
  <c r="T30" i="4" a="1"/>
  <c r="T30" i="4"/>
  <c r="AC46" i="5"/>
  <c r="U30" i="4" a="1"/>
  <c r="U30" i="4"/>
  <c r="AD46" i="5"/>
  <c r="Y30" i="4"/>
  <c r="AJ46" i="5"/>
  <c r="Z30" i="4"/>
  <c r="AL46" i="5"/>
  <c r="F46" i="5"/>
  <c r="H46" i="5"/>
  <c r="I46" i="5"/>
  <c r="L46" i="5"/>
  <c r="N46" i="5"/>
  <c r="O46" i="5"/>
  <c r="Z46" i="5"/>
  <c r="AN46" i="5"/>
  <c r="AG47" i="5"/>
  <c r="AF47" i="5"/>
  <c r="C31" i="4"/>
  <c r="C47" i="5"/>
  <c r="D31" i="4"/>
  <c r="E47" i="5"/>
  <c r="H31" i="4"/>
  <c r="K47" i="5"/>
  <c r="L31" i="4"/>
  <c r="Q47" i="5"/>
  <c r="M31" i="4"/>
  <c r="R47" i="5"/>
  <c r="T47" i="5"/>
  <c r="O31" i="4"/>
  <c r="U47" i="5"/>
  <c r="P31" i="4"/>
  <c r="W47" i="5"/>
  <c r="Q31" i="4"/>
  <c r="X47" i="5"/>
  <c r="AA47" i="5"/>
  <c r="AI31" i="4"/>
  <c r="T31" i="4" a="1"/>
  <c r="T31" i="4"/>
  <c r="AC47" i="5"/>
  <c r="U31" i="4" a="1"/>
  <c r="U31" i="4"/>
  <c r="AD47" i="5"/>
  <c r="X31" i="4"/>
  <c r="AI47" i="5"/>
  <c r="Y31" i="4"/>
  <c r="AJ47" i="5"/>
  <c r="Z31" i="4"/>
  <c r="AL47" i="5"/>
  <c r="F47" i="5"/>
  <c r="H47" i="5"/>
  <c r="I47" i="5"/>
  <c r="L47" i="5"/>
  <c r="N47" i="5"/>
  <c r="O47" i="5"/>
  <c r="Z47" i="5"/>
  <c r="AN47" i="5"/>
  <c r="AG48" i="5"/>
  <c r="AF48" i="5"/>
  <c r="B13" i="4"/>
  <c r="C13" i="4"/>
  <c r="C48" i="5"/>
  <c r="D13" i="4"/>
  <c r="E48" i="5"/>
  <c r="H13" i="4"/>
  <c r="K48" i="5"/>
  <c r="L13" i="4"/>
  <c r="Q48" i="5"/>
  <c r="M13" i="4"/>
  <c r="R48" i="5"/>
  <c r="T48" i="5"/>
  <c r="U48" i="5"/>
  <c r="P13" i="4"/>
  <c r="W48" i="5"/>
  <c r="Q13" i="4"/>
  <c r="X48" i="5"/>
  <c r="AA48" i="5"/>
  <c r="AI13" i="4"/>
  <c r="T13" i="4" a="1"/>
  <c r="T13" i="4"/>
  <c r="AC48" i="5"/>
  <c r="U13" i="4" a="1"/>
  <c r="U13" i="4"/>
  <c r="AD48" i="5"/>
  <c r="X13" i="4"/>
  <c r="AI48" i="5"/>
  <c r="Y13" i="4"/>
  <c r="AJ48" i="5"/>
  <c r="Z13" i="4"/>
  <c r="AL48" i="5"/>
  <c r="F48" i="5"/>
  <c r="H48" i="5"/>
  <c r="I48" i="5"/>
  <c r="L48" i="5"/>
  <c r="N48" i="5"/>
  <c r="O48" i="5"/>
  <c r="Z48" i="5"/>
  <c r="AN48" i="5"/>
  <c r="AG49" i="5"/>
  <c r="AF49" i="5"/>
  <c r="B148" i="4"/>
  <c r="C148" i="4"/>
  <c r="C49" i="5"/>
  <c r="D148" i="4"/>
  <c r="E49" i="5"/>
  <c r="H148" i="4"/>
  <c r="K49" i="5"/>
  <c r="L148" i="4"/>
  <c r="Q49" i="5"/>
  <c r="M148" i="4"/>
  <c r="R49" i="5"/>
  <c r="T49" i="5"/>
  <c r="O148" i="4"/>
  <c r="U49" i="5"/>
  <c r="P148" i="4"/>
  <c r="W49" i="5"/>
  <c r="Q148" i="4"/>
  <c r="X49" i="5"/>
  <c r="AA49" i="5"/>
  <c r="AI148" i="4"/>
  <c r="T148" i="4" a="1"/>
  <c r="T148" i="4"/>
  <c r="AC49" i="5"/>
  <c r="U148" i="4" a="1"/>
  <c r="U148" i="4"/>
  <c r="AD49" i="5"/>
  <c r="X148" i="4"/>
  <c r="AI49" i="5"/>
  <c r="Y148" i="4"/>
  <c r="AJ49" i="5"/>
  <c r="Z148" i="4"/>
  <c r="AL49" i="5"/>
  <c r="F49" i="5"/>
  <c r="H49" i="5"/>
  <c r="I49" i="5"/>
  <c r="L49" i="5"/>
  <c r="N49" i="5"/>
  <c r="O49" i="5"/>
  <c r="Z49" i="5"/>
  <c r="AN49" i="5"/>
  <c r="AG50" i="5"/>
  <c r="AF50" i="5"/>
  <c r="B59" i="4"/>
  <c r="C59" i="4"/>
  <c r="C50" i="5"/>
  <c r="D59" i="4"/>
  <c r="E50" i="5"/>
  <c r="L59" i="4"/>
  <c r="Q50" i="5"/>
  <c r="M59" i="4"/>
  <c r="R50" i="5"/>
  <c r="T50" i="5"/>
  <c r="U50" i="5"/>
  <c r="P59" i="4"/>
  <c r="W50" i="5"/>
  <c r="Q59" i="4"/>
  <c r="X50" i="5"/>
  <c r="S14" i="2"/>
  <c r="S59" i="4"/>
  <c r="AA50" i="5"/>
  <c r="AI59" i="4"/>
  <c r="T59" i="4" a="1"/>
  <c r="T59" i="4"/>
  <c r="AC50" i="5"/>
  <c r="U59" i="4" a="1"/>
  <c r="U59" i="4"/>
  <c r="AD50" i="5"/>
  <c r="X14" i="2"/>
  <c r="X59" i="4"/>
  <c r="AI50" i="5"/>
  <c r="Y59" i="4"/>
  <c r="AJ50" i="5"/>
  <c r="Z59" i="4"/>
  <c r="AL50" i="5"/>
  <c r="L50" i="5"/>
  <c r="F50" i="5"/>
  <c r="H50" i="5"/>
  <c r="I50" i="5"/>
  <c r="N50" i="5"/>
  <c r="O50" i="5"/>
  <c r="Z50" i="5"/>
  <c r="AN50" i="5"/>
  <c r="AG51" i="5"/>
  <c r="AF51" i="5"/>
  <c r="C15" i="2"/>
  <c r="B105" i="4"/>
  <c r="C105" i="4"/>
  <c r="C51" i="5"/>
  <c r="D15" i="2"/>
  <c r="D105" i="4"/>
  <c r="E51" i="5"/>
  <c r="L15" i="2"/>
  <c r="L105" i="4"/>
  <c r="Q51" i="5"/>
  <c r="M15" i="2"/>
  <c r="M105" i="4"/>
  <c r="R51" i="5"/>
  <c r="N15" i="2"/>
  <c r="N105" i="4"/>
  <c r="T51" i="5"/>
  <c r="O15" i="2"/>
  <c r="O105" i="4"/>
  <c r="U51" i="5"/>
  <c r="P15" i="2"/>
  <c r="P105" i="4"/>
  <c r="W51" i="5"/>
  <c r="Q15" i="2"/>
  <c r="Q105" i="4"/>
  <c r="X51" i="5"/>
  <c r="S15" i="2"/>
  <c r="S105" i="4"/>
  <c r="AA51" i="5"/>
  <c r="AI105" i="4"/>
  <c r="T105" i="4" a="1"/>
  <c r="T105" i="4"/>
  <c r="AC51" i="5"/>
  <c r="U105" i="4" a="1"/>
  <c r="U105" i="4"/>
  <c r="AD51" i="5"/>
  <c r="X15" i="2"/>
  <c r="X105" i="4"/>
  <c r="AI51" i="5"/>
  <c r="Y15" i="2"/>
  <c r="Y105" i="4"/>
  <c r="AJ51" i="5"/>
  <c r="Z15" i="2"/>
  <c r="Z105" i="4"/>
  <c r="AL51" i="5"/>
  <c r="L51" i="5"/>
  <c r="F51" i="5"/>
  <c r="H51" i="5"/>
  <c r="I51" i="5"/>
  <c r="N51" i="5"/>
  <c r="O51" i="5"/>
  <c r="Z51" i="5"/>
  <c r="AN51" i="5"/>
  <c r="AG52" i="5"/>
  <c r="AF52" i="5"/>
  <c r="C120" i="4"/>
  <c r="C52" i="5"/>
  <c r="D120" i="4"/>
  <c r="E52" i="5"/>
  <c r="L120" i="4"/>
  <c r="Q52" i="5"/>
  <c r="M120" i="4"/>
  <c r="R52" i="5"/>
  <c r="T52" i="5"/>
  <c r="U52" i="5"/>
  <c r="P120" i="4"/>
  <c r="W52" i="5"/>
  <c r="Q120" i="4"/>
  <c r="X52" i="5"/>
  <c r="S120" i="4"/>
  <c r="AA52" i="5"/>
  <c r="AI120" i="4"/>
  <c r="T120" i="4" a="1"/>
  <c r="T120" i="4"/>
  <c r="AC52" i="5"/>
  <c r="U120" i="4" a="1"/>
  <c r="U120" i="4"/>
  <c r="AD52" i="5"/>
  <c r="X120" i="4"/>
  <c r="AI52" i="5"/>
  <c r="Y120" i="4"/>
  <c r="AJ52" i="5"/>
  <c r="Z120" i="4"/>
  <c r="AL52" i="5"/>
  <c r="L52" i="5"/>
  <c r="F52" i="5"/>
  <c r="H52" i="5"/>
  <c r="I52" i="5"/>
  <c r="N52" i="5"/>
  <c r="O52" i="5"/>
  <c r="Z52" i="5"/>
  <c r="AN52" i="5"/>
  <c r="AG53" i="5"/>
  <c r="AF53" i="5"/>
  <c r="B14" i="4"/>
  <c r="C14" i="4"/>
  <c r="C53" i="5"/>
  <c r="D14" i="4"/>
  <c r="E53" i="5"/>
  <c r="L14" i="4"/>
  <c r="Q53" i="5"/>
  <c r="M14" i="4"/>
  <c r="R53" i="5"/>
  <c r="T53" i="5"/>
  <c r="U53" i="5"/>
  <c r="P14" i="4"/>
  <c r="W53" i="5"/>
  <c r="Q14" i="4"/>
  <c r="X53" i="5"/>
  <c r="S14" i="4"/>
  <c r="AA53" i="5"/>
  <c r="AI14" i="4"/>
  <c r="T14" i="4" a="1"/>
  <c r="T14" i="4"/>
  <c r="AC53" i="5"/>
  <c r="U14" i="4" a="1"/>
  <c r="U14" i="4"/>
  <c r="AD53" i="5"/>
  <c r="X14" i="4"/>
  <c r="AI53" i="5"/>
  <c r="Y14" i="4"/>
  <c r="AJ53" i="5"/>
  <c r="Z14" i="4"/>
  <c r="AL53" i="5"/>
  <c r="L53" i="5"/>
  <c r="F53" i="5"/>
  <c r="H53" i="5"/>
  <c r="I53" i="5"/>
  <c r="N53" i="5"/>
  <c r="O53" i="5"/>
  <c r="Z53" i="5"/>
  <c r="AN53" i="5"/>
  <c r="AG54" i="5"/>
  <c r="AF54" i="5"/>
  <c r="C233" i="4"/>
  <c r="C54" i="5"/>
  <c r="D233" i="4"/>
  <c r="E54" i="5"/>
  <c r="K54" i="5"/>
  <c r="I24" i="2"/>
  <c r="I3" i="2"/>
  <c r="I233" i="4"/>
  <c r="L54" i="5"/>
  <c r="J24" i="2"/>
  <c r="J3" i="2"/>
  <c r="J233" i="4"/>
  <c r="N54" i="5"/>
  <c r="O54" i="5"/>
  <c r="L233" i="4"/>
  <c r="Q54" i="5"/>
  <c r="M233" i="4"/>
  <c r="R54" i="5"/>
  <c r="T54" i="5"/>
  <c r="U54" i="5"/>
  <c r="P233" i="4"/>
  <c r="W54" i="5"/>
  <c r="Q233" i="4"/>
  <c r="X54" i="5"/>
  <c r="S233" i="4"/>
  <c r="AA54" i="5"/>
  <c r="AI233" i="4"/>
  <c r="T233" i="4" a="1"/>
  <c r="T233" i="4"/>
  <c r="AC54" i="5"/>
  <c r="U233" i="4" a="1"/>
  <c r="U233" i="4"/>
  <c r="AD54" i="5"/>
  <c r="X24" i="2"/>
  <c r="X233" i="4"/>
  <c r="AI54" i="5"/>
  <c r="Y233" i="4"/>
  <c r="AJ54" i="5"/>
  <c r="Z233" i="4"/>
  <c r="AL54" i="5"/>
  <c r="F54" i="5"/>
  <c r="H54" i="5"/>
  <c r="I54" i="5"/>
  <c r="Z54" i="5"/>
  <c r="AN54" i="5"/>
  <c r="AG55" i="5"/>
  <c r="AF55" i="5"/>
  <c r="C11" i="2"/>
  <c r="C32" i="4"/>
  <c r="C55" i="5"/>
  <c r="D11" i="2"/>
  <c r="D32" i="4"/>
  <c r="E55" i="5"/>
  <c r="H11" i="2"/>
  <c r="H32" i="4"/>
  <c r="K55" i="5"/>
  <c r="L11" i="2"/>
  <c r="L32" i="4"/>
  <c r="Q55" i="5"/>
  <c r="M11" i="2"/>
  <c r="M32" i="4"/>
  <c r="R55" i="5"/>
  <c r="N11" i="2"/>
  <c r="N32" i="4"/>
  <c r="T55" i="5"/>
  <c r="O11" i="2"/>
  <c r="O32" i="4"/>
  <c r="U55" i="5"/>
  <c r="P11" i="2"/>
  <c r="P32" i="4"/>
  <c r="W55" i="5"/>
  <c r="Q11" i="2"/>
  <c r="Q32" i="4"/>
  <c r="X55" i="5"/>
  <c r="AA55" i="5"/>
  <c r="AI32" i="4"/>
  <c r="T32" i="4" a="1"/>
  <c r="T32" i="4"/>
  <c r="AC55" i="5"/>
  <c r="U32" i="4" a="1"/>
  <c r="U32" i="4"/>
  <c r="AD55" i="5"/>
  <c r="X11" i="2"/>
  <c r="X32" i="4"/>
  <c r="AI55" i="5"/>
  <c r="Y11" i="2"/>
  <c r="Y32" i="4"/>
  <c r="AJ55" i="5"/>
  <c r="Z11" i="2"/>
  <c r="Z32" i="4"/>
  <c r="AL55" i="5"/>
  <c r="L55" i="5"/>
  <c r="N55" i="5"/>
  <c r="O55" i="5"/>
  <c r="F55" i="5"/>
  <c r="H55" i="5"/>
  <c r="I55" i="5"/>
  <c r="Z55" i="5"/>
  <c r="AN55" i="5"/>
  <c r="AG56" i="5"/>
  <c r="AF56" i="5"/>
  <c r="C13" i="2"/>
  <c r="C33" i="4"/>
  <c r="C56" i="5"/>
  <c r="D13" i="2"/>
  <c r="D33" i="4"/>
  <c r="E56" i="5"/>
  <c r="H13" i="2"/>
  <c r="H33" i="4"/>
  <c r="K56" i="5"/>
  <c r="L13" i="2"/>
  <c r="L33" i="4"/>
  <c r="Q56" i="5"/>
  <c r="M13" i="2"/>
  <c r="M33" i="4"/>
  <c r="R56" i="5"/>
  <c r="N13" i="2"/>
  <c r="N33" i="4"/>
  <c r="T56" i="5"/>
  <c r="O13" i="2"/>
  <c r="O33" i="4"/>
  <c r="U56" i="5"/>
  <c r="P13" i="2"/>
  <c r="P33" i="4"/>
  <c r="W56" i="5"/>
  <c r="Q13" i="2"/>
  <c r="Q33" i="4"/>
  <c r="X56" i="5"/>
  <c r="AA56" i="5"/>
  <c r="AI33" i="4"/>
  <c r="T33" i="4" a="1"/>
  <c r="T33" i="4"/>
  <c r="AC56" i="5"/>
  <c r="U33" i="4" a="1"/>
  <c r="U33" i="4"/>
  <c r="AD56" i="5"/>
  <c r="X13" i="2"/>
  <c r="X33" i="4"/>
  <c r="AI56" i="5"/>
  <c r="Y13" i="2"/>
  <c r="Y33" i="4"/>
  <c r="AJ56" i="5"/>
  <c r="Z13" i="2"/>
  <c r="Z33" i="4"/>
  <c r="AL56" i="5"/>
  <c r="L56" i="5"/>
  <c r="N56" i="5"/>
  <c r="O56" i="5"/>
  <c r="F56" i="5"/>
  <c r="H56" i="5"/>
  <c r="I56" i="5"/>
  <c r="Z56" i="5"/>
  <c r="AN56" i="5"/>
  <c r="AG57" i="5"/>
  <c r="AF57" i="5"/>
  <c r="C12" i="2"/>
  <c r="C34" i="4"/>
  <c r="C57" i="5"/>
  <c r="D12" i="2"/>
  <c r="D34" i="4"/>
  <c r="E57" i="5"/>
  <c r="H12" i="2"/>
  <c r="H34" i="4"/>
  <c r="K57" i="5"/>
  <c r="L12" i="2"/>
  <c r="L34" i="4"/>
  <c r="Q57" i="5"/>
  <c r="M12" i="2"/>
  <c r="M34" i="4"/>
  <c r="R57" i="5"/>
  <c r="T57" i="5"/>
  <c r="U57" i="5"/>
  <c r="P12" i="2"/>
  <c r="P34" i="4"/>
  <c r="W57" i="5"/>
  <c r="Q12" i="2"/>
  <c r="Q34" i="4"/>
  <c r="X57" i="5"/>
  <c r="AA57" i="5"/>
  <c r="AI34" i="4"/>
  <c r="T34" i="4" a="1"/>
  <c r="T34" i="4"/>
  <c r="AC57" i="5"/>
  <c r="U34" i="4" a="1"/>
  <c r="U34" i="4"/>
  <c r="AD57" i="5"/>
  <c r="X34" i="4"/>
  <c r="AI57" i="5"/>
  <c r="Y12" i="2"/>
  <c r="Y34" i="4"/>
  <c r="AJ57" i="5"/>
  <c r="Z12" i="2"/>
  <c r="Z34" i="4"/>
  <c r="AL57" i="5"/>
  <c r="L57" i="5"/>
  <c r="N57" i="5"/>
  <c r="O57" i="5"/>
  <c r="F57" i="5"/>
  <c r="H57" i="5"/>
  <c r="I57" i="5"/>
  <c r="Z57" i="5"/>
  <c r="AN57" i="5"/>
  <c r="AG58" i="5"/>
  <c r="AF58" i="5"/>
  <c r="C35" i="4"/>
  <c r="C58" i="5"/>
  <c r="D35" i="4"/>
  <c r="E58" i="5"/>
  <c r="H35" i="4"/>
  <c r="K58" i="5"/>
  <c r="I12" i="2"/>
  <c r="I35" i="4"/>
  <c r="L58" i="5"/>
  <c r="J12" i="2"/>
  <c r="J35" i="4"/>
  <c r="N58" i="5"/>
  <c r="O58" i="5"/>
  <c r="L35" i="4"/>
  <c r="Q58" i="5"/>
  <c r="M35" i="4"/>
  <c r="R58" i="5"/>
  <c r="N12" i="2"/>
  <c r="N35" i="4"/>
  <c r="T58" i="5"/>
  <c r="O12" i="2"/>
  <c r="O35" i="4"/>
  <c r="U58" i="5"/>
  <c r="P35" i="4"/>
  <c r="W58" i="5"/>
  <c r="Q35" i="4"/>
  <c r="X58" i="5"/>
  <c r="AA58" i="5"/>
  <c r="AI35" i="4"/>
  <c r="T35" i="4" a="1"/>
  <c r="T35" i="4"/>
  <c r="AC58" i="5"/>
  <c r="U35" i="4" a="1"/>
  <c r="U35" i="4"/>
  <c r="AD58" i="5"/>
  <c r="X35" i="4"/>
  <c r="AI58" i="5"/>
  <c r="Y35" i="4"/>
  <c r="AJ58" i="5"/>
  <c r="Z35" i="4"/>
  <c r="AL58" i="5"/>
  <c r="F58" i="5"/>
  <c r="H58" i="5"/>
  <c r="I58" i="5"/>
  <c r="Z58" i="5"/>
  <c r="AN58" i="5"/>
  <c r="AG59" i="5"/>
  <c r="AF59" i="5"/>
  <c r="C10" i="2"/>
  <c r="C36" i="4"/>
  <c r="C59" i="5"/>
  <c r="D10" i="2"/>
  <c r="D36" i="4"/>
  <c r="E59" i="5"/>
  <c r="H10" i="2"/>
  <c r="H36" i="4"/>
  <c r="K59" i="5"/>
  <c r="L10" i="2"/>
  <c r="L36" i="4"/>
  <c r="Q59" i="5"/>
  <c r="M10" i="2"/>
  <c r="M36" i="4"/>
  <c r="R59" i="5"/>
  <c r="N10" i="2"/>
  <c r="N36" i="4"/>
  <c r="T59" i="5"/>
  <c r="O10" i="2"/>
  <c r="O36" i="4"/>
  <c r="U59" i="5"/>
  <c r="P10" i="2"/>
  <c r="P36" i="4"/>
  <c r="W59" i="5"/>
  <c r="Q10" i="2"/>
  <c r="Q36" i="4"/>
  <c r="X59" i="5"/>
  <c r="AA59" i="5"/>
  <c r="AI36" i="4"/>
  <c r="T36" i="4" a="1"/>
  <c r="T36" i="4"/>
  <c r="AC59" i="5"/>
  <c r="U36" i="4" a="1"/>
  <c r="U36" i="4"/>
  <c r="AD59" i="5"/>
  <c r="X10" i="2"/>
  <c r="X36" i="4"/>
  <c r="AI59" i="5"/>
  <c r="Y10" i="2"/>
  <c r="Y36" i="4"/>
  <c r="AJ59" i="5"/>
  <c r="Z10" i="2"/>
  <c r="Z36" i="4"/>
  <c r="AL59" i="5"/>
  <c r="L59" i="5"/>
  <c r="N59" i="5"/>
  <c r="O59" i="5"/>
  <c r="F59" i="5"/>
  <c r="H59" i="5"/>
  <c r="I59" i="5"/>
  <c r="Z59" i="5"/>
  <c r="AN59" i="5"/>
  <c r="AG60" i="5"/>
  <c r="AF60" i="5"/>
  <c r="C37" i="4"/>
  <c r="C60" i="5"/>
  <c r="D37" i="4"/>
  <c r="E60" i="5"/>
  <c r="H37" i="4"/>
  <c r="K60" i="5"/>
  <c r="L37" i="4"/>
  <c r="Q60" i="5"/>
  <c r="M37" i="4"/>
  <c r="R60" i="5"/>
  <c r="T60" i="5"/>
  <c r="U60" i="5"/>
  <c r="P37" i="4"/>
  <c r="W60" i="5"/>
  <c r="Q37" i="4"/>
  <c r="X60" i="5"/>
  <c r="AA60" i="5"/>
  <c r="AI37" i="4"/>
  <c r="T37" i="4" a="1"/>
  <c r="T37" i="4"/>
  <c r="AC60" i="5"/>
  <c r="U37" i="4" a="1"/>
  <c r="U37" i="4"/>
  <c r="AD60" i="5"/>
  <c r="X37" i="4"/>
  <c r="AI60" i="5"/>
  <c r="Y37" i="4"/>
  <c r="AJ60" i="5"/>
  <c r="Z37" i="4"/>
  <c r="AL60" i="5"/>
  <c r="L60" i="5"/>
  <c r="N60" i="5"/>
  <c r="O60" i="5"/>
  <c r="F60" i="5"/>
  <c r="H60" i="5"/>
  <c r="I60" i="5"/>
  <c r="Z60" i="5"/>
  <c r="AN60" i="5"/>
  <c r="AA61" i="5"/>
  <c r="P149" i="4"/>
  <c r="W61" i="5"/>
  <c r="O61" i="5"/>
  <c r="K61" i="5"/>
  <c r="AG61" i="5"/>
  <c r="AF61" i="5"/>
  <c r="C149" i="4"/>
  <c r="C61" i="5"/>
  <c r="D149" i="4"/>
  <c r="E61" i="5"/>
  <c r="L61" i="5"/>
  <c r="N61" i="5"/>
  <c r="L149" i="4"/>
  <c r="Q61" i="5"/>
  <c r="O149" i="4"/>
  <c r="U61" i="5"/>
  <c r="Q149" i="4"/>
  <c r="X61" i="5"/>
  <c r="R149" i="4"/>
  <c r="Z61" i="5"/>
  <c r="AI149" i="4"/>
  <c r="T149" i="4" a="1"/>
  <c r="T149" i="4"/>
  <c r="AC61" i="5"/>
  <c r="U149" i="4" a="1"/>
  <c r="U149" i="4"/>
  <c r="AD61" i="5"/>
  <c r="X149" i="4"/>
  <c r="AI61" i="5"/>
  <c r="Y149" i="4"/>
  <c r="AJ61" i="5"/>
  <c r="Z149" i="4"/>
  <c r="AL61" i="5"/>
  <c r="R61" i="5"/>
  <c r="T61" i="5"/>
  <c r="F61" i="5"/>
  <c r="H61" i="5"/>
  <c r="I61" i="5"/>
  <c r="AN61" i="5"/>
  <c r="AG62" i="5"/>
  <c r="AF62" i="5"/>
  <c r="B60" i="4"/>
  <c r="C60" i="4"/>
  <c r="C62" i="5"/>
  <c r="D60" i="4"/>
  <c r="E62" i="5"/>
  <c r="H60" i="4"/>
  <c r="K62" i="5"/>
  <c r="L60" i="4"/>
  <c r="Q62" i="5"/>
  <c r="M60" i="4"/>
  <c r="R62" i="5"/>
  <c r="T62" i="5"/>
  <c r="U62" i="5"/>
  <c r="P60" i="4"/>
  <c r="W62" i="5"/>
  <c r="Q60" i="4"/>
  <c r="X62" i="5"/>
  <c r="AA62" i="5"/>
  <c r="AI60" i="4"/>
  <c r="T60" i="4" a="1"/>
  <c r="T60" i="4"/>
  <c r="AC62" i="5"/>
  <c r="U60" i="4" a="1"/>
  <c r="U60" i="4"/>
  <c r="AD62" i="5"/>
  <c r="AI62" i="5"/>
  <c r="Y60" i="4"/>
  <c r="AJ62" i="5"/>
  <c r="Z60" i="4"/>
  <c r="AL62" i="5"/>
  <c r="F62" i="5"/>
  <c r="H62" i="5"/>
  <c r="I62" i="5"/>
  <c r="L62" i="5"/>
  <c r="N62" i="5"/>
  <c r="O62" i="5"/>
  <c r="Z62" i="5"/>
  <c r="AN62" i="5"/>
  <c r="AG63" i="5"/>
  <c r="AF63" i="5"/>
  <c r="B61" i="4"/>
  <c r="C61" i="4"/>
  <c r="C63" i="5"/>
  <c r="D61" i="4"/>
  <c r="E63" i="5"/>
  <c r="H61" i="4"/>
  <c r="K63" i="5"/>
  <c r="L61" i="4"/>
  <c r="Q63" i="5"/>
  <c r="M61" i="4"/>
  <c r="R63" i="5"/>
  <c r="T63" i="5"/>
  <c r="U63" i="5"/>
  <c r="P61" i="4"/>
  <c r="W63" i="5"/>
  <c r="Q61" i="4"/>
  <c r="X63" i="5"/>
  <c r="AA63" i="5"/>
  <c r="AI61" i="4"/>
  <c r="T61" i="4" a="1"/>
  <c r="T61" i="4"/>
  <c r="AC63" i="5"/>
  <c r="U61" i="4" a="1"/>
  <c r="U61" i="4"/>
  <c r="AD63" i="5"/>
  <c r="Y61" i="4"/>
  <c r="AJ63" i="5"/>
  <c r="Z61" i="4"/>
  <c r="AL63" i="5"/>
  <c r="F63" i="5"/>
  <c r="H63" i="5"/>
  <c r="I63" i="5"/>
  <c r="L63" i="5"/>
  <c r="N63" i="5"/>
  <c r="O63" i="5"/>
  <c r="Z63" i="5"/>
  <c r="AN63" i="5"/>
  <c r="AG64" i="5"/>
  <c r="AF64" i="5"/>
  <c r="B62" i="4"/>
  <c r="C62" i="4"/>
  <c r="C64" i="5"/>
  <c r="D62" i="4"/>
  <c r="E64" i="5"/>
  <c r="H62" i="4"/>
  <c r="K64" i="5"/>
  <c r="L62" i="4"/>
  <c r="Q64" i="5"/>
  <c r="M62" i="4"/>
  <c r="R64" i="5"/>
  <c r="T64" i="5"/>
  <c r="U64" i="5"/>
  <c r="P62" i="4"/>
  <c r="W64" i="5"/>
  <c r="Q62" i="4"/>
  <c r="X64" i="5"/>
  <c r="AA64" i="5"/>
  <c r="AI62" i="4"/>
  <c r="T62" i="4" a="1"/>
  <c r="T62" i="4"/>
  <c r="AC64" i="5"/>
  <c r="U62" i="4" a="1"/>
  <c r="U62" i="4"/>
  <c r="AD64" i="5"/>
  <c r="Y62" i="4"/>
  <c r="AJ64" i="5"/>
  <c r="Z62" i="4"/>
  <c r="AL64" i="5"/>
  <c r="F64" i="5"/>
  <c r="H64" i="5"/>
  <c r="I64" i="5"/>
  <c r="L64" i="5"/>
  <c r="N64" i="5"/>
  <c r="O64" i="5"/>
  <c r="Z64" i="5"/>
  <c r="AN64" i="5"/>
  <c r="AG65" i="5"/>
  <c r="AF65" i="5"/>
  <c r="B15" i="4"/>
  <c r="C15" i="4"/>
  <c r="C65" i="5"/>
  <c r="D15" i="4"/>
  <c r="E65" i="5"/>
  <c r="H15" i="4"/>
  <c r="K65" i="5"/>
  <c r="L15" i="4"/>
  <c r="Q65" i="5"/>
  <c r="M15" i="4"/>
  <c r="R65" i="5"/>
  <c r="T65" i="5"/>
  <c r="U65" i="5"/>
  <c r="P15" i="4"/>
  <c r="W65" i="5"/>
  <c r="Q15" i="4"/>
  <c r="X65" i="5"/>
  <c r="AA65" i="5"/>
  <c r="AI15" i="4"/>
  <c r="T15" i="4" a="1"/>
  <c r="T15" i="4"/>
  <c r="AC65" i="5"/>
  <c r="U15" i="4" a="1"/>
  <c r="U15" i="4"/>
  <c r="AD65" i="5"/>
  <c r="X15" i="4"/>
  <c r="AI65" i="5"/>
  <c r="Y15" i="4"/>
  <c r="AJ65" i="5"/>
  <c r="Z15" i="4"/>
  <c r="AL65" i="5"/>
  <c r="F65" i="5"/>
  <c r="H65" i="5"/>
  <c r="I65" i="5"/>
  <c r="L65" i="5"/>
  <c r="N65" i="5"/>
  <c r="O65" i="5"/>
  <c r="Z65" i="5"/>
  <c r="AN65" i="5"/>
  <c r="AG66" i="5"/>
  <c r="AF66" i="5"/>
  <c r="B106" i="4"/>
  <c r="C106" i="4"/>
  <c r="C66" i="5"/>
  <c r="D106" i="4"/>
  <c r="E66" i="5"/>
  <c r="H106" i="4"/>
  <c r="K66" i="5"/>
  <c r="L106" i="4"/>
  <c r="Q66" i="5"/>
  <c r="M106" i="4"/>
  <c r="R66" i="5"/>
  <c r="T66" i="5"/>
  <c r="U66" i="5"/>
  <c r="P106" i="4"/>
  <c r="W66" i="5"/>
  <c r="Q106" i="4"/>
  <c r="X66" i="5"/>
  <c r="AA66" i="5"/>
  <c r="AI106" i="4"/>
  <c r="T106" i="4" a="1"/>
  <c r="T106" i="4"/>
  <c r="AC66" i="5"/>
  <c r="U106" i="4" a="1"/>
  <c r="U106" i="4"/>
  <c r="AD66" i="5"/>
  <c r="X106" i="4"/>
  <c r="AI66" i="5"/>
  <c r="Y106" i="4"/>
  <c r="AJ66" i="5"/>
  <c r="Z106" i="4"/>
  <c r="AL66" i="5"/>
  <c r="F66" i="5"/>
  <c r="H66" i="5"/>
  <c r="I66" i="5"/>
  <c r="L66" i="5"/>
  <c r="N66" i="5"/>
  <c r="O66" i="5"/>
  <c r="Z66" i="5"/>
  <c r="AN66" i="5"/>
  <c r="AG67" i="5"/>
  <c r="AF67" i="5"/>
  <c r="B107" i="4"/>
  <c r="C107" i="4"/>
  <c r="C67" i="5"/>
  <c r="D107" i="4"/>
  <c r="E67" i="5"/>
  <c r="H107" i="4"/>
  <c r="K67" i="5"/>
  <c r="L107" i="4"/>
  <c r="Q67" i="5"/>
  <c r="M107" i="4"/>
  <c r="R67" i="5"/>
  <c r="T67" i="5"/>
  <c r="U67" i="5"/>
  <c r="P107" i="4"/>
  <c r="W67" i="5"/>
  <c r="Q107" i="4"/>
  <c r="X67" i="5"/>
  <c r="AA67" i="5"/>
  <c r="AI107" i="4"/>
  <c r="T107" i="4" a="1"/>
  <c r="T107" i="4"/>
  <c r="AC67" i="5"/>
  <c r="U107" i="4" a="1"/>
  <c r="U107" i="4"/>
  <c r="AD67" i="5"/>
  <c r="X107" i="4"/>
  <c r="AI67" i="5"/>
  <c r="Y107" i="4"/>
  <c r="AJ67" i="5"/>
  <c r="Z107" i="4"/>
  <c r="AL67" i="5"/>
  <c r="F67" i="5"/>
  <c r="H67" i="5"/>
  <c r="I67" i="5"/>
  <c r="L67" i="5"/>
  <c r="N67" i="5"/>
  <c r="O67" i="5"/>
  <c r="Z67" i="5"/>
  <c r="AN67" i="5"/>
  <c r="AG68" i="5"/>
  <c r="AF68" i="5"/>
  <c r="C38" i="4"/>
  <c r="C68" i="5"/>
  <c r="D38" i="4"/>
  <c r="E68" i="5"/>
  <c r="H38" i="4"/>
  <c r="K68" i="5"/>
  <c r="L38" i="4"/>
  <c r="Q68" i="5"/>
  <c r="M38" i="4"/>
  <c r="R68" i="5"/>
  <c r="T68" i="5"/>
  <c r="U68" i="5"/>
  <c r="P38" i="4"/>
  <c r="W68" i="5"/>
  <c r="Q38" i="4"/>
  <c r="X68" i="5"/>
  <c r="AA68" i="5"/>
  <c r="AI38" i="4"/>
  <c r="T38" i="4" a="1"/>
  <c r="T38" i="4"/>
  <c r="AC68" i="5"/>
  <c r="U38" i="4" a="1"/>
  <c r="U38" i="4"/>
  <c r="AD68" i="5"/>
  <c r="Y38" i="4"/>
  <c r="AJ68" i="5"/>
  <c r="Z38" i="4"/>
  <c r="AL68" i="5"/>
  <c r="F68" i="5"/>
  <c r="H68" i="5"/>
  <c r="I68" i="5"/>
  <c r="L68" i="5"/>
  <c r="N68" i="5"/>
  <c r="O68" i="5"/>
  <c r="Z68" i="5"/>
  <c r="AN68" i="5"/>
  <c r="AG69" i="5"/>
  <c r="AF69" i="5"/>
  <c r="C17" i="2"/>
  <c r="C39" i="4"/>
  <c r="C69" i="5"/>
  <c r="D17" i="2"/>
  <c r="D39" i="4"/>
  <c r="E69" i="5"/>
  <c r="H17" i="2"/>
  <c r="H39" i="4"/>
  <c r="K69" i="5"/>
  <c r="I17" i="2"/>
  <c r="I39" i="4"/>
  <c r="L69" i="5"/>
  <c r="J17" i="2"/>
  <c r="J39" i="4"/>
  <c r="N69" i="5"/>
  <c r="O69" i="5"/>
  <c r="L17" i="2"/>
  <c r="L39" i="4"/>
  <c r="Q69" i="5"/>
  <c r="M17" i="2"/>
  <c r="M39" i="4"/>
  <c r="R69" i="5"/>
  <c r="N17" i="2"/>
  <c r="N39" i="4"/>
  <c r="T69" i="5"/>
  <c r="O17" i="2"/>
  <c r="O39" i="4"/>
  <c r="U69" i="5"/>
  <c r="P17" i="2"/>
  <c r="P39" i="4"/>
  <c r="W69" i="5"/>
  <c r="Q17" i="2"/>
  <c r="Q39" i="4"/>
  <c r="X69" i="5"/>
  <c r="AA69" i="5"/>
  <c r="AI39" i="4"/>
  <c r="T39" i="4" a="1"/>
  <c r="T39" i="4"/>
  <c r="AC69" i="5"/>
  <c r="AD69" i="5"/>
  <c r="X17" i="2"/>
  <c r="X39" i="4"/>
  <c r="AI69" i="5"/>
  <c r="Y17" i="2"/>
  <c r="Y39" i="4"/>
  <c r="AJ69" i="5"/>
  <c r="Z17" i="2"/>
  <c r="Z39" i="4"/>
  <c r="AL69" i="5"/>
  <c r="F69" i="5"/>
  <c r="H69" i="5"/>
  <c r="I69" i="5"/>
  <c r="Z69" i="5"/>
  <c r="AN69" i="5"/>
  <c r="AG70" i="5"/>
  <c r="AF70" i="5"/>
  <c r="C40" i="4"/>
  <c r="C70" i="5"/>
  <c r="D40" i="4"/>
  <c r="E70" i="5"/>
  <c r="H40" i="4"/>
  <c r="K70" i="5"/>
  <c r="L40" i="4"/>
  <c r="Q70" i="5"/>
  <c r="M40" i="4"/>
  <c r="R70" i="5"/>
  <c r="N40" i="4"/>
  <c r="T70" i="5"/>
  <c r="O40" i="4"/>
  <c r="U70" i="5"/>
  <c r="P40" i="4"/>
  <c r="W70" i="5"/>
  <c r="Q40" i="4"/>
  <c r="X70" i="5"/>
  <c r="AA70" i="5"/>
  <c r="AI40" i="4"/>
  <c r="T40" i="4" a="1"/>
  <c r="T40" i="4"/>
  <c r="AC70" i="5"/>
  <c r="U40" i="4" a="1"/>
  <c r="U40" i="4"/>
  <c r="AD70" i="5"/>
  <c r="Y40" i="4"/>
  <c r="AJ70" i="5"/>
  <c r="Z40" i="4"/>
  <c r="AL70" i="5"/>
  <c r="F70" i="5"/>
  <c r="H70" i="5"/>
  <c r="I70" i="5"/>
  <c r="L70" i="5"/>
  <c r="N70" i="5"/>
  <c r="O70" i="5"/>
  <c r="Z70" i="5"/>
  <c r="AN70" i="5"/>
  <c r="AG71" i="5"/>
  <c r="AF71" i="5"/>
  <c r="B63" i="4"/>
  <c r="C63" i="4"/>
  <c r="C71" i="5"/>
  <c r="D63" i="4"/>
  <c r="E71" i="5"/>
  <c r="H63" i="4"/>
  <c r="K71" i="5"/>
  <c r="L63" i="4"/>
  <c r="Q71" i="5"/>
  <c r="M63" i="4"/>
  <c r="R71" i="5"/>
  <c r="T71" i="5"/>
  <c r="U71" i="5"/>
  <c r="P63" i="4"/>
  <c r="W71" i="5"/>
  <c r="Q63" i="4"/>
  <c r="X71" i="5"/>
  <c r="AA71" i="5"/>
  <c r="AI63" i="4"/>
  <c r="T63" i="4" a="1"/>
  <c r="T63" i="4"/>
  <c r="AC71" i="5"/>
  <c r="U63" i="4" a="1"/>
  <c r="U63" i="4"/>
  <c r="AD71" i="5"/>
  <c r="Y63" i="4"/>
  <c r="AJ71" i="5"/>
  <c r="Z63" i="4"/>
  <c r="AL71" i="5"/>
  <c r="F71" i="5"/>
  <c r="H71" i="5"/>
  <c r="I71" i="5"/>
  <c r="L71" i="5"/>
  <c r="N71" i="5"/>
  <c r="O71" i="5"/>
  <c r="Z71" i="5"/>
  <c r="AN71" i="5"/>
  <c r="AG72" i="5"/>
  <c r="AF72" i="5"/>
  <c r="C18" i="2"/>
  <c r="C234" i="4"/>
  <c r="C72" i="5"/>
  <c r="D234" i="4"/>
  <c r="E72" i="5"/>
  <c r="H234" i="4"/>
  <c r="K72" i="5"/>
  <c r="L234" i="4"/>
  <c r="Q72" i="5"/>
  <c r="M234" i="4"/>
  <c r="R72" i="5"/>
  <c r="T72" i="5"/>
  <c r="O18" i="2"/>
  <c r="O234" i="4"/>
  <c r="U72" i="5"/>
  <c r="P18" i="2"/>
  <c r="P234" i="4"/>
  <c r="W72" i="5"/>
  <c r="Q18" i="2"/>
  <c r="Q234" i="4"/>
  <c r="X72" i="5"/>
  <c r="S18" i="2"/>
  <c r="S234" i="4"/>
  <c r="AA72" i="5"/>
  <c r="AI234" i="4"/>
  <c r="T234" i="4" a="1"/>
  <c r="T234" i="4"/>
  <c r="AC72" i="5"/>
  <c r="U234" i="4" a="1"/>
  <c r="U234" i="4"/>
  <c r="AD72" i="5"/>
  <c r="X18" i="2"/>
  <c r="X234" i="4"/>
  <c r="AI72" i="5"/>
  <c r="Y18" i="2"/>
  <c r="Y234" i="4"/>
  <c r="AJ72" i="5"/>
  <c r="Z18" i="2"/>
  <c r="Z234" i="4"/>
  <c r="AL72" i="5"/>
  <c r="F72" i="5"/>
  <c r="H72" i="5"/>
  <c r="I72" i="5"/>
  <c r="L72" i="5"/>
  <c r="N72" i="5"/>
  <c r="O72" i="5"/>
  <c r="Z72" i="5"/>
  <c r="AN72" i="5"/>
  <c r="AG73" i="5"/>
  <c r="AF73" i="5"/>
  <c r="C20" i="2"/>
  <c r="C219" i="4"/>
  <c r="C73" i="5"/>
  <c r="D20" i="2"/>
  <c r="D219" i="4"/>
  <c r="E73" i="5"/>
  <c r="E20" i="2"/>
  <c r="E219" i="4"/>
  <c r="F73" i="5"/>
  <c r="F20" i="2"/>
  <c r="F219" i="4"/>
  <c r="H73" i="5"/>
  <c r="I73" i="5"/>
  <c r="H20" i="2"/>
  <c r="H219" i="4"/>
  <c r="K73" i="5"/>
  <c r="L20" i="2"/>
  <c r="L219" i="4"/>
  <c r="Q73" i="5"/>
  <c r="M20" i="2"/>
  <c r="M219" i="4"/>
  <c r="R73" i="5"/>
  <c r="T73" i="5"/>
  <c r="U73" i="5"/>
  <c r="P20" i="2"/>
  <c r="P219" i="4"/>
  <c r="W73" i="5"/>
  <c r="Q20" i="2"/>
  <c r="Q219" i="4"/>
  <c r="X73" i="5"/>
  <c r="S20" i="2"/>
  <c r="S219" i="4"/>
  <c r="AA73" i="5"/>
  <c r="AI219" i="4"/>
  <c r="T219" i="4" a="1"/>
  <c r="T219" i="4"/>
  <c r="AC73" i="5"/>
  <c r="U219" i="4" a="1"/>
  <c r="U219" i="4"/>
  <c r="AD73" i="5"/>
  <c r="X20" i="2"/>
  <c r="X219" i="4"/>
  <c r="AI73" i="5"/>
  <c r="Y20" i="2"/>
  <c r="Y219" i="4"/>
  <c r="AJ73" i="5"/>
  <c r="Z20" i="2"/>
  <c r="Z219" i="4"/>
  <c r="AL73" i="5"/>
  <c r="L73" i="5"/>
  <c r="N73" i="5"/>
  <c r="O73" i="5"/>
  <c r="Z73" i="5"/>
  <c r="AN73" i="5"/>
  <c r="AG74" i="5"/>
  <c r="AF74" i="5"/>
  <c r="C236" i="4"/>
  <c r="C74" i="5"/>
  <c r="D236" i="4"/>
  <c r="E74" i="5"/>
  <c r="H236" i="4"/>
  <c r="K74" i="5"/>
  <c r="L236" i="4"/>
  <c r="Q74" i="5"/>
  <c r="M236" i="4"/>
  <c r="R74" i="5"/>
  <c r="T74" i="5"/>
  <c r="U74" i="5"/>
  <c r="P236" i="4"/>
  <c r="W74" i="5"/>
  <c r="Q236" i="4"/>
  <c r="X74" i="5"/>
  <c r="S236" i="4"/>
  <c r="AA74" i="5"/>
  <c r="AI236" i="4"/>
  <c r="T236" i="4" a="1"/>
  <c r="T236" i="4"/>
  <c r="AC74" i="5"/>
  <c r="U236" i="4" a="1"/>
  <c r="U236" i="4"/>
  <c r="AD74" i="5"/>
  <c r="X236" i="4"/>
  <c r="AI74" i="5"/>
  <c r="Y236" i="4"/>
  <c r="AJ74" i="5"/>
  <c r="Z236" i="4"/>
  <c r="AL74" i="5"/>
  <c r="F74" i="5"/>
  <c r="H74" i="5"/>
  <c r="I74" i="5"/>
  <c r="L74" i="5"/>
  <c r="N74" i="5"/>
  <c r="O74" i="5"/>
  <c r="Z74" i="5"/>
  <c r="AN74" i="5"/>
  <c r="AG75" i="5"/>
  <c r="AF75" i="5"/>
  <c r="C237" i="4"/>
  <c r="C75" i="5"/>
  <c r="D237" i="4"/>
  <c r="E75" i="5"/>
  <c r="H237" i="4"/>
  <c r="K75" i="5"/>
  <c r="L237" i="4"/>
  <c r="Q75" i="5"/>
  <c r="R75" i="5"/>
  <c r="T75" i="5"/>
  <c r="O237" i="4"/>
  <c r="U75" i="5"/>
  <c r="P237" i="4"/>
  <c r="W75" i="5"/>
  <c r="Q237" i="4"/>
  <c r="X75" i="5"/>
  <c r="S237" i="4"/>
  <c r="AA75" i="5"/>
  <c r="AI237" i="4"/>
  <c r="T237" i="4" a="1"/>
  <c r="T237" i="4"/>
  <c r="AC75" i="5"/>
  <c r="U237" i="4" a="1"/>
  <c r="U237" i="4"/>
  <c r="AD75" i="5"/>
  <c r="X237" i="4"/>
  <c r="AI75" i="5"/>
  <c r="Y237" i="4"/>
  <c r="AJ75" i="5"/>
  <c r="Z237" i="4"/>
  <c r="AL75" i="5"/>
  <c r="F75" i="5"/>
  <c r="H75" i="5"/>
  <c r="I75" i="5"/>
  <c r="L75" i="5"/>
  <c r="N75" i="5"/>
  <c r="O75" i="5"/>
  <c r="Z75" i="5"/>
  <c r="AN75" i="5"/>
  <c r="AG76" i="5"/>
  <c r="AF76" i="5"/>
  <c r="C25" i="2"/>
  <c r="B202" i="4"/>
  <c r="C202" i="4"/>
  <c r="C76" i="5"/>
  <c r="D25" i="2"/>
  <c r="D202" i="4"/>
  <c r="E76" i="5"/>
  <c r="H25" i="2"/>
  <c r="H202" i="4"/>
  <c r="K76" i="5"/>
  <c r="L25" i="2"/>
  <c r="L202" i="4"/>
  <c r="Q76" i="5"/>
  <c r="M25" i="2"/>
  <c r="M202" i="4"/>
  <c r="R76" i="5"/>
  <c r="T76" i="5"/>
  <c r="U76" i="5"/>
  <c r="P25" i="2"/>
  <c r="P202" i="4"/>
  <c r="W76" i="5"/>
  <c r="Q25" i="2"/>
  <c r="Q202" i="4"/>
  <c r="X76" i="5"/>
  <c r="S25" i="2"/>
  <c r="S202" i="4"/>
  <c r="AA76" i="5"/>
  <c r="AI202" i="4"/>
  <c r="T202" i="4" a="1"/>
  <c r="T202" i="4"/>
  <c r="AC76" i="5"/>
  <c r="U202" i="4" a="1"/>
  <c r="U202" i="4"/>
  <c r="AD76" i="5"/>
  <c r="X25" i="2"/>
  <c r="X202" i="4"/>
  <c r="AI76" i="5"/>
  <c r="Y25" i="2"/>
  <c r="Y202" i="4"/>
  <c r="AJ76" i="5"/>
  <c r="Z25" i="2"/>
  <c r="Z202" i="4"/>
  <c r="AL76" i="5"/>
  <c r="F76" i="5"/>
  <c r="H76" i="5"/>
  <c r="I76" i="5"/>
  <c r="L76" i="5"/>
  <c r="N76" i="5"/>
  <c r="O76" i="5"/>
  <c r="Z76" i="5"/>
  <c r="AN76" i="5"/>
  <c r="AG77" i="5"/>
  <c r="AF77" i="5"/>
  <c r="B186" i="4"/>
  <c r="C32" i="2"/>
  <c r="C186" i="4"/>
  <c r="C77" i="5"/>
  <c r="D32" i="2"/>
  <c r="D186" i="4"/>
  <c r="E77" i="5"/>
  <c r="E32" i="2"/>
  <c r="E186" i="4"/>
  <c r="F77" i="5"/>
  <c r="F32" i="2"/>
  <c r="F186" i="4"/>
  <c r="H77" i="5"/>
  <c r="I77" i="5"/>
  <c r="H32" i="2"/>
  <c r="H186" i="4"/>
  <c r="K77" i="5"/>
  <c r="L32" i="2"/>
  <c r="L186" i="4"/>
  <c r="Q77" i="5"/>
  <c r="M32" i="2"/>
  <c r="M186" i="4"/>
  <c r="R77" i="5"/>
  <c r="T77" i="5"/>
  <c r="U77" i="5"/>
  <c r="P32" i="2"/>
  <c r="P186" i="4"/>
  <c r="W77" i="5"/>
  <c r="Q32" i="2"/>
  <c r="Q186" i="4"/>
  <c r="X77" i="5"/>
  <c r="S32" i="2"/>
  <c r="S186" i="4"/>
  <c r="AA77" i="5"/>
  <c r="AI186" i="4"/>
  <c r="T186" i="4" a="1"/>
  <c r="T186" i="4"/>
  <c r="AC77" i="5"/>
  <c r="AD77" i="5"/>
  <c r="X32" i="2"/>
  <c r="X186" i="4"/>
  <c r="AI77" i="5"/>
  <c r="Y32" i="2"/>
  <c r="Y186" i="4"/>
  <c r="AJ77" i="5"/>
  <c r="Z32" i="2"/>
  <c r="Z186" i="4"/>
  <c r="AL77" i="5"/>
  <c r="L77" i="5"/>
  <c r="N77" i="5"/>
  <c r="O77" i="5"/>
  <c r="Z77" i="5"/>
  <c r="AN77" i="5"/>
  <c r="AG78" i="5"/>
  <c r="AF78" i="5"/>
  <c r="C187" i="4"/>
  <c r="C78" i="5"/>
  <c r="T78" i="5"/>
  <c r="U78" i="5"/>
  <c r="P187" i="4"/>
  <c r="W78" i="5"/>
  <c r="Q187" i="4"/>
  <c r="X78" i="5"/>
  <c r="S187" i="4"/>
  <c r="AA78" i="5"/>
  <c r="X187" i="4"/>
  <c r="AI78" i="5"/>
  <c r="Y187" i="4"/>
  <c r="AJ78" i="5"/>
  <c r="Z187" i="4"/>
  <c r="AL78" i="5"/>
  <c r="Z78" i="5"/>
  <c r="AN78" i="5"/>
  <c r="AG79" i="5"/>
  <c r="AF79" i="5"/>
  <c r="B188" i="4"/>
  <c r="C188" i="4"/>
  <c r="C79" i="5"/>
  <c r="D188" i="4"/>
  <c r="E79" i="5"/>
  <c r="E188" i="4"/>
  <c r="F79" i="5"/>
  <c r="F188" i="4"/>
  <c r="H79" i="5"/>
  <c r="I79" i="5"/>
  <c r="H188" i="4"/>
  <c r="K79" i="5"/>
  <c r="L188" i="4"/>
  <c r="Q79" i="5"/>
  <c r="M188" i="4"/>
  <c r="R79" i="5"/>
  <c r="T79" i="5"/>
  <c r="U79" i="5"/>
  <c r="P188" i="4"/>
  <c r="W79" i="5"/>
  <c r="Q188" i="4"/>
  <c r="X79" i="5"/>
  <c r="S188" i="4"/>
  <c r="AA79" i="5"/>
  <c r="AI188" i="4"/>
  <c r="T188" i="4" a="1"/>
  <c r="T188" i="4"/>
  <c r="AC79" i="5"/>
  <c r="AD79" i="5"/>
  <c r="X188" i="4"/>
  <c r="AI79" i="5"/>
  <c r="Y188" i="4"/>
  <c r="AJ79" i="5"/>
  <c r="Z188" i="4"/>
  <c r="AL79" i="5"/>
  <c r="L79" i="5"/>
  <c r="N79" i="5"/>
  <c r="O79" i="5"/>
  <c r="Z79" i="5"/>
  <c r="AN79" i="5"/>
  <c r="AG80" i="5"/>
  <c r="AF80" i="5"/>
  <c r="C150" i="4"/>
  <c r="C80" i="5"/>
  <c r="D150" i="4"/>
  <c r="E80" i="5"/>
  <c r="H150" i="4"/>
  <c r="K80" i="5"/>
  <c r="L150" i="4"/>
  <c r="Q80" i="5"/>
  <c r="M150" i="4"/>
  <c r="R80" i="5"/>
  <c r="T80" i="5"/>
  <c r="O150" i="4"/>
  <c r="U80" i="5"/>
  <c r="P150" i="4"/>
  <c r="W80" i="5"/>
  <c r="Q150" i="4"/>
  <c r="X80" i="5"/>
  <c r="S150" i="4"/>
  <c r="AA80" i="5"/>
  <c r="AI150" i="4"/>
  <c r="T150" i="4" a="1"/>
  <c r="T150" i="4"/>
  <c r="AC80" i="5"/>
  <c r="U150" i="4" a="1"/>
  <c r="U150" i="4"/>
  <c r="AD80" i="5"/>
  <c r="X150" i="4"/>
  <c r="AI80" i="5"/>
  <c r="Y150" i="4"/>
  <c r="AJ80" i="5"/>
  <c r="Z150" i="4"/>
  <c r="AL80" i="5"/>
  <c r="F80" i="5"/>
  <c r="H80" i="5"/>
  <c r="I80" i="5"/>
  <c r="L80" i="5"/>
  <c r="N80" i="5"/>
  <c r="O80" i="5"/>
  <c r="Z80" i="5"/>
  <c r="AN80" i="5"/>
  <c r="AG81" i="5"/>
  <c r="AF81" i="5"/>
  <c r="C238" i="4"/>
  <c r="C81" i="5"/>
  <c r="D238" i="4"/>
  <c r="E81" i="5"/>
  <c r="K81" i="5"/>
  <c r="L238" i="4"/>
  <c r="Q81" i="5"/>
  <c r="R81" i="5"/>
  <c r="T81" i="5"/>
  <c r="O238" i="4"/>
  <c r="U81" i="5"/>
  <c r="P238" i="4"/>
  <c r="W81" i="5"/>
  <c r="Q238" i="4"/>
  <c r="X81" i="5"/>
  <c r="S238" i="4"/>
  <c r="AA81" i="5"/>
  <c r="AI238" i="4"/>
  <c r="T238" i="4" a="1"/>
  <c r="T238" i="4"/>
  <c r="AC81" i="5"/>
  <c r="U238" i="4" a="1"/>
  <c r="U238" i="4"/>
  <c r="AD81" i="5"/>
  <c r="X238" i="4"/>
  <c r="AI81" i="5"/>
  <c r="Y238" i="4"/>
  <c r="AJ81" i="5"/>
  <c r="Z238" i="4"/>
  <c r="AL81" i="5"/>
  <c r="F81" i="5"/>
  <c r="H81" i="5"/>
  <c r="I81" i="5"/>
  <c r="L81" i="5"/>
  <c r="N81" i="5"/>
  <c r="O81" i="5"/>
  <c r="Z81" i="5"/>
  <c r="AN81" i="5"/>
  <c r="AG82" i="5"/>
  <c r="AF82" i="5"/>
  <c r="C239" i="4"/>
  <c r="C82" i="5"/>
  <c r="D239" i="4"/>
  <c r="E82" i="5"/>
  <c r="K82" i="5"/>
  <c r="L239" i="4"/>
  <c r="Q82" i="5"/>
  <c r="M239" i="4"/>
  <c r="R82" i="5"/>
  <c r="T82" i="5"/>
  <c r="O239" i="4"/>
  <c r="U82" i="5"/>
  <c r="P239" i="4"/>
  <c r="W82" i="5"/>
  <c r="Q239" i="4"/>
  <c r="X82" i="5"/>
  <c r="S239" i="4"/>
  <c r="AA82" i="5"/>
  <c r="AI239" i="4"/>
  <c r="T239" i="4" a="1"/>
  <c r="T239" i="4"/>
  <c r="AC82" i="5"/>
  <c r="U239" i="4" a="1"/>
  <c r="U239" i="4"/>
  <c r="AD82" i="5"/>
  <c r="X239" i="4"/>
  <c r="AI82" i="5"/>
  <c r="Y239" i="4"/>
  <c r="AJ82" i="5"/>
  <c r="Z239" i="4"/>
  <c r="AL82" i="5"/>
  <c r="F82" i="5"/>
  <c r="H82" i="5"/>
  <c r="I82" i="5"/>
  <c r="L82" i="5"/>
  <c r="N82" i="5"/>
  <c r="O82" i="5"/>
  <c r="Z82" i="5"/>
  <c r="AN82" i="5"/>
  <c r="AG83" i="5"/>
  <c r="AF83" i="5"/>
  <c r="C240" i="4"/>
  <c r="C83" i="5"/>
  <c r="D240" i="4"/>
  <c r="E83" i="5"/>
  <c r="K83" i="5"/>
  <c r="L240" i="4"/>
  <c r="Q83" i="5"/>
  <c r="M240" i="4"/>
  <c r="R83" i="5"/>
  <c r="T83" i="5"/>
  <c r="O240" i="4"/>
  <c r="U83" i="5"/>
  <c r="P240" i="4"/>
  <c r="W83" i="5"/>
  <c r="Q240" i="4"/>
  <c r="X83" i="5"/>
  <c r="S240" i="4"/>
  <c r="AA83" i="5"/>
  <c r="AI240" i="4"/>
  <c r="T240" i="4" a="1"/>
  <c r="T240" i="4"/>
  <c r="AC83" i="5"/>
  <c r="U240" i="4" a="1"/>
  <c r="U240" i="4"/>
  <c r="AD83" i="5"/>
  <c r="X240" i="4"/>
  <c r="AI83" i="5"/>
  <c r="Y240" i="4"/>
  <c r="AJ83" i="5"/>
  <c r="Z240" i="4"/>
  <c r="AL83" i="5"/>
  <c r="F83" i="5"/>
  <c r="H83" i="5"/>
  <c r="I83" i="5"/>
  <c r="L83" i="5"/>
  <c r="N83" i="5"/>
  <c r="O83" i="5"/>
  <c r="Z83" i="5"/>
  <c r="AN83" i="5"/>
  <c r="AG84" i="5"/>
  <c r="AF84" i="5"/>
  <c r="C241" i="4"/>
  <c r="C84" i="5"/>
  <c r="D241" i="4"/>
  <c r="E84" i="5"/>
  <c r="K84" i="5"/>
  <c r="L241" i="4"/>
  <c r="Q84" i="5"/>
  <c r="M241" i="4"/>
  <c r="R84" i="5"/>
  <c r="T84" i="5"/>
  <c r="U84" i="5"/>
  <c r="P241" i="4"/>
  <c r="W84" i="5"/>
  <c r="Q241" i="4"/>
  <c r="X84" i="5"/>
  <c r="S241" i="4"/>
  <c r="AA84" i="5"/>
  <c r="AI241" i="4"/>
  <c r="T241" i="4" a="1"/>
  <c r="T241" i="4"/>
  <c r="AC84" i="5"/>
  <c r="U241" i="4" a="1"/>
  <c r="U241" i="4"/>
  <c r="AD84" i="5"/>
  <c r="X241" i="4"/>
  <c r="AI84" i="5"/>
  <c r="Y241" i="4"/>
  <c r="AJ84" i="5"/>
  <c r="Z241" i="4"/>
  <c r="AL84" i="5"/>
  <c r="F84" i="5"/>
  <c r="H84" i="5"/>
  <c r="I84" i="5"/>
  <c r="L84" i="5"/>
  <c r="N84" i="5"/>
  <c r="O84" i="5"/>
  <c r="Z84" i="5"/>
  <c r="AN84" i="5"/>
  <c r="AG85" i="5"/>
  <c r="AF85" i="5"/>
  <c r="C242" i="4"/>
  <c r="C85" i="5"/>
  <c r="D242" i="4"/>
  <c r="E85" i="5"/>
  <c r="K85" i="5"/>
  <c r="L242" i="4"/>
  <c r="Q85" i="5"/>
  <c r="M242" i="4"/>
  <c r="R85" i="5"/>
  <c r="T85" i="5"/>
  <c r="O242" i="4"/>
  <c r="U85" i="5"/>
  <c r="P242" i="4"/>
  <c r="W85" i="5"/>
  <c r="Q242" i="4"/>
  <c r="X85" i="5"/>
  <c r="S242" i="4"/>
  <c r="AA85" i="5"/>
  <c r="X242" i="4"/>
  <c r="AI85" i="5"/>
  <c r="Y242" i="4"/>
  <c r="AJ85" i="5"/>
  <c r="Z242" i="4"/>
  <c r="AL85" i="5"/>
  <c r="F85" i="5"/>
  <c r="H85" i="5"/>
  <c r="I85" i="5"/>
  <c r="L85" i="5"/>
  <c r="N85" i="5"/>
  <c r="O85" i="5"/>
  <c r="Z85" i="5"/>
  <c r="AN85" i="5"/>
  <c r="AG86" i="5"/>
  <c r="AF86" i="5"/>
  <c r="B244" i="4"/>
  <c r="C244" i="4"/>
  <c r="C86" i="5"/>
  <c r="D244" i="4"/>
  <c r="E86" i="5"/>
  <c r="K86" i="5"/>
  <c r="L244" i="4"/>
  <c r="Q86" i="5"/>
  <c r="M244" i="4"/>
  <c r="R86" i="5"/>
  <c r="T86" i="5"/>
  <c r="U86" i="5"/>
  <c r="P244" i="4"/>
  <c r="W86" i="5"/>
  <c r="Q244" i="4"/>
  <c r="X86" i="5"/>
  <c r="S244" i="4"/>
  <c r="AA86" i="5"/>
  <c r="AI244" i="4"/>
  <c r="T244" i="4" a="1"/>
  <c r="T244" i="4"/>
  <c r="AC86" i="5"/>
  <c r="U244" i="4" a="1"/>
  <c r="U244" i="4"/>
  <c r="AD86" i="5"/>
  <c r="X244" i="4"/>
  <c r="AI86" i="5"/>
  <c r="Y244" i="4"/>
  <c r="AJ86" i="5"/>
  <c r="Z244" i="4"/>
  <c r="AL86" i="5"/>
  <c r="F86" i="5"/>
  <c r="H86" i="5"/>
  <c r="I86" i="5"/>
  <c r="L86" i="5"/>
  <c r="N86" i="5"/>
  <c r="O86" i="5"/>
  <c r="Z86" i="5"/>
  <c r="AN86" i="5"/>
  <c r="AG87" i="5"/>
  <c r="AF87" i="5"/>
  <c r="B246" i="4"/>
  <c r="C246" i="4"/>
  <c r="C87" i="5"/>
  <c r="D246" i="4"/>
  <c r="E87" i="5"/>
  <c r="E246" i="4"/>
  <c r="F87" i="5"/>
  <c r="F246" i="4"/>
  <c r="H87" i="5"/>
  <c r="I87" i="5"/>
  <c r="H41" i="2"/>
  <c r="H246" i="4"/>
  <c r="K87" i="5"/>
  <c r="L246" i="4"/>
  <c r="Q87" i="5"/>
  <c r="M246" i="4"/>
  <c r="R87" i="5"/>
  <c r="T87" i="5"/>
  <c r="O246" i="4"/>
  <c r="U87" i="5"/>
  <c r="P246" i="4"/>
  <c r="W87" i="5"/>
  <c r="Q246" i="4"/>
  <c r="X87" i="5"/>
  <c r="S246" i="4"/>
  <c r="AA87" i="5"/>
  <c r="AI246" i="4"/>
  <c r="T246" i="4" a="1"/>
  <c r="T246" i="4"/>
  <c r="AC87" i="5"/>
  <c r="U246" i="4" a="1"/>
  <c r="U246" i="4"/>
  <c r="AD87" i="5"/>
  <c r="X246" i="4"/>
  <c r="AI87" i="5"/>
  <c r="Y246" i="4"/>
  <c r="AJ87" i="5"/>
  <c r="Z246" i="4"/>
  <c r="AL87" i="5"/>
  <c r="L87" i="5"/>
  <c r="N87" i="5"/>
  <c r="O87" i="5"/>
  <c r="Z87" i="5"/>
  <c r="AN87" i="5"/>
  <c r="AG88" i="5"/>
  <c r="AF88" i="5"/>
  <c r="B189" i="4"/>
  <c r="C189" i="4"/>
  <c r="C88" i="5"/>
  <c r="D189" i="4"/>
  <c r="E88" i="5"/>
  <c r="E189" i="4"/>
  <c r="F88" i="5"/>
  <c r="F189" i="4"/>
  <c r="H88" i="5"/>
  <c r="I88" i="5"/>
  <c r="H189" i="4"/>
  <c r="K88" i="5"/>
  <c r="L189" i="4"/>
  <c r="Q88" i="5"/>
  <c r="M189" i="4"/>
  <c r="R88" i="5"/>
  <c r="T88" i="5"/>
  <c r="O189" i="4"/>
  <c r="U88" i="5"/>
  <c r="P189" i="4"/>
  <c r="W88" i="5"/>
  <c r="Q189" i="4"/>
  <c r="X88" i="5"/>
  <c r="S189" i="4"/>
  <c r="AA88" i="5"/>
  <c r="AI189" i="4"/>
  <c r="T189" i="4" a="1"/>
  <c r="T189" i="4"/>
  <c r="AC88" i="5"/>
  <c r="U189" i="4" a="1"/>
  <c r="U189" i="4"/>
  <c r="AD88" i="5"/>
  <c r="X189" i="4"/>
  <c r="AI88" i="5"/>
  <c r="Y189" i="4"/>
  <c r="AJ88" i="5"/>
  <c r="Z189" i="4"/>
  <c r="AL88" i="5"/>
  <c r="L88" i="5"/>
  <c r="N88" i="5"/>
  <c r="O88" i="5"/>
  <c r="Z88" i="5"/>
  <c r="AN88" i="5"/>
  <c r="AG89" i="5"/>
  <c r="AF89" i="5"/>
  <c r="B121" i="4"/>
  <c r="C121" i="4"/>
  <c r="C89" i="5"/>
  <c r="D121" i="4"/>
  <c r="E89" i="5"/>
  <c r="E121" i="4"/>
  <c r="F89" i="5"/>
  <c r="F121" i="4"/>
  <c r="H89" i="5"/>
  <c r="I89" i="5"/>
  <c r="H121" i="4"/>
  <c r="K89" i="5"/>
  <c r="L121" i="4"/>
  <c r="Q89" i="5"/>
  <c r="M121" i="4"/>
  <c r="R89" i="5"/>
  <c r="T89" i="5"/>
  <c r="U89" i="5"/>
  <c r="P121" i="4"/>
  <c r="W89" i="5"/>
  <c r="Q121" i="4"/>
  <c r="X89" i="5"/>
  <c r="S121" i="4"/>
  <c r="AA89" i="5"/>
  <c r="AI121" i="4"/>
  <c r="T121" i="4" a="1"/>
  <c r="T121" i="4"/>
  <c r="AC89" i="5"/>
  <c r="U121" i="4" a="1"/>
  <c r="U121" i="4"/>
  <c r="AD89" i="5"/>
  <c r="X121" i="4"/>
  <c r="AI89" i="5"/>
  <c r="Y121" i="4"/>
  <c r="AJ89" i="5"/>
  <c r="Z121" i="4"/>
  <c r="AL89" i="5"/>
  <c r="L89" i="5"/>
  <c r="N89" i="5"/>
  <c r="O89" i="5"/>
  <c r="Z89" i="5"/>
  <c r="AN89" i="5"/>
  <c r="S21" i="2"/>
  <c r="B64" i="4"/>
  <c r="S64" i="4"/>
  <c r="AA90" i="5"/>
  <c r="P21" i="2"/>
  <c r="P64" i="4"/>
  <c r="W90" i="5"/>
  <c r="K21" i="2"/>
  <c r="K7" i="2"/>
  <c r="K64" i="4"/>
  <c r="O90" i="5"/>
  <c r="H21" i="2"/>
  <c r="H64" i="4"/>
  <c r="K90" i="5"/>
  <c r="W21" i="2"/>
  <c r="W64" i="4"/>
  <c r="AG90" i="5"/>
  <c r="V64" i="4"/>
  <c r="AF90" i="5"/>
  <c r="C21" i="2"/>
  <c r="C64" i="4"/>
  <c r="C90" i="5"/>
  <c r="D21" i="2"/>
  <c r="D64" i="4"/>
  <c r="E90" i="5"/>
  <c r="G21" i="2"/>
  <c r="G7" i="2"/>
  <c r="G64" i="4"/>
  <c r="I90" i="5"/>
  <c r="I21" i="2"/>
  <c r="I64" i="4"/>
  <c r="L90" i="5"/>
  <c r="J21" i="2"/>
  <c r="J64" i="4"/>
  <c r="N90" i="5"/>
  <c r="L21" i="2"/>
  <c r="L64" i="4"/>
  <c r="Q90" i="5"/>
  <c r="O21" i="2"/>
  <c r="O64" i="4"/>
  <c r="U90" i="5"/>
  <c r="Q64" i="4"/>
  <c r="X90" i="5"/>
  <c r="R21" i="2"/>
  <c r="R64" i="4"/>
  <c r="Z90" i="5"/>
  <c r="AI64" i="4"/>
  <c r="T64" i="4" a="1"/>
  <c r="T64" i="4"/>
  <c r="AC90" i="5"/>
  <c r="U64" i="4" a="1"/>
  <c r="U64" i="4"/>
  <c r="AD90" i="5"/>
  <c r="X21" i="2"/>
  <c r="X64" i="4"/>
  <c r="AI90" i="5"/>
  <c r="Y21" i="2"/>
  <c r="Y64" i="4"/>
  <c r="AJ90" i="5"/>
  <c r="Z21" i="2"/>
  <c r="Z64" i="4"/>
  <c r="AL90" i="5"/>
  <c r="R90" i="5"/>
  <c r="T90" i="5"/>
  <c r="F90" i="5"/>
  <c r="H90" i="5"/>
  <c r="AN90" i="5"/>
  <c r="S65" i="4"/>
  <c r="AA91" i="5"/>
  <c r="P65" i="4"/>
  <c r="W91" i="5"/>
  <c r="AG91" i="5"/>
  <c r="AF91" i="5"/>
  <c r="C65" i="4"/>
  <c r="C91" i="5"/>
  <c r="O65" i="4"/>
  <c r="U91" i="5"/>
  <c r="Q65" i="4"/>
  <c r="X91" i="5"/>
  <c r="R65" i="4"/>
  <c r="Z91" i="5"/>
  <c r="AI65" i="4"/>
  <c r="T65" i="4" a="1"/>
  <c r="T65" i="4"/>
  <c r="AC91" i="5"/>
  <c r="U65" i="4" a="1"/>
  <c r="U65" i="4"/>
  <c r="AD91" i="5"/>
  <c r="X65" i="4"/>
  <c r="AI91" i="5"/>
  <c r="Y65" i="4"/>
  <c r="AJ91" i="5"/>
  <c r="Z65" i="4"/>
  <c r="AL91" i="5"/>
  <c r="R91" i="5"/>
  <c r="T91" i="5"/>
  <c r="F91" i="5"/>
  <c r="H91" i="5"/>
  <c r="AN91" i="5"/>
  <c r="O92" i="5"/>
  <c r="K92" i="5"/>
  <c r="AG92" i="5"/>
  <c r="AF92" i="5"/>
  <c r="B247" i="4"/>
  <c r="C247" i="4"/>
  <c r="C92" i="5"/>
  <c r="D247" i="4"/>
  <c r="E92" i="5"/>
  <c r="I247" i="4"/>
  <c r="L92" i="5"/>
  <c r="J247" i="4"/>
  <c r="N92" i="5"/>
  <c r="L247" i="4"/>
  <c r="Q92" i="5"/>
  <c r="M247" i="4"/>
  <c r="R92" i="5"/>
  <c r="T92" i="5"/>
  <c r="U92" i="5"/>
  <c r="P247" i="4"/>
  <c r="W92" i="5"/>
  <c r="Q247" i="4"/>
  <c r="X92" i="5"/>
  <c r="S247" i="4"/>
  <c r="AA92" i="5"/>
  <c r="AI247" i="4"/>
  <c r="T247" i="4" a="1"/>
  <c r="T247" i="4"/>
  <c r="AC92" i="5"/>
  <c r="U247" i="4" a="1"/>
  <c r="U247" i="4"/>
  <c r="AD92" i="5"/>
  <c r="X247" i="4"/>
  <c r="AI92" i="5"/>
  <c r="Y247" i="4"/>
  <c r="AJ92" i="5"/>
  <c r="Z247" i="4"/>
  <c r="AL92" i="5"/>
  <c r="F92" i="5"/>
  <c r="H92" i="5"/>
  <c r="I92" i="5"/>
  <c r="Z92" i="5"/>
  <c r="AN92" i="5"/>
  <c r="AG93" i="5"/>
  <c r="AF93" i="5"/>
  <c r="C22" i="2"/>
  <c r="B271" i="4"/>
  <c r="C271" i="4"/>
  <c r="C93" i="5"/>
  <c r="D22" i="2"/>
  <c r="D271" i="4"/>
  <c r="E93" i="5"/>
  <c r="K93" i="5"/>
  <c r="L22" i="2"/>
  <c r="L271" i="4"/>
  <c r="Q93" i="5"/>
  <c r="M22" i="2"/>
  <c r="M271" i="4"/>
  <c r="R93" i="5"/>
  <c r="T93" i="5"/>
  <c r="U93" i="5"/>
  <c r="P22" i="2"/>
  <c r="P271" i="4"/>
  <c r="W93" i="5"/>
  <c r="Q22" i="2"/>
  <c r="Q271" i="4"/>
  <c r="X93" i="5"/>
  <c r="S22" i="2"/>
  <c r="S271" i="4"/>
  <c r="AA93" i="5"/>
  <c r="AI271" i="4"/>
  <c r="T271" i="4" a="1"/>
  <c r="T271" i="4"/>
  <c r="AC93" i="5"/>
  <c r="U271" i="4" a="1"/>
  <c r="U271" i="4"/>
  <c r="AD93" i="5"/>
  <c r="X22" i="2"/>
  <c r="X271" i="4"/>
  <c r="AI93" i="5"/>
  <c r="Y22" i="2"/>
  <c r="Y271" i="4"/>
  <c r="AJ93" i="5"/>
  <c r="Z22" i="2"/>
  <c r="Z271" i="4"/>
  <c r="AL93" i="5"/>
  <c r="F93" i="5"/>
  <c r="H93" i="5"/>
  <c r="I93" i="5"/>
  <c r="L93" i="5"/>
  <c r="N93" i="5"/>
  <c r="O93" i="5"/>
  <c r="Z93" i="5"/>
  <c r="AN93" i="5"/>
  <c r="AG94" i="5"/>
  <c r="AF94" i="5"/>
  <c r="B272" i="4"/>
  <c r="C272" i="4"/>
  <c r="C94" i="5"/>
  <c r="D272" i="4"/>
  <c r="E94" i="5"/>
  <c r="K94" i="5"/>
  <c r="L272" i="4"/>
  <c r="Q94" i="5"/>
  <c r="M272" i="4"/>
  <c r="R94" i="5"/>
  <c r="N272" i="4"/>
  <c r="T94" i="5"/>
  <c r="O22" i="2"/>
  <c r="O272" i="4"/>
  <c r="U94" i="5"/>
  <c r="P272" i="4"/>
  <c r="W94" i="5"/>
  <c r="Q272" i="4"/>
  <c r="X94" i="5"/>
  <c r="S272" i="4"/>
  <c r="AA94" i="5"/>
  <c r="X272" i="4"/>
  <c r="AI94" i="5"/>
  <c r="Y272" i="4"/>
  <c r="AJ94" i="5"/>
  <c r="Z272" i="4"/>
  <c r="AL94" i="5"/>
  <c r="F94" i="5"/>
  <c r="H94" i="5"/>
  <c r="I94" i="5"/>
  <c r="L94" i="5"/>
  <c r="N94" i="5"/>
  <c r="O94" i="5"/>
  <c r="Z94" i="5"/>
  <c r="AN94" i="5"/>
  <c r="AG95" i="5"/>
  <c r="AF95" i="5"/>
  <c r="B273" i="4"/>
  <c r="C273" i="4"/>
  <c r="C95" i="5"/>
  <c r="D273" i="4"/>
  <c r="E95" i="5"/>
  <c r="K95" i="5"/>
  <c r="L273" i="4"/>
  <c r="Q95" i="5"/>
  <c r="M273" i="4"/>
  <c r="R95" i="5"/>
  <c r="T95" i="5"/>
  <c r="U95" i="5"/>
  <c r="P273" i="4"/>
  <c r="W95" i="5"/>
  <c r="Q273" i="4"/>
  <c r="X95" i="5"/>
  <c r="S273" i="4"/>
  <c r="AA95" i="5"/>
  <c r="AI273" i="4"/>
  <c r="T273" i="4" a="1"/>
  <c r="T273" i="4"/>
  <c r="AC95" i="5"/>
  <c r="U273" i="4" a="1"/>
  <c r="U273" i="4"/>
  <c r="AD95" i="5"/>
  <c r="X273" i="4"/>
  <c r="AI95" i="5"/>
  <c r="Y273" i="4"/>
  <c r="AJ95" i="5"/>
  <c r="Z273" i="4"/>
  <c r="AL95" i="5"/>
  <c r="F95" i="5"/>
  <c r="H95" i="5"/>
  <c r="I95" i="5"/>
  <c r="L95" i="5"/>
  <c r="N95" i="5"/>
  <c r="O95" i="5"/>
  <c r="Z95" i="5"/>
  <c r="AN95" i="5"/>
  <c r="AG96" i="5"/>
  <c r="AF96" i="5"/>
  <c r="B203" i="4"/>
  <c r="C203" i="4"/>
  <c r="C96" i="5"/>
  <c r="D203" i="4"/>
  <c r="E96" i="5"/>
  <c r="K96" i="5"/>
  <c r="L203" i="4"/>
  <c r="Q96" i="5"/>
  <c r="M203" i="4"/>
  <c r="R96" i="5"/>
  <c r="T96" i="5"/>
  <c r="U96" i="5"/>
  <c r="P203" i="4"/>
  <c r="W96" i="5"/>
  <c r="Q203" i="4"/>
  <c r="X96" i="5"/>
  <c r="AA96" i="5"/>
  <c r="AI203" i="4"/>
  <c r="T203" i="4" a="1"/>
  <c r="T203" i="4"/>
  <c r="AC96" i="5"/>
  <c r="U203" i="4" a="1"/>
  <c r="U203" i="4"/>
  <c r="AD96" i="5"/>
  <c r="Y203" i="4"/>
  <c r="AJ96" i="5"/>
  <c r="Z203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8" i="5"/>
  <c r="AF98" i="5"/>
  <c r="B274" i="4"/>
  <c r="C274" i="4"/>
  <c r="C98" i="5"/>
  <c r="D274" i="4"/>
  <c r="E98" i="5"/>
  <c r="K98" i="5"/>
  <c r="L274" i="4"/>
  <c r="Q98" i="5"/>
  <c r="M274" i="4"/>
  <c r="R98" i="5"/>
  <c r="T98" i="5"/>
  <c r="U98" i="5"/>
  <c r="P274" i="4"/>
  <c r="W98" i="5"/>
  <c r="Q274" i="4"/>
  <c r="X98" i="5"/>
  <c r="AA98" i="5"/>
  <c r="AI274" i="4"/>
  <c r="T274" i="4" a="1"/>
  <c r="T274" i="4"/>
  <c r="AC98" i="5"/>
  <c r="U274" i="4" a="1"/>
  <c r="U274" i="4"/>
  <c r="AD98" i="5"/>
  <c r="Y274" i="4"/>
  <c r="AJ98" i="5"/>
  <c r="Z274" i="4"/>
  <c r="AL98" i="5"/>
  <c r="F98" i="5"/>
  <c r="H98" i="5"/>
  <c r="I98" i="5"/>
  <c r="L98" i="5"/>
  <c r="N98" i="5"/>
  <c r="O98" i="5"/>
  <c r="Z98" i="5"/>
  <c r="AN98" i="5"/>
  <c r="AG99" i="5"/>
  <c r="AF99" i="5"/>
  <c r="B275" i="4"/>
  <c r="C275" i="4"/>
  <c r="C99" i="5"/>
  <c r="D275" i="4"/>
  <c r="E99" i="5"/>
  <c r="K99" i="5"/>
  <c r="L275" i="4"/>
  <c r="Q99" i="5"/>
  <c r="M275" i="4"/>
  <c r="R99" i="5"/>
  <c r="T99" i="5"/>
  <c r="O25" i="2"/>
  <c r="O275" i="4"/>
  <c r="U99" i="5"/>
  <c r="P275" i="4"/>
  <c r="W99" i="5"/>
  <c r="Q275" i="4"/>
  <c r="X99" i="5"/>
  <c r="S275" i="4"/>
  <c r="AA99" i="5"/>
  <c r="AI275" i="4"/>
  <c r="T275" i="4" a="1"/>
  <c r="T275" i="4"/>
  <c r="AC99" i="5"/>
  <c r="U275" i="4" a="1"/>
  <c r="U275" i="4"/>
  <c r="AD99" i="5"/>
  <c r="X275" i="4"/>
  <c r="AI99" i="5"/>
  <c r="Y275" i="4"/>
  <c r="AJ99" i="5"/>
  <c r="Z275" i="4"/>
  <c r="AL99" i="5"/>
  <c r="F99" i="5"/>
  <c r="I99" i="5"/>
  <c r="L99" i="5"/>
  <c r="N99" i="5"/>
  <c r="O99" i="5"/>
  <c r="Z99" i="5"/>
  <c r="AN99" i="5"/>
  <c r="AG100" i="5"/>
  <c r="AF100" i="5"/>
  <c r="B276" i="4"/>
  <c r="C276" i="4"/>
  <c r="C100" i="5"/>
  <c r="D276" i="4"/>
  <c r="E100" i="5"/>
  <c r="H276" i="4"/>
  <c r="K100" i="5"/>
  <c r="L276" i="4"/>
  <c r="Q100" i="5"/>
  <c r="M276" i="4"/>
  <c r="R100" i="5"/>
  <c r="N276" i="4"/>
  <c r="T100" i="5"/>
  <c r="O276" i="4"/>
  <c r="U100" i="5"/>
  <c r="P276" i="4"/>
  <c r="W100" i="5"/>
  <c r="Q276" i="4"/>
  <c r="X100" i="5"/>
  <c r="S276" i="4"/>
  <c r="AA100" i="5"/>
  <c r="AI276" i="4"/>
  <c r="T276" i="4" a="1"/>
  <c r="T276" i="4"/>
  <c r="AC100" i="5"/>
  <c r="U276" i="4" a="1"/>
  <c r="U276" i="4"/>
  <c r="AD100" i="5"/>
  <c r="X276" i="4"/>
  <c r="AI100" i="5"/>
  <c r="Y276" i="4"/>
  <c r="AJ100" i="5"/>
  <c r="Z276" i="4"/>
  <c r="AL100" i="5"/>
  <c r="F100" i="5"/>
  <c r="I100" i="5"/>
  <c r="L100" i="5"/>
  <c r="N100" i="5"/>
  <c r="O100" i="5"/>
  <c r="Z100" i="5"/>
  <c r="AN100" i="5"/>
  <c r="O101" i="5"/>
  <c r="H152" i="4"/>
  <c r="K101" i="5"/>
  <c r="AG101" i="5"/>
  <c r="AF101" i="5"/>
  <c r="C152" i="4"/>
  <c r="C101" i="5"/>
  <c r="D152" i="4"/>
  <c r="E101" i="5"/>
  <c r="I25" i="2"/>
  <c r="I152" i="4"/>
  <c r="L101" i="5"/>
  <c r="J25" i="2"/>
  <c r="J152" i="4"/>
  <c r="N101" i="5"/>
  <c r="L152" i="4"/>
  <c r="Q101" i="5"/>
  <c r="M152" i="4"/>
  <c r="R101" i="5"/>
  <c r="T101" i="5"/>
  <c r="U101" i="5"/>
  <c r="P152" i="4"/>
  <c r="W101" i="5"/>
  <c r="Q152" i="4"/>
  <c r="X101" i="5"/>
  <c r="S152" i="4"/>
  <c r="AA101" i="5"/>
  <c r="AI152" i="4"/>
  <c r="T152" i="4" a="1"/>
  <c r="T152" i="4"/>
  <c r="AC101" i="5"/>
  <c r="U152" i="4" a="1"/>
  <c r="U152" i="4"/>
  <c r="AD101" i="5"/>
  <c r="X152" i="4"/>
  <c r="AI101" i="5"/>
  <c r="Y152" i="4"/>
  <c r="AJ101" i="5"/>
  <c r="Z152" i="4"/>
  <c r="AL101" i="5"/>
  <c r="H101" i="5"/>
  <c r="I101" i="5"/>
  <c r="F101" i="5"/>
  <c r="Z101" i="5"/>
  <c r="AN101" i="5"/>
  <c r="AG102" i="5"/>
  <c r="AF102" i="5"/>
  <c r="C26" i="2"/>
  <c r="B16" i="4"/>
  <c r="C16" i="4"/>
  <c r="C102" i="5"/>
  <c r="D26" i="2"/>
  <c r="D16" i="4"/>
  <c r="E102" i="5"/>
  <c r="E26" i="2"/>
  <c r="E16" i="4"/>
  <c r="F102" i="5"/>
  <c r="F26" i="2"/>
  <c r="F16" i="4"/>
  <c r="H102" i="5"/>
  <c r="I102" i="5"/>
  <c r="H26" i="2"/>
  <c r="H16" i="4"/>
  <c r="K102" i="5"/>
  <c r="L26" i="2"/>
  <c r="L16" i="4"/>
  <c r="Q102" i="5"/>
  <c r="M26" i="2"/>
  <c r="M16" i="4"/>
  <c r="R102" i="5"/>
  <c r="N26" i="2"/>
  <c r="N16" i="4"/>
  <c r="T102" i="5"/>
  <c r="O26" i="2"/>
  <c r="O16" i="4"/>
  <c r="U102" i="5"/>
  <c r="P26" i="2"/>
  <c r="P16" i="4"/>
  <c r="W102" i="5"/>
  <c r="Q26" i="2"/>
  <c r="Q16" i="4"/>
  <c r="X102" i="5"/>
  <c r="S26" i="2"/>
  <c r="S16" i="4"/>
  <c r="AA102" i="5"/>
  <c r="AI16" i="4"/>
  <c r="T16" i="4" a="1"/>
  <c r="T16" i="4"/>
  <c r="AC102" i="5"/>
  <c r="U16" i="4" a="1"/>
  <c r="U16" i="4"/>
  <c r="AD102" i="5"/>
  <c r="X26" i="2"/>
  <c r="X16" i="4"/>
  <c r="AI102" i="5"/>
  <c r="Y26" i="2"/>
  <c r="Y16" i="4"/>
  <c r="AJ102" i="5"/>
  <c r="Z26" i="2"/>
  <c r="Z16" i="4"/>
  <c r="AL102" i="5"/>
  <c r="L102" i="5"/>
  <c r="N102" i="5"/>
  <c r="O102" i="5"/>
  <c r="Z102" i="5"/>
  <c r="AN102" i="5"/>
  <c r="AG103" i="5"/>
  <c r="AF103" i="5"/>
  <c r="B8" i="4"/>
  <c r="C8" i="4"/>
  <c r="C103" i="5"/>
  <c r="D8" i="4"/>
  <c r="E103" i="5"/>
  <c r="E8" i="4"/>
  <c r="F103" i="5"/>
  <c r="F8" i="4"/>
  <c r="H103" i="5"/>
  <c r="I103" i="5"/>
  <c r="H8" i="4"/>
  <c r="K103" i="5"/>
  <c r="L8" i="4"/>
  <c r="Q103" i="5"/>
  <c r="M8" i="4"/>
  <c r="R103" i="5"/>
  <c r="T103" i="5"/>
  <c r="O8" i="4"/>
  <c r="U103" i="5"/>
  <c r="P8" i="4"/>
  <c r="W103" i="5"/>
  <c r="Q8" i="4"/>
  <c r="X103" i="5"/>
  <c r="S8" i="4"/>
  <c r="AA103" i="5"/>
  <c r="AI8" i="4"/>
  <c r="T8" i="4" a="1"/>
  <c r="T8" i="4"/>
  <c r="AC103" i="5"/>
  <c r="U8" i="4" a="1"/>
  <c r="U8" i="4"/>
  <c r="AD103" i="5"/>
  <c r="X8" i="4"/>
  <c r="AI103" i="5"/>
  <c r="Y8" i="4"/>
  <c r="AJ103" i="5"/>
  <c r="Z8" i="4"/>
  <c r="AL103" i="5"/>
  <c r="L103" i="5"/>
  <c r="N103" i="5"/>
  <c r="O103" i="5"/>
  <c r="Z103" i="5"/>
  <c r="AN103" i="5"/>
  <c r="AG104" i="5"/>
  <c r="AF104" i="5"/>
  <c r="C43" i="2"/>
  <c r="B9" i="4"/>
  <c r="C9" i="4"/>
  <c r="C104" i="5"/>
  <c r="D43" i="2"/>
  <c r="D9" i="4"/>
  <c r="E104" i="5"/>
  <c r="E43" i="2"/>
  <c r="E9" i="4"/>
  <c r="F104" i="5"/>
  <c r="F43" i="2"/>
  <c r="F9" i="4"/>
  <c r="H104" i="5"/>
  <c r="I104" i="5"/>
  <c r="H43" i="2"/>
  <c r="H9" i="4"/>
  <c r="K104" i="5"/>
  <c r="L43" i="2"/>
  <c r="L9" i="4"/>
  <c r="Q104" i="5"/>
  <c r="M43" i="2"/>
  <c r="M9" i="4"/>
  <c r="R104" i="5"/>
  <c r="T104" i="5"/>
  <c r="O43" i="2"/>
  <c r="O9" i="4"/>
  <c r="U104" i="5"/>
  <c r="P43" i="2"/>
  <c r="P9" i="4"/>
  <c r="W104" i="5"/>
  <c r="Q43" i="2"/>
  <c r="Q9" i="4"/>
  <c r="X104" i="5"/>
  <c r="S43" i="2"/>
  <c r="S9" i="4"/>
  <c r="AA104" i="5"/>
  <c r="AI9" i="4"/>
  <c r="T9" i="4" a="1"/>
  <c r="T9" i="4"/>
  <c r="AC104" i="5"/>
  <c r="U9" i="4" a="1"/>
  <c r="U9" i="4"/>
  <c r="AD104" i="5"/>
  <c r="X43" i="2"/>
  <c r="X9" i="4"/>
  <c r="AI104" i="5"/>
  <c r="Y43" i="2"/>
  <c r="Y9" i="4"/>
  <c r="AJ104" i="5"/>
  <c r="Z43" i="2"/>
  <c r="Z9" i="4"/>
  <c r="AL104" i="5"/>
  <c r="L104" i="5"/>
  <c r="N104" i="5"/>
  <c r="O104" i="5"/>
  <c r="Z104" i="5"/>
  <c r="AN104" i="5"/>
  <c r="AG105" i="5"/>
  <c r="AF105" i="5"/>
  <c r="C153" i="4"/>
  <c r="C105" i="5"/>
  <c r="D153" i="4"/>
  <c r="E105" i="5"/>
  <c r="E39" i="2"/>
  <c r="E153" i="4"/>
  <c r="F105" i="5"/>
  <c r="F39" i="2"/>
  <c r="F153" i="4"/>
  <c r="H105" i="5"/>
  <c r="I105" i="5"/>
  <c r="K105" i="5"/>
  <c r="L153" i="4"/>
  <c r="Q105" i="5"/>
  <c r="M153" i="4"/>
  <c r="R105" i="5"/>
  <c r="T105" i="5"/>
  <c r="O153" i="4"/>
  <c r="U105" i="5"/>
  <c r="P153" i="4"/>
  <c r="W105" i="5"/>
  <c r="Q153" i="4"/>
  <c r="X105" i="5"/>
  <c r="S153" i="4"/>
  <c r="AA105" i="5"/>
  <c r="AI153" i="4"/>
  <c r="T153" i="4" a="1"/>
  <c r="T153" i="4"/>
  <c r="AC105" i="5"/>
  <c r="U153" i="4" a="1"/>
  <c r="U153" i="4"/>
  <c r="AD105" i="5"/>
  <c r="X153" i="4"/>
  <c r="AI105" i="5"/>
  <c r="Y153" i="4"/>
  <c r="AJ105" i="5"/>
  <c r="Z153" i="4"/>
  <c r="AL105" i="5"/>
  <c r="L105" i="5"/>
  <c r="N105" i="5"/>
  <c r="O105" i="5"/>
  <c r="Z105" i="5"/>
  <c r="AN105" i="5"/>
  <c r="AG106" i="5"/>
  <c r="AF106" i="5"/>
  <c r="B210" i="4"/>
  <c r="C210" i="4"/>
  <c r="C106" i="5"/>
  <c r="D210" i="4"/>
  <c r="E106" i="5"/>
  <c r="E210" i="4"/>
  <c r="F106" i="5"/>
  <c r="F210" i="4"/>
  <c r="H106" i="5"/>
  <c r="I106" i="5"/>
  <c r="H210" i="4"/>
  <c r="K106" i="5"/>
  <c r="L210" i="4"/>
  <c r="Q106" i="5"/>
  <c r="M210" i="4"/>
  <c r="R106" i="5"/>
  <c r="T106" i="5"/>
  <c r="U106" i="5"/>
  <c r="P210" i="4"/>
  <c r="W106" i="5"/>
  <c r="Q210" i="4"/>
  <c r="X106" i="5"/>
  <c r="S210" i="4"/>
  <c r="AA106" i="5"/>
  <c r="AI210" i="4"/>
  <c r="T210" i="4" a="1"/>
  <c r="T210" i="4"/>
  <c r="AC106" i="5"/>
  <c r="U210" i="4" a="1"/>
  <c r="U210" i="4"/>
  <c r="AD106" i="5"/>
  <c r="X210" i="4"/>
  <c r="AI106" i="5"/>
  <c r="Y210" i="4"/>
  <c r="AJ106" i="5"/>
  <c r="Z210" i="4"/>
  <c r="AL106" i="5"/>
  <c r="L106" i="5"/>
  <c r="N106" i="5"/>
  <c r="O106" i="5"/>
  <c r="Z106" i="5"/>
  <c r="AN106" i="5"/>
  <c r="AG107" i="5"/>
  <c r="AF107" i="5"/>
  <c r="C220" i="4"/>
  <c r="C107" i="5"/>
  <c r="D220" i="4"/>
  <c r="E107" i="5"/>
  <c r="E22" i="2"/>
  <c r="E220" i="4"/>
  <c r="F107" i="5"/>
  <c r="F22" i="2"/>
  <c r="F220" i="4"/>
  <c r="H107" i="5"/>
  <c r="I107" i="5"/>
  <c r="H22" i="2"/>
  <c r="H220" i="4"/>
  <c r="K107" i="5"/>
  <c r="L220" i="4"/>
  <c r="Q107" i="5"/>
  <c r="M220" i="4"/>
  <c r="R107" i="5"/>
  <c r="T107" i="5"/>
  <c r="U107" i="5"/>
  <c r="P220" i="4"/>
  <c r="W107" i="5"/>
  <c r="Q220" i="4"/>
  <c r="X107" i="5"/>
  <c r="S220" i="4"/>
  <c r="AA107" i="5"/>
  <c r="AI220" i="4"/>
  <c r="T220" i="4" a="1"/>
  <c r="T220" i="4"/>
  <c r="AC107" i="5"/>
  <c r="U220" i="4" a="1"/>
  <c r="U220" i="4"/>
  <c r="AD107" i="5"/>
  <c r="AI107" i="5"/>
  <c r="Y220" i="4"/>
  <c r="AJ107" i="5"/>
  <c r="Z220" i="4"/>
  <c r="AL107" i="5"/>
  <c r="L107" i="5"/>
  <c r="N107" i="5"/>
  <c r="O107" i="5"/>
  <c r="Z107" i="5"/>
  <c r="AN107" i="5"/>
  <c r="AG108" i="5"/>
  <c r="AF108" i="5"/>
  <c r="C221" i="4"/>
  <c r="C108" i="5"/>
  <c r="D221" i="4"/>
  <c r="E108" i="5"/>
  <c r="E221" i="4"/>
  <c r="F108" i="5"/>
  <c r="F221" i="4"/>
  <c r="H108" i="5"/>
  <c r="I108" i="5"/>
  <c r="H221" i="4"/>
  <c r="K108" i="5"/>
  <c r="L221" i="4"/>
  <c r="Q108" i="5"/>
  <c r="M221" i="4"/>
  <c r="R108" i="5"/>
  <c r="T108" i="5"/>
  <c r="U108" i="5"/>
  <c r="P221" i="4"/>
  <c r="W108" i="5"/>
  <c r="Q221" i="4"/>
  <c r="X108" i="5"/>
  <c r="S221" i="4"/>
  <c r="AA108" i="5"/>
  <c r="AI221" i="4"/>
  <c r="T221" i="4" a="1"/>
  <c r="T221" i="4"/>
  <c r="AC108" i="5"/>
  <c r="U221" i="4" a="1"/>
  <c r="U221" i="4"/>
  <c r="AD108" i="5"/>
  <c r="AI108" i="5"/>
  <c r="Y221" i="4"/>
  <c r="AJ108" i="5"/>
  <c r="Z221" i="4"/>
  <c r="AL108" i="5"/>
  <c r="L108" i="5"/>
  <c r="N108" i="5"/>
  <c r="O108" i="5"/>
  <c r="Z108" i="5"/>
  <c r="AN108" i="5"/>
  <c r="AG109" i="5"/>
  <c r="AF109" i="5"/>
  <c r="B68" i="4"/>
  <c r="C68" i="4"/>
  <c r="C109" i="5"/>
  <c r="D68" i="4"/>
  <c r="E109" i="5"/>
  <c r="H15" i="2"/>
  <c r="H68" i="4"/>
  <c r="K109" i="5"/>
  <c r="L68" i="4"/>
  <c r="Q109" i="5"/>
  <c r="M68" i="4"/>
  <c r="R109" i="5"/>
  <c r="T109" i="5"/>
  <c r="O68" i="4"/>
  <c r="U109" i="5"/>
  <c r="P68" i="4"/>
  <c r="W109" i="5"/>
  <c r="Q68" i="4"/>
  <c r="X109" i="5"/>
  <c r="S68" i="4"/>
  <c r="AA109" i="5"/>
  <c r="AI68" i="4"/>
  <c r="T68" i="4" a="1"/>
  <c r="T68" i="4"/>
  <c r="AC109" i="5"/>
  <c r="U68" i="4" a="1"/>
  <c r="U68" i="4"/>
  <c r="AD109" i="5"/>
  <c r="X68" i="4"/>
  <c r="AI109" i="5"/>
  <c r="Y68" i="4"/>
  <c r="AJ109" i="5"/>
  <c r="Z68" i="4"/>
  <c r="AL109" i="5"/>
  <c r="F109" i="5"/>
  <c r="H109" i="5"/>
  <c r="I109" i="5"/>
  <c r="L109" i="5"/>
  <c r="N109" i="5"/>
  <c r="O109" i="5"/>
  <c r="Z109" i="5"/>
  <c r="AN109" i="5"/>
  <c r="AG110" i="5"/>
  <c r="AF110" i="5"/>
  <c r="C122" i="4"/>
  <c r="C110" i="5"/>
  <c r="D122" i="4"/>
  <c r="E110" i="5"/>
  <c r="E40" i="2"/>
  <c r="E122" i="4"/>
  <c r="F110" i="5"/>
  <c r="F40" i="2"/>
  <c r="F122" i="4"/>
  <c r="H110" i="5"/>
  <c r="I110" i="5"/>
  <c r="H122" i="4"/>
  <c r="K110" i="5"/>
  <c r="L122" i="4"/>
  <c r="Q110" i="5"/>
  <c r="M122" i="4"/>
  <c r="R110" i="5"/>
  <c r="T110" i="5"/>
  <c r="O32" i="2"/>
  <c r="O122" i="4"/>
  <c r="U110" i="5"/>
  <c r="P122" i="4"/>
  <c r="W110" i="5"/>
  <c r="Q122" i="4"/>
  <c r="X110" i="5"/>
  <c r="S122" i="4"/>
  <c r="AA110" i="5"/>
  <c r="AI122" i="4"/>
  <c r="T122" i="4" a="1"/>
  <c r="T122" i="4"/>
  <c r="AC110" i="5"/>
  <c r="U122" i="4" a="1"/>
  <c r="U122" i="4"/>
  <c r="AD110" i="5"/>
  <c r="X122" i="4"/>
  <c r="AI110" i="5"/>
  <c r="Y122" i="4"/>
  <c r="AJ110" i="5"/>
  <c r="Z122" i="4"/>
  <c r="AL110" i="5"/>
  <c r="L110" i="5"/>
  <c r="N110" i="5"/>
  <c r="O110" i="5"/>
  <c r="Z110" i="5"/>
  <c r="AN110" i="5"/>
  <c r="AG111" i="5"/>
  <c r="AF111" i="5"/>
  <c r="C123" i="4"/>
  <c r="C111" i="5"/>
  <c r="D123" i="4"/>
  <c r="E111" i="5"/>
  <c r="H123" i="4"/>
  <c r="K111" i="5"/>
  <c r="L123" i="4"/>
  <c r="Q111" i="5"/>
  <c r="M123" i="4"/>
  <c r="R111" i="5"/>
  <c r="T111" i="5"/>
  <c r="O123" i="4"/>
  <c r="U111" i="5"/>
  <c r="P123" i="4"/>
  <c r="W111" i="5"/>
  <c r="Q123" i="4"/>
  <c r="X111" i="5"/>
  <c r="S123" i="4"/>
  <c r="AA111" i="5"/>
  <c r="AI123" i="4"/>
  <c r="T123" i="4" a="1"/>
  <c r="T123" i="4"/>
  <c r="AC111" i="5"/>
  <c r="U123" i="4" a="1"/>
  <c r="U123" i="4"/>
  <c r="AD111" i="5"/>
  <c r="X123" i="4"/>
  <c r="AI111" i="5"/>
  <c r="Y123" i="4"/>
  <c r="AJ111" i="5"/>
  <c r="Z123" i="4"/>
  <c r="AL111" i="5"/>
  <c r="F111" i="5"/>
  <c r="H111" i="5"/>
  <c r="I111" i="5"/>
  <c r="L111" i="5"/>
  <c r="N111" i="5"/>
  <c r="O111" i="5"/>
  <c r="Z111" i="5"/>
  <c r="AN111" i="5"/>
  <c r="AG112" i="5"/>
  <c r="AF112" i="5"/>
  <c r="C124" i="4"/>
  <c r="C112" i="5"/>
  <c r="D124" i="4"/>
  <c r="E112" i="5"/>
  <c r="H124" i="4"/>
  <c r="K112" i="5"/>
  <c r="L124" i="4"/>
  <c r="Q112" i="5"/>
  <c r="M124" i="4"/>
  <c r="R112" i="5"/>
  <c r="T112" i="5"/>
  <c r="O124" i="4"/>
  <c r="U112" i="5"/>
  <c r="P124" i="4"/>
  <c r="W112" i="5"/>
  <c r="Q124" i="4"/>
  <c r="X112" i="5"/>
  <c r="S124" i="4"/>
  <c r="AA112" i="5"/>
  <c r="AI124" i="4"/>
  <c r="T124" i="4" a="1"/>
  <c r="T124" i="4"/>
  <c r="AC112" i="5"/>
  <c r="U124" i="4" a="1"/>
  <c r="U124" i="4"/>
  <c r="AD112" i="5"/>
  <c r="X124" i="4"/>
  <c r="AI112" i="5"/>
  <c r="Y124" i="4"/>
  <c r="AJ112" i="5"/>
  <c r="Z124" i="4"/>
  <c r="AL112" i="5"/>
  <c r="F112" i="5"/>
  <c r="H112" i="5"/>
  <c r="I112" i="5"/>
  <c r="L112" i="5"/>
  <c r="N112" i="5"/>
  <c r="O112" i="5"/>
  <c r="Z112" i="5"/>
  <c r="AN112" i="5"/>
  <c r="AG113" i="5"/>
  <c r="AF113" i="5"/>
  <c r="C154" i="4"/>
  <c r="C113" i="5"/>
  <c r="D154" i="4"/>
  <c r="E113" i="5"/>
  <c r="H154" i="4"/>
  <c r="K113" i="5"/>
  <c r="L154" i="4"/>
  <c r="Q113" i="5"/>
  <c r="M154" i="4"/>
  <c r="R113" i="5"/>
  <c r="T113" i="5"/>
  <c r="O154" i="4"/>
  <c r="U113" i="5"/>
  <c r="P154" i="4"/>
  <c r="W113" i="5"/>
  <c r="Q154" i="4"/>
  <c r="X113" i="5"/>
  <c r="S154" i="4"/>
  <c r="AA113" i="5"/>
  <c r="AI154" i="4"/>
  <c r="T154" i="4" a="1"/>
  <c r="T154" i="4"/>
  <c r="AC113" i="5"/>
  <c r="U154" i="4" a="1"/>
  <c r="U154" i="4"/>
  <c r="AD113" i="5"/>
  <c r="X154" i="4"/>
  <c r="AI113" i="5"/>
  <c r="Y154" i="4"/>
  <c r="AJ113" i="5"/>
  <c r="Z154" i="4"/>
  <c r="AL113" i="5"/>
  <c r="F113" i="5"/>
  <c r="H113" i="5"/>
  <c r="I113" i="5"/>
  <c r="L113" i="5"/>
  <c r="N113" i="5"/>
  <c r="O113" i="5"/>
  <c r="Z113" i="5"/>
  <c r="AN113" i="5"/>
  <c r="AG114" i="5"/>
  <c r="AF114" i="5"/>
  <c r="B211" i="4"/>
  <c r="C211" i="4"/>
  <c r="C114" i="5"/>
  <c r="D211" i="4"/>
  <c r="E114" i="5"/>
  <c r="K114" i="5"/>
  <c r="L211" i="4"/>
  <c r="Q114" i="5"/>
  <c r="M211" i="4"/>
  <c r="R114" i="5"/>
  <c r="T114" i="5"/>
  <c r="O211" i="4"/>
  <c r="U114" i="5"/>
  <c r="P211" i="4"/>
  <c r="W114" i="5"/>
  <c r="Q211" i="4"/>
  <c r="X114" i="5"/>
  <c r="S211" i="4"/>
  <c r="AA114" i="5"/>
  <c r="AI211" i="4"/>
  <c r="T211" i="4" a="1"/>
  <c r="T211" i="4"/>
  <c r="AC114" i="5"/>
  <c r="U211" i="4" a="1"/>
  <c r="U211" i="4"/>
  <c r="AD114" i="5"/>
  <c r="X211" i="4"/>
  <c r="AI114" i="5"/>
  <c r="Y211" i="4"/>
  <c r="AJ114" i="5"/>
  <c r="Z211" i="4"/>
  <c r="AL114" i="5"/>
  <c r="F114" i="5"/>
  <c r="H114" i="5"/>
  <c r="I114" i="5"/>
  <c r="L114" i="5"/>
  <c r="N114" i="5"/>
  <c r="O114" i="5"/>
  <c r="Z114" i="5"/>
  <c r="AN114" i="5"/>
  <c r="AG115" i="5"/>
  <c r="AF115" i="5"/>
  <c r="B108" i="4"/>
  <c r="C108" i="4"/>
  <c r="C115" i="5"/>
  <c r="D108" i="4"/>
  <c r="E115" i="5"/>
  <c r="H24" i="2"/>
  <c r="H108" i="4"/>
  <c r="K115" i="5"/>
  <c r="L108" i="4"/>
  <c r="Q115" i="5"/>
  <c r="M108" i="4"/>
  <c r="R115" i="5"/>
  <c r="T115" i="5"/>
  <c r="U115" i="5"/>
  <c r="P108" i="4"/>
  <c r="W115" i="5"/>
  <c r="Q108" i="4"/>
  <c r="X115" i="5"/>
  <c r="AA115" i="5"/>
  <c r="AI108" i="4"/>
  <c r="T108" i="4" a="1"/>
  <c r="T108" i="4"/>
  <c r="AC115" i="5"/>
  <c r="U108" i="4" a="1"/>
  <c r="U108" i="4"/>
  <c r="AD115" i="5"/>
  <c r="X108" i="4"/>
  <c r="AI115" i="5"/>
  <c r="Y108" i="4"/>
  <c r="AJ115" i="5"/>
  <c r="Z108" i="4"/>
  <c r="AL115" i="5"/>
  <c r="F115" i="5"/>
  <c r="H115" i="5"/>
  <c r="I115" i="5"/>
  <c r="L115" i="5"/>
  <c r="N115" i="5"/>
  <c r="O115" i="5"/>
  <c r="Z115" i="5"/>
  <c r="AN115" i="5"/>
  <c r="O116" i="5"/>
  <c r="K116" i="5"/>
  <c r="AG116" i="5"/>
  <c r="AF116" i="5"/>
  <c r="B69" i="4"/>
  <c r="C69" i="4"/>
  <c r="C116" i="5"/>
  <c r="D69" i="4"/>
  <c r="E116" i="5"/>
  <c r="E14" i="2"/>
  <c r="E11" i="2"/>
  <c r="E69" i="4"/>
  <c r="F116" i="5"/>
  <c r="F14" i="2"/>
  <c r="F11" i="2"/>
  <c r="F69" i="4"/>
  <c r="H116" i="5"/>
  <c r="I116" i="5"/>
  <c r="I11" i="2"/>
  <c r="I69" i="4"/>
  <c r="L116" i="5"/>
  <c r="J11" i="2"/>
  <c r="J69" i="4"/>
  <c r="N116" i="5"/>
  <c r="L69" i="4"/>
  <c r="Q116" i="5"/>
  <c r="M69" i="4"/>
  <c r="R116" i="5"/>
  <c r="T116" i="5"/>
  <c r="U116" i="5"/>
  <c r="P69" i="4"/>
  <c r="W116" i="5"/>
  <c r="AA116" i="5"/>
  <c r="AI69" i="4"/>
  <c r="T69" i="4" a="1"/>
  <c r="T69" i="4"/>
  <c r="AC116" i="5"/>
  <c r="U69" i="4" a="1"/>
  <c r="U69" i="4"/>
  <c r="AD116" i="5"/>
  <c r="Y69" i="4"/>
  <c r="AJ116" i="5"/>
  <c r="Z69" i="4"/>
  <c r="AL116" i="5"/>
  <c r="X116" i="5"/>
  <c r="Z116" i="5"/>
  <c r="AN116" i="5"/>
  <c r="AG117" i="5"/>
  <c r="AF117" i="5"/>
  <c r="B190" i="4"/>
  <c r="C190" i="4"/>
  <c r="C117" i="5"/>
  <c r="D190" i="4"/>
  <c r="E117" i="5"/>
  <c r="K117" i="5"/>
  <c r="L190" i="4"/>
  <c r="Q117" i="5"/>
  <c r="M190" i="4"/>
  <c r="R117" i="5"/>
  <c r="T117" i="5"/>
  <c r="U117" i="5"/>
  <c r="P190" i="4"/>
  <c r="W117" i="5"/>
  <c r="Q190" i="4"/>
  <c r="X117" i="5"/>
  <c r="S190" i="4"/>
  <c r="AA117" i="5"/>
  <c r="AI190" i="4"/>
  <c r="T190" i="4" a="1"/>
  <c r="T190" i="4"/>
  <c r="AC117" i="5"/>
  <c r="U190" i="4" a="1"/>
  <c r="U190" i="4"/>
  <c r="AD117" i="5"/>
  <c r="X190" i="4"/>
  <c r="AI117" i="5"/>
  <c r="F117" i="5"/>
  <c r="H117" i="5"/>
  <c r="I117" i="5"/>
  <c r="L117" i="5"/>
  <c r="N117" i="5"/>
  <c r="O117" i="5"/>
  <c r="Z117" i="5"/>
  <c r="AN117" i="5"/>
  <c r="AA118" i="5"/>
  <c r="B2" i="4"/>
  <c r="P2" i="4"/>
  <c r="W118" i="5"/>
  <c r="AG118" i="5"/>
  <c r="AF118" i="5"/>
  <c r="C2" i="4"/>
  <c r="C118" i="5"/>
  <c r="D2" i="4"/>
  <c r="E118" i="5"/>
  <c r="K118" i="5"/>
  <c r="L2" i="4"/>
  <c r="Q118" i="5"/>
  <c r="M2" i="4"/>
  <c r="R118" i="5"/>
  <c r="T118" i="5"/>
  <c r="U118" i="5"/>
  <c r="Q2" i="4"/>
  <c r="X118" i="5"/>
  <c r="R20" i="2"/>
  <c r="R14" i="2"/>
  <c r="R2" i="4"/>
  <c r="Z118" i="5"/>
  <c r="AI2" i="4"/>
  <c r="T2" i="4" a="1"/>
  <c r="T2" i="4"/>
  <c r="AC118" i="5"/>
  <c r="U2" i="4" a="1"/>
  <c r="U2" i="4"/>
  <c r="AD118" i="5"/>
  <c r="Y2" i="4"/>
  <c r="AJ118" i="5"/>
  <c r="Z2" i="4"/>
  <c r="AL118" i="5"/>
  <c r="F118" i="5"/>
  <c r="H118" i="5"/>
  <c r="I118" i="5"/>
  <c r="L118" i="5"/>
  <c r="N118" i="5"/>
  <c r="O118" i="5"/>
  <c r="AN118" i="5"/>
  <c r="AG119" i="5"/>
  <c r="AF119" i="5"/>
  <c r="B191" i="4"/>
  <c r="C191" i="4"/>
  <c r="C119" i="5"/>
  <c r="D191" i="4"/>
  <c r="E119" i="5"/>
  <c r="E191" i="4"/>
  <c r="F119" i="5"/>
  <c r="F191" i="4"/>
  <c r="H119" i="5"/>
  <c r="I119" i="5"/>
  <c r="K119" i="5"/>
  <c r="L191" i="4"/>
  <c r="Q119" i="5"/>
  <c r="M191" i="4"/>
  <c r="R119" i="5"/>
  <c r="T119" i="5"/>
  <c r="O191" i="4"/>
  <c r="U119" i="5"/>
  <c r="P191" i="4"/>
  <c r="W119" i="5"/>
  <c r="Q191" i="4"/>
  <c r="X119" i="5"/>
  <c r="AA119" i="5"/>
  <c r="AI191" i="4"/>
  <c r="T191" i="4" a="1"/>
  <c r="T191" i="4"/>
  <c r="AC119" i="5"/>
  <c r="U191" i="4" a="1"/>
  <c r="U191" i="4"/>
  <c r="AD119" i="5"/>
  <c r="X191" i="4"/>
  <c r="AI119" i="5"/>
  <c r="Y191" i="4"/>
  <c r="AJ119" i="5"/>
  <c r="Z191" i="4"/>
  <c r="AL119" i="5"/>
  <c r="L119" i="5"/>
  <c r="N119" i="5"/>
  <c r="O119" i="5"/>
  <c r="Z119" i="5"/>
  <c r="AN119" i="5"/>
  <c r="AG120" i="5"/>
  <c r="AF120" i="5"/>
  <c r="B18" i="4"/>
  <c r="C18" i="4"/>
  <c r="C120" i="5"/>
  <c r="D18" i="4"/>
  <c r="E120" i="5"/>
  <c r="H18" i="4"/>
  <c r="K120" i="5"/>
  <c r="L18" i="4"/>
  <c r="Q120" i="5"/>
  <c r="M18" i="4"/>
  <c r="R120" i="5"/>
  <c r="T120" i="5"/>
  <c r="O18" i="4"/>
  <c r="U120" i="5"/>
  <c r="W120" i="5"/>
  <c r="Q18" i="4"/>
  <c r="X120" i="5"/>
  <c r="AA120" i="5"/>
  <c r="AI18" i="4"/>
  <c r="T18" i="4" a="1"/>
  <c r="T18" i="4"/>
  <c r="AC120" i="5"/>
  <c r="U18" i="4" a="1"/>
  <c r="U18" i="4"/>
  <c r="AD120" i="5"/>
  <c r="Y18" i="4"/>
  <c r="AJ120" i="5"/>
  <c r="Z18" i="4"/>
  <c r="AL120" i="5"/>
  <c r="F120" i="5"/>
  <c r="H120" i="5"/>
  <c r="I120" i="5"/>
  <c r="L120" i="5"/>
  <c r="N120" i="5"/>
  <c r="O120" i="5"/>
  <c r="Z120" i="5"/>
  <c r="AN120" i="5"/>
  <c r="AG121" i="5"/>
  <c r="AF121" i="5"/>
  <c r="B70" i="4"/>
  <c r="C70" i="4"/>
  <c r="C121" i="5"/>
  <c r="D70" i="4"/>
  <c r="E121" i="5"/>
  <c r="H70" i="4"/>
  <c r="K121" i="5"/>
  <c r="L70" i="4"/>
  <c r="Q121" i="5"/>
  <c r="M70" i="4"/>
  <c r="R121" i="5"/>
  <c r="N70" i="4"/>
  <c r="T121" i="5"/>
  <c r="U121" i="5"/>
  <c r="W121" i="5"/>
  <c r="Q70" i="4"/>
  <c r="X121" i="5"/>
  <c r="AA121" i="5"/>
  <c r="AI70" i="4"/>
  <c r="T70" i="4" a="1"/>
  <c r="T70" i="4"/>
  <c r="AC121" i="5"/>
  <c r="U70" i="4" a="1"/>
  <c r="U70" i="4"/>
  <c r="AD121" i="5"/>
  <c r="X70" i="4"/>
  <c r="AI121" i="5"/>
  <c r="Y70" i="4"/>
  <c r="AJ121" i="5"/>
  <c r="Z70" i="4"/>
  <c r="AL121" i="5"/>
  <c r="F121" i="5"/>
  <c r="H121" i="5"/>
  <c r="I121" i="5"/>
  <c r="L121" i="5"/>
  <c r="N121" i="5"/>
  <c r="O121" i="5"/>
  <c r="Z121" i="5"/>
  <c r="AN121" i="5"/>
  <c r="AG122" i="5"/>
  <c r="AF122" i="5"/>
  <c r="B19" i="4"/>
  <c r="C19" i="4"/>
  <c r="C122" i="5"/>
  <c r="D19" i="4"/>
  <c r="E122" i="5"/>
  <c r="H19" i="4"/>
  <c r="K122" i="5"/>
  <c r="L19" i="4"/>
  <c r="Q122" i="5"/>
  <c r="R122" i="5"/>
  <c r="T122" i="5"/>
  <c r="O19" i="4"/>
  <c r="U122" i="5"/>
  <c r="P19" i="4"/>
  <c r="W122" i="5"/>
  <c r="Q19" i="4"/>
  <c r="X122" i="5"/>
  <c r="AA122" i="5"/>
  <c r="AI19" i="4"/>
  <c r="T19" i="4" a="1"/>
  <c r="T19" i="4"/>
  <c r="AC122" i="5"/>
  <c r="U19" i="4" a="1"/>
  <c r="U19" i="4"/>
  <c r="AD122" i="5"/>
  <c r="Y19" i="4"/>
  <c r="AJ122" i="5"/>
  <c r="Z19" i="4"/>
  <c r="AL122" i="5"/>
  <c r="F122" i="5"/>
  <c r="H122" i="5"/>
  <c r="I122" i="5"/>
  <c r="L122" i="5"/>
  <c r="N122" i="5"/>
  <c r="O122" i="5"/>
  <c r="Z122" i="5"/>
  <c r="AN122" i="5"/>
  <c r="O123" i="5"/>
  <c r="B248" i="4"/>
  <c r="H248" i="4"/>
  <c r="K123" i="5"/>
  <c r="AG123" i="5"/>
  <c r="AF123" i="5"/>
  <c r="C42" i="2"/>
  <c r="C248" i="4"/>
  <c r="C123" i="5"/>
  <c r="D248" i="4"/>
  <c r="E123" i="5"/>
  <c r="E248" i="4"/>
  <c r="F123" i="5"/>
  <c r="F248" i="4"/>
  <c r="H123" i="5"/>
  <c r="I123" i="5"/>
  <c r="I42" i="2"/>
  <c r="I248" i="4"/>
  <c r="L123" i="5"/>
  <c r="J42" i="2"/>
  <c r="J248" i="4"/>
  <c r="N123" i="5"/>
  <c r="L248" i="4"/>
  <c r="Q123" i="5"/>
  <c r="M248" i="4"/>
  <c r="R123" i="5"/>
  <c r="T123" i="5"/>
  <c r="O42" i="2"/>
  <c r="O248" i="4"/>
  <c r="U123" i="5"/>
  <c r="P42" i="2"/>
  <c r="P248" i="4"/>
  <c r="W123" i="5"/>
  <c r="Q42" i="2"/>
  <c r="Q248" i="4"/>
  <c r="X123" i="5"/>
  <c r="S248" i="4"/>
  <c r="AA123" i="5"/>
  <c r="AI248" i="4"/>
  <c r="T248" i="4" a="1"/>
  <c r="T248" i="4"/>
  <c r="AC123" i="5"/>
  <c r="U248" i="4" a="1"/>
  <c r="U248" i="4"/>
  <c r="AD123" i="5"/>
  <c r="X42" i="2"/>
  <c r="X248" i="4"/>
  <c r="AI123" i="5"/>
  <c r="Y42" i="2"/>
  <c r="Y248" i="4"/>
  <c r="AJ123" i="5"/>
  <c r="Z42" i="2"/>
  <c r="Z248" i="4"/>
  <c r="AL123" i="5"/>
  <c r="Z123" i="5"/>
  <c r="AN123" i="5"/>
  <c r="AG124" i="5"/>
  <c r="AF124" i="5"/>
  <c r="B71" i="4"/>
  <c r="C71" i="4"/>
  <c r="C124" i="5"/>
  <c r="D71" i="4"/>
  <c r="E124" i="5"/>
  <c r="H71" i="4"/>
  <c r="K124" i="5"/>
  <c r="L71" i="4"/>
  <c r="Q124" i="5"/>
  <c r="M71" i="4"/>
  <c r="R124" i="5"/>
  <c r="T124" i="5"/>
  <c r="O71" i="4"/>
  <c r="U124" i="5"/>
  <c r="P71" i="4"/>
  <c r="W124" i="5"/>
  <c r="Q71" i="4"/>
  <c r="X124" i="5"/>
  <c r="AA124" i="5"/>
  <c r="AI71" i="4"/>
  <c r="T71" i="4" a="1"/>
  <c r="T71" i="4"/>
  <c r="AC124" i="5"/>
  <c r="U71" i="4" a="1"/>
  <c r="U71" i="4"/>
  <c r="AD124" i="5"/>
  <c r="X71" i="4"/>
  <c r="AI124" i="5"/>
  <c r="Y71" i="4"/>
  <c r="AJ124" i="5"/>
  <c r="Z71" i="4"/>
  <c r="AL124" i="5"/>
  <c r="F124" i="5"/>
  <c r="H124" i="5"/>
  <c r="I124" i="5"/>
  <c r="L124" i="5"/>
  <c r="N124" i="5"/>
  <c r="O124" i="5"/>
  <c r="Z124" i="5"/>
  <c r="AN124" i="5"/>
  <c r="AG125" i="5"/>
  <c r="AF125" i="5"/>
  <c r="B250" i="4"/>
  <c r="C250" i="4"/>
  <c r="C125" i="5"/>
  <c r="D250" i="4"/>
  <c r="E125" i="5"/>
  <c r="H250" i="4"/>
  <c r="K125" i="5"/>
  <c r="L250" i="4"/>
  <c r="Q125" i="5"/>
  <c r="M250" i="4"/>
  <c r="R125" i="5"/>
  <c r="T125" i="5"/>
  <c r="U125" i="5"/>
  <c r="P250" i="4"/>
  <c r="W125" i="5"/>
  <c r="Q250" i="4"/>
  <c r="X125" i="5"/>
  <c r="S250" i="4"/>
  <c r="AA125" i="5"/>
  <c r="AI250" i="4"/>
  <c r="T250" i="4" a="1"/>
  <c r="T250" i="4"/>
  <c r="AC125" i="5"/>
  <c r="U250" i="4" a="1"/>
  <c r="U250" i="4"/>
  <c r="AD125" i="5"/>
  <c r="X250" i="4"/>
  <c r="AI125" i="5"/>
  <c r="Y250" i="4"/>
  <c r="AJ125" i="5"/>
  <c r="Z250" i="4"/>
  <c r="AL125" i="5"/>
  <c r="F125" i="5"/>
  <c r="H125" i="5"/>
  <c r="I125" i="5"/>
  <c r="L125" i="5"/>
  <c r="N125" i="5"/>
  <c r="O125" i="5"/>
  <c r="Z125" i="5"/>
  <c r="AN125" i="5"/>
  <c r="AG126" i="5"/>
  <c r="AF126" i="5"/>
  <c r="B289" i="4"/>
  <c r="C289" i="4"/>
  <c r="C126" i="5"/>
  <c r="D289" i="4"/>
  <c r="E126" i="5"/>
  <c r="H289" i="4"/>
  <c r="K126" i="5"/>
  <c r="L289" i="4"/>
  <c r="Q126" i="5"/>
  <c r="M289" i="4"/>
  <c r="R126" i="5"/>
  <c r="T126" i="5"/>
  <c r="O289" i="4"/>
  <c r="U126" i="5"/>
  <c r="P289" i="4"/>
  <c r="W126" i="5"/>
  <c r="Q289" i="4"/>
  <c r="X126" i="5"/>
  <c r="S289" i="4"/>
  <c r="AA126" i="5"/>
  <c r="AI289" i="4"/>
  <c r="T289" i="4" a="1"/>
  <c r="T289" i="4"/>
  <c r="AC126" i="5"/>
  <c r="U289" i="4" a="1"/>
  <c r="U289" i="4"/>
  <c r="AD126" i="5"/>
  <c r="X289" i="4"/>
  <c r="AI126" i="5"/>
  <c r="Y289" i="4"/>
  <c r="AJ126" i="5"/>
  <c r="Z289" i="4"/>
  <c r="AL126" i="5"/>
  <c r="F126" i="5"/>
  <c r="H126" i="5"/>
  <c r="I126" i="5"/>
  <c r="L126" i="5"/>
  <c r="N126" i="5"/>
  <c r="O126" i="5"/>
  <c r="Z126" i="5"/>
  <c r="AN126" i="5"/>
  <c r="AG127" i="5"/>
  <c r="AF127" i="5"/>
  <c r="B295" i="4"/>
  <c r="C295" i="4"/>
  <c r="C127" i="5"/>
  <c r="D295" i="4"/>
  <c r="E127" i="5"/>
  <c r="K127" i="5"/>
  <c r="L295" i="4"/>
  <c r="Q127" i="5"/>
  <c r="M295" i="4"/>
  <c r="R127" i="5"/>
  <c r="T127" i="5"/>
  <c r="O295" i="4"/>
  <c r="U127" i="5"/>
  <c r="P295" i="4"/>
  <c r="W127" i="5"/>
  <c r="Q295" i="4"/>
  <c r="X127" i="5"/>
  <c r="AA127" i="5"/>
  <c r="AI295" i="4"/>
  <c r="T295" i="4" a="1"/>
  <c r="T295" i="4"/>
  <c r="AC127" i="5"/>
  <c r="U295" i="4" a="1"/>
  <c r="U295" i="4"/>
  <c r="AD127" i="5"/>
  <c r="X295" i="4"/>
  <c r="AI127" i="5"/>
  <c r="Y295" i="4"/>
  <c r="AJ127" i="5"/>
  <c r="Z295" i="4"/>
  <c r="AL127" i="5"/>
  <c r="F127" i="5"/>
  <c r="H127" i="5"/>
  <c r="I127" i="5"/>
  <c r="L127" i="5"/>
  <c r="N127" i="5"/>
  <c r="O127" i="5"/>
  <c r="Z127" i="5"/>
  <c r="AN127" i="5"/>
  <c r="AG128" i="5"/>
  <c r="AF128" i="5"/>
  <c r="B192" i="4"/>
  <c r="C192" i="4"/>
  <c r="C128" i="5"/>
  <c r="D192" i="4"/>
  <c r="E128" i="5"/>
  <c r="E192" i="4"/>
  <c r="F128" i="5"/>
  <c r="F192" i="4"/>
  <c r="H128" i="5"/>
  <c r="I128" i="5"/>
  <c r="H192" i="4"/>
  <c r="K128" i="5"/>
  <c r="L192" i="4"/>
  <c r="Q128" i="5"/>
  <c r="M192" i="4"/>
  <c r="R128" i="5"/>
  <c r="T128" i="5"/>
  <c r="U128" i="5"/>
  <c r="P192" i="4"/>
  <c r="W128" i="5"/>
  <c r="Q192" i="4"/>
  <c r="X128" i="5"/>
  <c r="S192" i="4"/>
  <c r="AA128" i="5"/>
  <c r="AI192" i="4"/>
  <c r="T192" i="4" a="1"/>
  <c r="T192" i="4"/>
  <c r="AC128" i="5"/>
  <c r="U192" i="4" a="1"/>
  <c r="U192" i="4"/>
  <c r="AD128" i="5"/>
  <c r="X192" i="4"/>
  <c r="AI128" i="5"/>
  <c r="Y192" i="4"/>
  <c r="AJ128" i="5"/>
  <c r="Z192" i="4"/>
  <c r="AL128" i="5"/>
  <c r="L128" i="5"/>
  <c r="N128" i="5"/>
  <c r="O128" i="5"/>
  <c r="Z128" i="5"/>
  <c r="AN128" i="5"/>
  <c r="B4" i="4"/>
  <c r="S4" i="4"/>
  <c r="AA129" i="5"/>
  <c r="P4" i="4"/>
  <c r="W129" i="5"/>
  <c r="AG129" i="5"/>
  <c r="AF129" i="5"/>
  <c r="C4" i="4"/>
  <c r="C129" i="5"/>
  <c r="D4" i="4"/>
  <c r="E129" i="5"/>
  <c r="E4" i="4"/>
  <c r="F129" i="5"/>
  <c r="F4" i="4"/>
  <c r="H129" i="5"/>
  <c r="I129" i="5"/>
  <c r="K129" i="5"/>
  <c r="L4" i="4"/>
  <c r="Q129" i="5"/>
  <c r="U129" i="5"/>
  <c r="Q4" i="4"/>
  <c r="X129" i="5"/>
  <c r="R4" i="4"/>
  <c r="Z129" i="5"/>
  <c r="AI4" i="4"/>
  <c r="T4" i="4" a="1"/>
  <c r="T4" i="4"/>
  <c r="AC129" i="5"/>
  <c r="U4" i="4" a="1"/>
  <c r="U4" i="4"/>
  <c r="AD129" i="5"/>
  <c r="X4" i="4"/>
  <c r="AI129" i="5"/>
  <c r="Y4" i="4"/>
  <c r="AJ129" i="5"/>
  <c r="Z4" i="4"/>
  <c r="AL129" i="5"/>
  <c r="R129" i="5"/>
  <c r="T129" i="5"/>
  <c r="L129" i="5"/>
  <c r="N129" i="5"/>
  <c r="O129" i="5"/>
  <c r="AN129" i="5"/>
  <c r="AG130" i="5"/>
  <c r="AF130" i="5"/>
  <c r="C222" i="4"/>
  <c r="C130" i="5"/>
  <c r="D222" i="4"/>
  <c r="E130" i="5"/>
  <c r="E222" i="4"/>
  <c r="F130" i="5"/>
  <c r="F222" i="4"/>
  <c r="H130" i="5"/>
  <c r="I130" i="5"/>
  <c r="H222" i="4"/>
  <c r="K130" i="5"/>
  <c r="L222" i="4"/>
  <c r="Q130" i="5"/>
  <c r="M222" i="4"/>
  <c r="R130" i="5"/>
  <c r="T130" i="5"/>
  <c r="U130" i="5"/>
  <c r="P222" i="4"/>
  <c r="W130" i="5"/>
  <c r="Q222" i="4"/>
  <c r="X130" i="5"/>
  <c r="S222" i="4"/>
  <c r="AA130" i="5"/>
  <c r="AI222" i="4"/>
  <c r="T222" i="4" a="1"/>
  <c r="T222" i="4"/>
  <c r="AC130" i="5"/>
  <c r="U222" i="4" a="1"/>
  <c r="U222" i="4"/>
  <c r="AD130" i="5"/>
  <c r="X222" i="4"/>
  <c r="AI130" i="5"/>
  <c r="Y222" i="4"/>
  <c r="AJ130" i="5"/>
  <c r="Z222" i="4"/>
  <c r="AL130" i="5"/>
  <c r="Z130" i="5"/>
  <c r="L130" i="5"/>
  <c r="N130" i="5"/>
  <c r="O130" i="5"/>
  <c r="AN130" i="5"/>
  <c r="AG131" i="5"/>
  <c r="AF131" i="5"/>
  <c r="B251" i="4"/>
  <c r="C251" i="4"/>
  <c r="C131" i="5"/>
  <c r="D251" i="4"/>
  <c r="E131" i="5"/>
  <c r="E251" i="4"/>
  <c r="F131" i="5"/>
  <c r="F251" i="4"/>
  <c r="H131" i="5"/>
  <c r="I131" i="5"/>
  <c r="H251" i="4"/>
  <c r="K131" i="5"/>
  <c r="L251" i="4"/>
  <c r="Q131" i="5"/>
  <c r="M251" i="4"/>
  <c r="R131" i="5"/>
  <c r="T131" i="5"/>
  <c r="O20" i="2"/>
  <c r="O251" i="4"/>
  <c r="U131" i="5"/>
  <c r="P251" i="4"/>
  <c r="W131" i="5"/>
  <c r="Q251" i="4"/>
  <c r="X131" i="5"/>
  <c r="S251" i="4"/>
  <c r="AA131" i="5"/>
  <c r="AI251" i="4"/>
  <c r="T251" i="4" a="1"/>
  <c r="T251" i="4"/>
  <c r="AC131" i="5"/>
  <c r="U251" i="4" a="1"/>
  <c r="U251" i="4"/>
  <c r="AD131" i="5"/>
  <c r="X251" i="4"/>
  <c r="AI131" i="5"/>
  <c r="Y251" i="4"/>
  <c r="AJ131" i="5"/>
  <c r="Z251" i="4"/>
  <c r="AL131" i="5"/>
  <c r="Z131" i="5"/>
  <c r="L131" i="5"/>
  <c r="N131" i="5"/>
  <c r="O131" i="5"/>
  <c r="AN131" i="5"/>
  <c r="AG132" i="5"/>
  <c r="AF132" i="5"/>
  <c r="B73" i="4"/>
  <c r="C73" i="4"/>
  <c r="C132" i="5"/>
  <c r="D73" i="4"/>
  <c r="E132" i="5"/>
  <c r="E73" i="4"/>
  <c r="F132" i="5"/>
  <c r="F73" i="4"/>
  <c r="H132" i="5"/>
  <c r="I132" i="5"/>
  <c r="K132" i="5"/>
  <c r="L73" i="4"/>
  <c r="Q132" i="5"/>
  <c r="M73" i="4"/>
  <c r="R132" i="5"/>
  <c r="T132" i="5"/>
  <c r="U132" i="5"/>
  <c r="P73" i="4"/>
  <c r="W132" i="5"/>
  <c r="Q73" i="4"/>
  <c r="X132" i="5"/>
  <c r="S73" i="4"/>
  <c r="AA132" i="5"/>
  <c r="AI73" i="4"/>
  <c r="T73" i="4" a="1"/>
  <c r="T73" i="4"/>
  <c r="AC132" i="5"/>
  <c r="U73" i="4" a="1"/>
  <c r="U73" i="4"/>
  <c r="AD132" i="5"/>
  <c r="X73" i="4"/>
  <c r="AI132" i="5"/>
  <c r="Y73" i="4"/>
  <c r="AJ132" i="5"/>
  <c r="Z73" i="4"/>
  <c r="AL132" i="5"/>
  <c r="Z132" i="5"/>
  <c r="L132" i="5"/>
  <c r="N132" i="5"/>
  <c r="O132" i="5"/>
  <c r="AN132" i="5"/>
  <c r="AA133" i="5"/>
  <c r="P129" i="4"/>
  <c r="W133" i="5"/>
  <c r="O133" i="5"/>
  <c r="K133" i="5"/>
  <c r="AG133" i="5"/>
  <c r="AF133" i="5"/>
  <c r="C129" i="4"/>
  <c r="C133" i="5"/>
  <c r="D129" i="4"/>
  <c r="E133" i="5"/>
  <c r="I32" i="2"/>
  <c r="I44" i="2"/>
  <c r="I129" i="4"/>
  <c r="L133" i="5"/>
  <c r="J32" i="2"/>
  <c r="J129" i="4"/>
  <c r="N133" i="5"/>
  <c r="L129" i="4"/>
  <c r="Q133" i="5"/>
  <c r="M129" i="4"/>
  <c r="R133" i="5"/>
  <c r="T133" i="5"/>
  <c r="U133" i="5"/>
  <c r="Q129" i="4"/>
  <c r="X133" i="5"/>
  <c r="R32" i="2"/>
  <c r="R44" i="2"/>
  <c r="R129" i="4"/>
  <c r="Z133" i="5"/>
  <c r="AI129" i="4"/>
  <c r="T129" i="4" a="1"/>
  <c r="T129" i="4"/>
  <c r="AC133" i="5"/>
  <c r="U129" i="4" a="1"/>
  <c r="U129" i="4"/>
  <c r="AD133" i="5"/>
  <c r="X129" i="4"/>
  <c r="AI133" i="5"/>
  <c r="Y129" i="4"/>
  <c r="AJ133" i="5"/>
  <c r="Z129" i="4"/>
  <c r="AL133" i="5"/>
  <c r="F133" i="5"/>
  <c r="H133" i="5"/>
  <c r="I133" i="5"/>
  <c r="AN133" i="5"/>
  <c r="O134" i="5"/>
  <c r="K134" i="5"/>
  <c r="AG134" i="5"/>
  <c r="AF134" i="5"/>
  <c r="B20" i="4"/>
  <c r="C20" i="4"/>
  <c r="C134" i="5"/>
  <c r="D20" i="4"/>
  <c r="E134" i="5"/>
  <c r="I20" i="4"/>
  <c r="L134" i="5"/>
  <c r="J20" i="4"/>
  <c r="N134" i="5"/>
  <c r="L20" i="4"/>
  <c r="Q134" i="5"/>
  <c r="M20" i="4"/>
  <c r="R134" i="5"/>
  <c r="T134" i="5"/>
  <c r="U134" i="5"/>
  <c r="P20" i="4"/>
  <c r="W134" i="5"/>
  <c r="Q20" i="4"/>
  <c r="X134" i="5"/>
  <c r="AA134" i="5"/>
  <c r="AI20" i="4"/>
  <c r="T20" i="4" a="1"/>
  <c r="T20" i="4"/>
  <c r="AC134" i="5"/>
  <c r="U20" i="4" a="1"/>
  <c r="U20" i="4"/>
  <c r="AD134" i="5"/>
  <c r="X20" i="4"/>
  <c r="AI134" i="5"/>
  <c r="Y20" i="4"/>
  <c r="AJ134" i="5"/>
  <c r="Z20" i="4"/>
  <c r="AL134" i="5"/>
  <c r="Z134" i="5"/>
  <c r="F134" i="5"/>
  <c r="H134" i="5"/>
  <c r="I134" i="5"/>
  <c r="AN134" i="5"/>
  <c r="AG135" i="5"/>
  <c r="AF135" i="5"/>
  <c r="B278" i="4"/>
  <c r="C278" i="4"/>
  <c r="C135" i="5"/>
  <c r="D278" i="4"/>
  <c r="E135" i="5"/>
  <c r="H278" i="4"/>
  <c r="K135" i="5"/>
  <c r="L278" i="4"/>
  <c r="Q135" i="5"/>
  <c r="M278" i="4"/>
  <c r="R135" i="5"/>
  <c r="T135" i="5"/>
  <c r="O278" i="4"/>
  <c r="U135" i="5"/>
  <c r="P278" i="4"/>
  <c r="W135" i="5"/>
  <c r="Q278" i="4"/>
  <c r="X135" i="5"/>
  <c r="S278" i="4"/>
  <c r="AA135" i="5"/>
  <c r="AI278" i="4"/>
  <c r="T278" i="4" a="1"/>
  <c r="T278" i="4"/>
  <c r="AC135" i="5"/>
  <c r="U278" i="4" a="1"/>
  <c r="U278" i="4"/>
  <c r="AD135" i="5"/>
  <c r="X278" i="4"/>
  <c r="AI135" i="5"/>
  <c r="Y278" i="4"/>
  <c r="AJ135" i="5"/>
  <c r="Z278" i="4"/>
  <c r="AL135" i="5"/>
  <c r="L135" i="5"/>
  <c r="N135" i="5"/>
  <c r="O135" i="5"/>
  <c r="Z135" i="5"/>
  <c r="F135" i="5"/>
  <c r="H135" i="5"/>
  <c r="I135" i="5"/>
  <c r="AN135" i="5"/>
  <c r="O136" i="5"/>
  <c r="B43" i="4"/>
  <c r="H43" i="4"/>
  <c r="K136" i="5"/>
  <c r="AG136" i="5"/>
  <c r="AF136" i="5"/>
  <c r="C43" i="4"/>
  <c r="C136" i="5"/>
  <c r="D43" i="4"/>
  <c r="E136" i="5"/>
  <c r="I39" i="2"/>
  <c r="I43" i="4"/>
  <c r="L136" i="5"/>
  <c r="J39" i="2"/>
  <c r="J43" i="4"/>
  <c r="N136" i="5"/>
  <c r="L43" i="4"/>
  <c r="Q136" i="5"/>
  <c r="M43" i="4"/>
  <c r="R136" i="5"/>
  <c r="T136" i="5"/>
  <c r="U136" i="5"/>
  <c r="P43" i="4"/>
  <c r="W136" i="5"/>
  <c r="Q43" i="4"/>
  <c r="X136" i="5"/>
  <c r="AA136" i="5"/>
  <c r="AI43" i="4"/>
  <c r="T43" i="4" a="1"/>
  <c r="T43" i="4"/>
  <c r="AC136" i="5"/>
  <c r="U43" i="4" a="1"/>
  <c r="U43" i="4"/>
  <c r="AD136" i="5"/>
  <c r="X43" i="4"/>
  <c r="AI136" i="5"/>
  <c r="Y43" i="4"/>
  <c r="AJ136" i="5"/>
  <c r="Z43" i="4"/>
  <c r="AL136" i="5"/>
  <c r="Z136" i="5"/>
  <c r="F136" i="5"/>
  <c r="H136" i="5"/>
  <c r="I136" i="5"/>
  <c r="AN136" i="5"/>
  <c r="B5" i="4"/>
  <c r="S5" i="4"/>
  <c r="AA137" i="5"/>
  <c r="P5" i="4"/>
  <c r="W137" i="5"/>
  <c r="AG137" i="5"/>
  <c r="AF137" i="5"/>
  <c r="C5" i="4"/>
  <c r="C137" i="5"/>
  <c r="D5" i="4"/>
  <c r="E137" i="5"/>
  <c r="K137" i="5"/>
  <c r="L5" i="4"/>
  <c r="Q137" i="5"/>
  <c r="U137" i="5"/>
  <c r="Q5" i="4"/>
  <c r="X137" i="5"/>
  <c r="R5" i="4"/>
  <c r="Z137" i="5"/>
  <c r="AI5" i="4"/>
  <c r="T5" i="4" a="1"/>
  <c r="T5" i="4"/>
  <c r="AC137" i="5"/>
  <c r="U5" i="4" a="1"/>
  <c r="U5" i="4"/>
  <c r="AD137" i="5"/>
  <c r="X5" i="4"/>
  <c r="AI137" i="5"/>
  <c r="Y5" i="4"/>
  <c r="AJ137" i="5"/>
  <c r="Z5" i="4"/>
  <c r="AL137" i="5"/>
  <c r="L137" i="5"/>
  <c r="N137" i="5"/>
  <c r="O137" i="5"/>
  <c r="R137" i="5"/>
  <c r="T137" i="5"/>
  <c r="F137" i="5"/>
  <c r="H137" i="5"/>
  <c r="I137" i="5"/>
  <c r="AN137" i="5"/>
  <c r="AG138" i="5"/>
  <c r="AF138" i="5"/>
  <c r="C35" i="2"/>
  <c r="B212" i="4"/>
  <c r="C31" i="2"/>
  <c r="C212" i="4"/>
  <c r="C138" i="5"/>
  <c r="D35" i="2"/>
  <c r="D31" i="2"/>
  <c r="D212" i="4"/>
  <c r="E138" i="5"/>
  <c r="H35" i="2"/>
  <c r="H31" i="2"/>
  <c r="H212" i="4"/>
  <c r="K138" i="5"/>
  <c r="L35" i="2"/>
  <c r="L31" i="2"/>
  <c r="L212" i="4"/>
  <c r="Q138" i="5"/>
  <c r="M35" i="2"/>
  <c r="M31" i="2"/>
  <c r="M212" i="4"/>
  <c r="R138" i="5"/>
  <c r="T138" i="5"/>
  <c r="O35" i="2"/>
  <c r="O31" i="2"/>
  <c r="O212" i="4"/>
  <c r="U138" i="5"/>
  <c r="P35" i="2"/>
  <c r="P31" i="2"/>
  <c r="P212" i="4"/>
  <c r="W138" i="5"/>
  <c r="Q35" i="2"/>
  <c r="Q31" i="2"/>
  <c r="Q212" i="4"/>
  <c r="X138" i="5"/>
  <c r="S35" i="2"/>
  <c r="S31" i="2"/>
  <c r="S212" i="4"/>
  <c r="AA138" i="5"/>
  <c r="AI212" i="4"/>
  <c r="T212" i="4" a="1"/>
  <c r="T212" i="4"/>
  <c r="AC138" i="5"/>
  <c r="U212" i="4" a="1"/>
  <c r="U212" i="4"/>
  <c r="AD138" i="5"/>
  <c r="X35" i="2"/>
  <c r="X31" i="2"/>
  <c r="X212" i="4"/>
  <c r="AI138" i="5"/>
  <c r="Y35" i="2"/>
  <c r="Y31" i="2"/>
  <c r="Y212" i="4"/>
  <c r="AJ138" i="5"/>
  <c r="Z35" i="2"/>
  <c r="Z31" i="2"/>
  <c r="Z212" i="4"/>
  <c r="AL138" i="5"/>
  <c r="L138" i="5"/>
  <c r="N138" i="5"/>
  <c r="O138" i="5"/>
  <c r="F138" i="5"/>
  <c r="H138" i="5"/>
  <c r="I138" i="5"/>
  <c r="Z138" i="5"/>
  <c r="AN138" i="5"/>
  <c r="AG139" i="5"/>
  <c r="AF139" i="5"/>
  <c r="B213" i="4"/>
  <c r="C213" i="4"/>
  <c r="C139" i="5"/>
  <c r="D213" i="4"/>
  <c r="E139" i="5"/>
  <c r="E35" i="2"/>
  <c r="E213" i="4"/>
  <c r="F139" i="5"/>
  <c r="F35" i="2"/>
  <c r="F213" i="4"/>
  <c r="H139" i="5"/>
  <c r="I139" i="5"/>
  <c r="K139" i="5"/>
  <c r="L213" i="4"/>
  <c r="Q139" i="5"/>
  <c r="M213" i="4"/>
  <c r="R139" i="5"/>
  <c r="T139" i="5"/>
  <c r="U139" i="5"/>
  <c r="P213" i="4"/>
  <c r="W139" i="5"/>
  <c r="Q213" i="4"/>
  <c r="X139" i="5"/>
  <c r="S213" i="4"/>
  <c r="AA139" i="5"/>
  <c r="AI213" i="4"/>
  <c r="T213" i="4" a="1"/>
  <c r="T213" i="4"/>
  <c r="AC139" i="5"/>
  <c r="U213" i="4" a="1"/>
  <c r="U213" i="4"/>
  <c r="AD139" i="5"/>
  <c r="X213" i="4"/>
  <c r="AI139" i="5"/>
  <c r="Y213" i="4"/>
  <c r="AJ139" i="5"/>
  <c r="Z213" i="4"/>
  <c r="AL139" i="5"/>
  <c r="L139" i="5"/>
  <c r="N139" i="5"/>
  <c r="O139" i="5"/>
  <c r="Z139" i="5"/>
  <c r="AN139" i="5"/>
  <c r="AG140" i="5"/>
  <c r="AF140" i="5"/>
  <c r="B77" i="4"/>
  <c r="C77" i="4"/>
  <c r="C140" i="5"/>
  <c r="D77" i="4"/>
  <c r="E140" i="5"/>
  <c r="E77" i="4"/>
  <c r="F140" i="5"/>
  <c r="F77" i="4"/>
  <c r="H140" i="5"/>
  <c r="I140" i="5"/>
  <c r="H77" i="4"/>
  <c r="K140" i="5"/>
  <c r="L77" i="4"/>
  <c r="Q140" i="5"/>
  <c r="M77" i="4"/>
  <c r="R140" i="5"/>
  <c r="T140" i="5"/>
  <c r="U140" i="5"/>
  <c r="P77" i="4"/>
  <c r="W140" i="5"/>
  <c r="Q77" i="4"/>
  <c r="X140" i="5"/>
  <c r="S77" i="4"/>
  <c r="AA140" i="5"/>
  <c r="AI77" i="4"/>
  <c r="T77" i="4" a="1"/>
  <c r="T77" i="4"/>
  <c r="AC140" i="5"/>
  <c r="U77" i="4" a="1"/>
  <c r="U77" i="4"/>
  <c r="AD140" i="5"/>
  <c r="X77" i="4"/>
  <c r="AI140" i="5"/>
  <c r="Y77" i="4"/>
  <c r="AJ140" i="5"/>
  <c r="Z77" i="4"/>
  <c r="AL140" i="5"/>
  <c r="L140" i="5"/>
  <c r="N140" i="5"/>
  <c r="O140" i="5"/>
  <c r="Z140" i="5"/>
  <c r="AN140" i="5"/>
  <c r="AG141" i="5"/>
  <c r="AF141" i="5"/>
  <c r="C223" i="4"/>
  <c r="C141" i="5"/>
  <c r="D223" i="4"/>
  <c r="E141" i="5"/>
  <c r="E223" i="4"/>
  <c r="F141" i="5"/>
  <c r="F223" i="4"/>
  <c r="H141" i="5"/>
  <c r="I141" i="5"/>
  <c r="H223" i="4"/>
  <c r="K141" i="5"/>
  <c r="L223" i="4"/>
  <c r="Q141" i="5"/>
  <c r="M223" i="4"/>
  <c r="R141" i="5"/>
  <c r="T141" i="5"/>
  <c r="O223" i="4"/>
  <c r="U141" i="5"/>
  <c r="P223" i="4"/>
  <c r="W141" i="5"/>
  <c r="Q223" i="4"/>
  <c r="X141" i="5"/>
  <c r="S223" i="4"/>
  <c r="AA141" i="5"/>
  <c r="AI223" i="4"/>
  <c r="T223" i="4" a="1"/>
  <c r="T223" i="4"/>
  <c r="AC141" i="5"/>
  <c r="U223" i="4" a="1"/>
  <c r="U223" i="4"/>
  <c r="AD141" i="5"/>
  <c r="X223" i="4"/>
  <c r="AI141" i="5"/>
  <c r="Y223" i="4"/>
  <c r="AJ141" i="5"/>
  <c r="Z223" i="4"/>
  <c r="AL141" i="5"/>
  <c r="L141" i="5"/>
  <c r="N141" i="5"/>
  <c r="O141" i="5"/>
  <c r="Z141" i="5"/>
  <c r="AN141" i="5"/>
  <c r="O142" i="5"/>
  <c r="K142" i="5"/>
  <c r="AG142" i="5"/>
  <c r="AF142" i="5"/>
  <c r="B204" i="4"/>
  <c r="C204" i="4"/>
  <c r="C142" i="5"/>
  <c r="D204" i="4"/>
  <c r="E142" i="5"/>
  <c r="I204" i="4"/>
  <c r="L142" i="5"/>
  <c r="J204" i="4"/>
  <c r="N142" i="5"/>
  <c r="L204" i="4"/>
  <c r="Q142" i="5"/>
  <c r="M204" i="4"/>
  <c r="R142" i="5"/>
  <c r="T142" i="5"/>
  <c r="U142" i="5"/>
  <c r="P204" i="4"/>
  <c r="W142" i="5"/>
  <c r="Q204" i="4"/>
  <c r="X142" i="5"/>
  <c r="AA142" i="5"/>
  <c r="AI204" i="4"/>
  <c r="T204" i="4" a="1"/>
  <c r="T204" i="4"/>
  <c r="AC142" i="5"/>
  <c r="U204" i="4" a="1"/>
  <c r="U204" i="4"/>
  <c r="AD142" i="5"/>
  <c r="X204" i="4"/>
  <c r="AI142" i="5"/>
  <c r="Y204" i="4"/>
  <c r="AJ142" i="5"/>
  <c r="Z204" i="4"/>
  <c r="AL142" i="5"/>
  <c r="F142" i="5"/>
  <c r="H142" i="5"/>
  <c r="I142" i="5"/>
  <c r="Z142" i="5"/>
  <c r="AN142" i="5"/>
  <c r="AG143" i="5"/>
  <c r="AF143" i="5"/>
  <c r="C158" i="4"/>
  <c r="C143" i="5"/>
  <c r="D158" i="4"/>
  <c r="E143" i="5"/>
  <c r="H158" i="4"/>
  <c r="K143" i="5"/>
  <c r="L158" i="4"/>
  <c r="Q143" i="5"/>
  <c r="M158" i="4"/>
  <c r="R143" i="5"/>
  <c r="T143" i="5"/>
  <c r="U143" i="5"/>
  <c r="P158" i="4"/>
  <c r="W143" i="5"/>
  <c r="Q158" i="4"/>
  <c r="X143" i="5"/>
  <c r="S158" i="4"/>
  <c r="AA143" i="5"/>
  <c r="AI158" i="4"/>
  <c r="T158" i="4" a="1"/>
  <c r="T158" i="4"/>
  <c r="AC143" i="5"/>
  <c r="U158" i="4" a="1"/>
  <c r="U158" i="4"/>
  <c r="AD143" i="5"/>
  <c r="X158" i="4"/>
  <c r="AI143" i="5"/>
  <c r="Y158" i="4"/>
  <c r="AJ143" i="5"/>
  <c r="Z158" i="4"/>
  <c r="AL143" i="5"/>
  <c r="F143" i="5"/>
  <c r="H143" i="5"/>
  <c r="I143" i="5"/>
  <c r="L143" i="5"/>
  <c r="N143" i="5"/>
  <c r="O143" i="5"/>
  <c r="Z143" i="5"/>
  <c r="AN143" i="5"/>
  <c r="O144" i="5"/>
  <c r="H224" i="4"/>
  <c r="K144" i="5"/>
  <c r="AG144" i="5"/>
  <c r="AF144" i="5"/>
  <c r="C224" i="4"/>
  <c r="C144" i="5"/>
  <c r="D224" i="4"/>
  <c r="E144" i="5"/>
  <c r="E224" i="4"/>
  <c r="F144" i="5"/>
  <c r="F224" i="4"/>
  <c r="H144" i="5"/>
  <c r="I144" i="5"/>
  <c r="I30" i="2"/>
  <c r="I224" i="4"/>
  <c r="L144" i="5"/>
  <c r="J30" i="2"/>
  <c r="J224" i="4"/>
  <c r="N144" i="5"/>
  <c r="L224" i="4"/>
  <c r="Q144" i="5"/>
  <c r="M224" i="4"/>
  <c r="R144" i="5"/>
  <c r="T144" i="5"/>
  <c r="O224" i="4"/>
  <c r="U144" i="5"/>
  <c r="P224" i="4"/>
  <c r="W144" i="5"/>
  <c r="Q224" i="4"/>
  <c r="X144" i="5"/>
  <c r="AA144" i="5"/>
  <c r="AI224" i="4"/>
  <c r="T224" i="4" a="1"/>
  <c r="T224" i="4"/>
  <c r="AC144" i="5"/>
  <c r="U224" i="4" a="1"/>
  <c r="U224" i="4"/>
  <c r="AD144" i="5"/>
  <c r="X224" i="4"/>
  <c r="AI144" i="5"/>
  <c r="Y224" i="4"/>
  <c r="AJ144" i="5"/>
  <c r="Z224" i="4"/>
  <c r="AL144" i="5"/>
  <c r="Z144" i="5"/>
  <c r="AN144" i="5"/>
  <c r="AG145" i="5"/>
  <c r="AF145" i="5"/>
  <c r="B252" i="4"/>
  <c r="C252" i="4"/>
  <c r="C145" i="5"/>
  <c r="D252" i="4"/>
  <c r="E145" i="5"/>
  <c r="E252" i="4"/>
  <c r="F145" i="5"/>
  <c r="F252" i="4"/>
  <c r="H145" i="5"/>
  <c r="I145" i="5"/>
  <c r="H252" i="4"/>
  <c r="K145" i="5"/>
  <c r="L252" i="4"/>
  <c r="Q145" i="5"/>
  <c r="M252" i="4"/>
  <c r="R145" i="5"/>
  <c r="T145" i="5"/>
  <c r="O252" i="4"/>
  <c r="U145" i="5"/>
  <c r="P252" i="4"/>
  <c r="W145" i="5"/>
  <c r="Q252" i="4"/>
  <c r="X145" i="5"/>
  <c r="S252" i="4"/>
  <c r="AA145" i="5"/>
  <c r="AI252" i="4"/>
  <c r="T252" i="4" a="1"/>
  <c r="T252" i="4"/>
  <c r="AC145" i="5"/>
  <c r="U252" i="4" a="1"/>
  <c r="U252" i="4"/>
  <c r="AD145" i="5"/>
  <c r="X252" i="4"/>
  <c r="AI145" i="5"/>
  <c r="Y252" i="4"/>
  <c r="AJ145" i="5"/>
  <c r="Z252" i="4"/>
  <c r="AL145" i="5"/>
  <c r="L145" i="5"/>
  <c r="N145" i="5"/>
  <c r="O145" i="5"/>
  <c r="Z145" i="5"/>
  <c r="AN145" i="5"/>
  <c r="AG146" i="5"/>
  <c r="AF146" i="5"/>
  <c r="B10" i="4"/>
  <c r="C10" i="4"/>
  <c r="C146" i="5"/>
  <c r="D10" i="4"/>
  <c r="E146" i="5"/>
  <c r="E10" i="4"/>
  <c r="F146" i="5"/>
  <c r="F10" i="4"/>
  <c r="H146" i="5"/>
  <c r="I146" i="5"/>
  <c r="H10" i="4"/>
  <c r="K146" i="5"/>
  <c r="L10" i="4"/>
  <c r="Q146" i="5"/>
  <c r="M10" i="4"/>
  <c r="R146" i="5"/>
  <c r="T146" i="5"/>
  <c r="O10" i="4"/>
  <c r="U146" i="5"/>
  <c r="P10" i="4"/>
  <c r="W146" i="5"/>
  <c r="Q10" i="4"/>
  <c r="X146" i="5"/>
  <c r="S10" i="4"/>
  <c r="AA146" i="5"/>
  <c r="AI10" i="4"/>
  <c r="T10" i="4" a="1"/>
  <c r="T10" i="4"/>
  <c r="AC146" i="5"/>
  <c r="U10" i="4" a="1"/>
  <c r="U10" i="4"/>
  <c r="AD146" i="5"/>
  <c r="X10" i="4"/>
  <c r="AI146" i="5"/>
  <c r="Y10" i="4"/>
  <c r="AJ146" i="5"/>
  <c r="Z10" i="4"/>
  <c r="AL146" i="5"/>
  <c r="L146" i="5"/>
  <c r="N146" i="5"/>
  <c r="O146" i="5"/>
  <c r="Z146" i="5"/>
  <c r="AN146" i="5"/>
  <c r="O147" i="5"/>
  <c r="K147" i="5"/>
  <c r="AG147" i="5"/>
  <c r="AF147" i="5"/>
  <c r="B21" i="4"/>
  <c r="C21" i="4"/>
  <c r="C147" i="5"/>
  <c r="D21" i="4"/>
  <c r="E147" i="5"/>
  <c r="I21" i="4"/>
  <c r="L147" i="5"/>
  <c r="J21" i="4"/>
  <c r="N147" i="5"/>
  <c r="L21" i="4"/>
  <c r="Q147" i="5"/>
  <c r="M21" i="4"/>
  <c r="R147" i="5"/>
  <c r="T147" i="5"/>
  <c r="U147" i="5"/>
  <c r="P21" i="4"/>
  <c r="W147" i="5"/>
  <c r="Q21" i="4"/>
  <c r="X147" i="5"/>
  <c r="AA147" i="5"/>
  <c r="AI21" i="4"/>
  <c r="T21" i="4" a="1"/>
  <c r="T21" i="4"/>
  <c r="AC147" i="5"/>
  <c r="U21" i="4" a="1"/>
  <c r="U21" i="4"/>
  <c r="AD147" i="5"/>
  <c r="X21" i="4"/>
  <c r="AI147" i="5"/>
  <c r="Y21" i="4"/>
  <c r="AJ147" i="5"/>
  <c r="Z21" i="4"/>
  <c r="AL147" i="5"/>
  <c r="F147" i="5"/>
  <c r="H147" i="5"/>
  <c r="I147" i="5"/>
  <c r="Z147" i="5"/>
  <c r="AN147" i="5"/>
  <c r="O148" i="5"/>
  <c r="K148" i="5"/>
  <c r="AG148" i="5"/>
  <c r="AF148" i="5"/>
  <c r="B253" i="4"/>
  <c r="C253" i="4"/>
  <c r="C148" i="5"/>
  <c r="D253" i="4"/>
  <c r="E148" i="5"/>
  <c r="E253" i="4"/>
  <c r="F148" i="5"/>
  <c r="F253" i="4"/>
  <c r="H148" i="5"/>
  <c r="I148" i="5"/>
  <c r="I253" i="4"/>
  <c r="L148" i="5"/>
  <c r="J253" i="4"/>
  <c r="N148" i="5"/>
  <c r="L253" i="4"/>
  <c r="Q148" i="5"/>
  <c r="M253" i="4"/>
  <c r="R148" i="5"/>
  <c r="T148" i="5"/>
  <c r="U148" i="5"/>
  <c r="P253" i="4"/>
  <c r="W148" i="5"/>
  <c r="Q253" i="4"/>
  <c r="X148" i="5"/>
  <c r="S253" i="4"/>
  <c r="AA148" i="5"/>
  <c r="AI253" i="4"/>
  <c r="T253" i="4" a="1"/>
  <c r="T253" i="4"/>
  <c r="AC148" i="5"/>
  <c r="U253" i="4" a="1"/>
  <c r="U253" i="4"/>
  <c r="AD148" i="5"/>
  <c r="X253" i="4"/>
  <c r="AI148" i="5"/>
  <c r="Y253" i="4"/>
  <c r="AJ148" i="5"/>
  <c r="Z253" i="4"/>
  <c r="AL148" i="5"/>
  <c r="Z148" i="5"/>
  <c r="AN148" i="5"/>
  <c r="B6" i="4"/>
  <c r="S6" i="4"/>
  <c r="AA149" i="5"/>
  <c r="P6" i="4"/>
  <c r="W149" i="5"/>
  <c r="AG149" i="5"/>
  <c r="AF149" i="5"/>
  <c r="C6" i="4"/>
  <c r="C149" i="5"/>
  <c r="D6" i="4"/>
  <c r="E149" i="5"/>
  <c r="K149" i="5"/>
  <c r="L6" i="4"/>
  <c r="Q149" i="5"/>
  <c r="U149" i="5"/>
  <c r="Q6" i="4"/>
  <c r="X149" i="5"/>
  <c r="R6" i="4"/>
  <c r="Z149" i="5"/>
  <c r="AI6" i="4"/>
  <c r="T6" i="4" a="1"/>
  <c r="T6" i="4"/>
  <c r="AC149" i="5"/>
  <c r="U6" i="4" a="1"/>
  <c r="U6" i="4"/>
  <c r="AD149" i="5"/>
  <c r="X6" i="4"/>
  <c r="AI149" i="5"/>
  <c r="Y6" i="4"/>
  <c r="AJ149" i="5"/>
  <c r="Z6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78" i="4"/>
  <c r="C78" i="4"/>
  <c r="C150" i="5"/>
  <c r="D78" i="4"/>
  <c r="E150" i="5"/>
  <c r="E78" i="4"/>
  <c r="F150" i="5"/>
  <c r="F78" i="4"/>
  <c r="H150" i="5"/>
  <c r="I150" i="5"/>
  <c r="H78" i="4"/>
  <c r="K150" i="5"/>
  <c r="L78" i="4"/>
  <c r="Q150" i="5"/>
  <c r="M78" i="4"/>
  <c r="R150" i="5"/>
  <c r="T150" i="5"/>
  <c r="O78" i="4"/>
  <c r="U150" i="5"/>
  <c r="P78" i="4"/>
  <c r="W150" i="5"/>
  <c r="Q78" i="4"/>
  <c r="X150" i="5"/>
  <c r="AA150" i="5"/>
  <c r="AI78" i="4"/>
  <c r="T78" i="4" a="1"/>
  <c r="T78" i="4"/>
  <c r="AC150" i="5"/>
  <c r="U78" i="4" a="1"/>
  <c r="U78" i="4"/>
  <c r="AD150" i="5"/>
  <c r="X78" i="4"/>
  <c r="AI150" i="5"/>
  <c r="Y78" i="4"/>
  <c r="AJ150" i="5"/>
  <c r="Z78" i="4"/>
  <c r="AL150" i="5"/>
  <c r="L150" i="5"/>
  <c r="N150" i="5"/>
  <c r="O150" i="5"/>
  <c r="Z150" i="5"/>
  <c r="AN150" i="5"/>
  <c r="O151" i="5"/>
  <c r="B44" i="4"/>
  <c r="H44" i="4"/>
  <c r="K151" i="5"/>
  <c r="AG151" i="5"/>
  <c r="AF151" i="5"/>
  <c r="C44" i="4"/>
  <c r="C151" i="5"/>
  <c r="D44" i="4"/>
  <c r="E151" i="5"/>
  <c r="I40" i="2"/>
  <c r="I44" i="4"/>
  <c r="L151" i="5"/>
  <c r="J40" i="2"/>
  <c r="J44" i="4"/>
  <c r="N151" i="5"/>
  <c r="L44" i="4"/>
  <c r="Q151" i="5"/>
  <c r="M44" i="4"/>
  <c r="R151" i="5"/>
  <c r="T151" i="5"/>
  <c r="U151" i="5"/>
  <c r="P44" i="4"/>
  <c r="W151" i="5"/>
  <c r="Q44" i="4"/>
  <c r="X151" i="5"/>
  <c r="S44" i="4"/>
  <c r="AA151" i="5"/>
  <c r="AI44" i="4"/>
  <c r="T44" i="4" a="1"/>
  <c r="T44" i="4"/>
  <c r="AC151" i="5"/>
  <c r="U44" i="4" a="1"/>
  <c r="U44" i="4"/>
  <c r="AD151" i="5"/>
  <c r="X44" i="4"/>
  <c r="AI151" i="5"/>
  <c r="Y44" i="4"/>
  <c r="AJ151" i="5"/>
  <c r="Z44" i="4"/>
  <c r="AL151" i="5"/>
  <c r="F151" i="5"/>
  <c r="H151" i="5"/>
  <c r="I151" i="5"/>
  <c r="Z151" i="5"/>
  <c r="AN151" i="5"/>
  <c r="S34" i="2"/>
  <c r="B214" i="4"/>
  <c r="S214" i="4"/>
  <c r="AA152" i="5"/>
  <c r="P34" i="2"/>
  <c r="P214" i="4"/>
  <c r="W152" i="5"/>
  <c r="AG152" i="5"/>
  <c r="AF152" i="5"/>
  <c r="C34" i="2"/>
  <c r="C214" i="4"/>
  <c r="C152" i="5"/>
  <c r="D34" i="2"/>
  <c r="D214" i="4"/>
  <c r="E152" i="5"/>
  <c r="E34" i="2"/>
  <c r="E214" i="4"/>
  <c r="F152" i="5"/>
  <c r="F34" i="2"/>
  <c r="F214" i="4"/>
  <c r="H152" i="5"/>
  <c r="I152" i="5"/>
  <c r="K152" i="5"/>
  <c r="L34" i="2"/>
  <c r="L214" i="4"/>
  <c r="Q152" i="5"/>
  <c r="M34" i="2"/>
  <c r="M214" i="4"/>
  <c r="R152" i="5"/>
  <c r="T152" i="5"/>
  <c r="O34" i="2"/>
  <c r="O214" i="4"/>
  <c r="U152" i="5"/>
  <c r="Q34" i="2"/>
  <c r="Q214" i="4"/>
  <c r="X152" i="5"/>
  <c r="R34" i="2"/>
  <c r="R35" i="2"/>
  <c r="R214" i="4"/>
  <c r="Z152" i="5"/>
  <c r="AI214" i="4"/>
  <c r="T214" i="4" a="1"/>
  <c r="T214" i="4"/>
  <c r="AC152" i="5"/>
  <c r="U214" i="4" a="1"/>
  <c r="U214" i="4"/>
  <c r="AD152" i="5"/>
  <c r="X34" i="2"/>
  <c r="X214" i="4"/>
  <c r="AI152" i="5"/>
  <c r="Y34" i="2"/>
  <c r="Y214" i="4"/>
  <c r="AJ152" i="5"/>
  <c r="Z34" i="2"/>
  <c r="Z214" i="4"/>
  <c r="AL152" i="5"/>
  <c r="L152" i="5"/>
  <c r="N152" i="5"/>
  <c r="O152" i="5"/>
  <c r="AN152" i="5"/>
  <c r="O153" i="5"/>
  <c r="B11" i="4"/>
  <c r="H11" i="4"/>
  <c r="K153" i="5"/>
  <c r="AG153" i="5"/>
  <c r="AF153" i="5"/>
  <c r="C11" i="4"/>
  <c r="C153" i="5"/>
  <c r="D11" i="4"/>
  <c r="E153" i="5"/>
  <c r="I11" i="4"/>
  <c r="L153" i="5"/>
  <c r="J11" i="4"/>
  <c r="N153" i="5"/>
  <c r="L11" i="4"/>
  <c r="Q153" i="5"/>
  <c r="M11" i="4"/>
  <c r="R153" i="5"/>
  <c r="T153" i="5"/>
  <c r="U153" i="5"/>
  <c r="P11" i="4"/>
  <c r="W153" i="5"/>
  <c r="Q11" i="4"/>
  <c r="X153" i="5"/>
  <c r="S11" i="4"/>
  <c r="AA153" i="5"/>
  <c r="AI11" i="4"/>
  <c r="T11" i="4" a="1"/>
  <c r="T11" i="4"/>
  <c r="AC153" i="5"/>
  <c r="U11" i="4" a="1"/>
  <c r="U11" i="4"/>
  <c r="AD153" i="5"/>
  <c r="X11" i="4"/>
  <c r="AI153" i="5"/>
  <c r="Y11" i="4"/>
  <c r="AJ153" i="5"/>
  <c r="Z11" i="4"/>
  <c r="AL153" i="5"/>
  <c r="F153" i="5"/>
  <c r="H153" i="5"/>
  <c r="I153" i="5"/>
  <c r="Z153" i="5"/>
  <c r="AN153" i="5"/>
  <c r="AG154" i="5"/>
  <c r="AF154" i="5"/>
  <c r="B79" i="4"/>
  <c r="C79" i="4"/>
  <c r="C154" i="5"/>
  <c r="D79" i="4"/>
  <c r="E154" i="5"/>
  <c r="H79" i="4"/>
  <c r="K154" i="5"/>
  <c r="L79" i="4"/>
  <c r="Q154" i="5"/>
  <c r="M79" i="4"/>
  <c r="R154" i="5"/>
  <c r="T154" i="5"/>
  <c r="O79" i="4"/>
  <c r="U154" i="5"/>
  <c r="P79" i="4"/>
  <c r="W154" i="5"/>
  <c r="Q79" i="4"/>
  <c r="X154" i="5"/>
  <c r="AA154" i="5"/>
  <c r="AI79" i="4"/>
  <c r="T79" i="4" a="1"/>
  <c r="T79" i="4"/>
  <c r="AC154" i="5"/>
  <c r="U79" i="4" a="1"/>
  <c r="U79" i="4"/>
  <c r="AD154" i="5"/>
  <c r="X79" i="4"/>
  <c r="AI154" i="5"/>
  <c r="Y79" i="4"/>
  <c r="AJ154" i="5"/>
  <c r="Z79" i="4"/>
  <c r="AL154" i="5"/>
  <c r="F154" i="5"/>
  <c r="H154" i="5"/>
  <c r="I154" i="5"/>
  <c r="L154" i="5"/>
  <c r="N154" i="5"/>
  <c r="O154" i="5"/>
  <c r="Z154" i="5"/>
  <c r="AN154" i="5"/>
  <c r="AG155" i="5"/>
  <c r="AF155" i="5"/>
  <c r="B254" i="4"/>
  <c r="C254" i="4"/>
  <c r="C155" i="5"/>
  <c r="D254" i="4"/>
  <c r="E155" i="5"/>
  <c r="E254" i="4"/>
  <c r="F155" i="5"/>
  <c r="F254" i="4"/>
  <c r="H155" i="5"/>
  <c r="I155" i="5"/>
  <c r="H254" i="4"/>
  <c r="K155" i="5"/>
  <c r="L254" i="4"/>
  <c r="Q155" i="5"/>
  <c r="M254" i="4"/>
  <c r="R155" i="5"/>
  <c r="T155" i="5"/>
  <c r="O254" i="4"/>
  <c r="U155" i="5"/>
  <c r="P254" i="4"/>
  <c r="W155" i="5"/>
  <c r="Q254" i="4"/>
  <c r="X155" i="5"/>
  <c r="S254" i="4"/>
  <c r="AA155" i="5"/>
  <c r="AI254" i="4"/>
  <c r="T254" i="4" a="1"/>
  <c r="T254" i="4"/>
  <c r="AC155" i="5"/>
  <c r="U254" i="4" a="1"/>
  <c r="U254" i="4"/>
  <c r="AD155" i="5"/>
  <c r="X254" i="4"/>
  <c r="AI155" i="5"/>
  <c r="Y254" i="4"/>
  <c r="AJ155" i="5"/>
  <c r="Z254" i="4"/>
  <c r="AL155" i="5"/>
  <c r="L155" i="5"/>
  <c r="N155" i="5"/>
  <c r="O155" i="5"/>
  <c r="Z155" i="5"/>
  <c r="AN155" i="5"/>
  <c r="AA156" i="5"/>
  <c r="B22" i="4"/>
  <c r="P22" i="4"/>
  <c r="W156" i="5"/>
  <c r="O156" i="5"/>
  <c r="H22" i="4"/>
  <c r="K156" i="5"/>
  <c r="AG156" i="5"/>
  <c r="AF156" i="5"/>
  <c r="C22" i="4"/>
  <c r="C156" i="5"/>
  <c r="D22" i="4"/>
  <c r="E156" i="5"/>
  <c r="I22" i="4"/>
  <c r="L156" i="5"/>
  <c r="J22" i="4"/>
  <c r="N156" i="5"/>
  <c r="L22" i="4"/>
  <c r="Q156" i="5"/>
  <c r="M22" i="4"/>
  <c r="R156" i="5"/>
  <c r="T156" i="5"/>
  <c r="O22" i="4"/>
  <c r="U156" i="5"/>
  <c r="Q22" i="4"/>
  <c r="X156" i="5"/>
  <c r="R40" i="2"/>
  <c r="R22" i="4"/>
  <c r="Z156" i="5"/>
  <c r="AI22" i="4"/>
  <c r="T22" i="4" a="1"/>
  <c r="T22" i="4"/>
  <c r="AC156" i="5"/>
  <c r="U22" i="4" a="1"/>
  <c r="U22" i="4"/>
  <c r="AD156" i="5"/>
  <c r="X22" i="4"/>
  <c r="AI156" i="5"/>
  <c r="Y22" i="4"/>
  <c r="AJ156" i="5"/>
  <c r="Z22" i="4"/>
  <c r="AL156" i="5"/>
  <c r="F156" i="5"/>
  <c r="H156" i="5"/>
  <c r="I156" i="5"/>
  <c r="AN156" i="5"/>
  <c r="AG157" i="5"/>
  <c r="AF157" i="5"/>
  <c r="B193" i="4"/>
  <c r="C193" i="4"/>
  <c r="C157" i="5"/>
  <c r="D193" i="4"/>
  <c r="E157" i="5"/>
  <c r="H193" i="4"/>
  <c r="K157" i="5"/>
  <c r="L193" i="4"/>
  <c r="Q157" i="5"/>
  <c r="M193" i="4"/>
  <c r="R157" i="5"/>
  <c r="T157" i="5"/>
  <c r="U157" i="5"/>
  <c r="P193" i="4"/>
  <c r="W157" i="5"/>
  <c r="Q193" i="4"/>
  <c r="X157" i="5"/>
  <c r="S193" i="4"/>
  <c r="AA157" i="5"/>
  <c r="AI193" i="4"/>
  <c r="T193" i="4" a="1"/>
  <c r="T193" i="4"/>
  <c r="AC157" i="5"/>
  <c r="U193" i="4" a="1"/>
  <c r="U193" i="4"/>
  <c r="AD157" i="5"/>
  <c r="X193" i="4"/>
  <c r="AI157" i="5"/>
  <c r="Y193" i="4"/>
  <c r="AJ157" i="5"/>
  <c r="Z193" i="4"/>
  <c r="AL157" i="5"/>
  <c r="F157" i="5"/>
  <c r="H157" i="5"/>
  <c r="I157" i="5"/>
  <c r="L157" i="5"/>
  <c r="N157" i="5"/>
  <c r="O157" i="5"/>
  <c r="Z157" i="5"/>
  <c r="AN157" i="5"/>
  <c r="AG158" i="5"/>
  <c r="AF158" i="5"/>
  <c r="B194" i="4"/>
  <c r="C194" i="4"/>
  <c r="C158" i="5"/>
  <c r="D194" i="4"/>
  <c r="E158" i="5"/>
  <c r="E194" i="4"/>
  <c r="F158" i="5"/>
  <c r="F194" i="4"/>
  <c r="H158" i="5"/>
  <c r="I158" i="5"/>
  <c r="H194" i="4"/>
  <c r="K158" i="5"/>
  <c r="L194" i="4"/>
  <c r="Q158" i="5"/>
  <c r="M194" i="4"/>
  <c r="R158" i="5"/>
  <c r="T158" i="5"/>
  <c r="O194" i="4"/>
  <c r="U158" i="5"/>
  <c r="P194" i="4"/>
  <c r="W158" i="5"/>
  <c r="Q194" i="4"/>
  <c r="X158" i="5"/>
  <c r="S194" i="4"/>
  <c r="AA158" i="5"/>
  <c r="AI194" i="4"/>
  <c r="T194" i="4" a="1"/>
  <c r="T194" i="4"/>
  <c r="AC158" i="5"/>
  <c r="U194" i="4" a="1"/>
  <c r="U194" i="4"/>
  <c r="AD158" i="5"/>
  <c r="X194" i="4"/>
  <c r="AI158" i="5"/>
  <c r="Y194" i="4"/>
  <c r="AJ158" i="5"/>
  <c r="Z194" i="4"/>
  <c r="AL158" i="5"/>
  <c r="L158" i="5"/>
  <c r="N158" i="5"/>
  <c r="O158" i="5"/>
  <c r="Z158" i="5"/>
  <c r="AN158" i="5"/>
  <c r="AG159" i="5"/>
  <c r="AF159" i="5"/>
  <c r="B279" i="4"/>
  <c r="C279" i="4"/>
  <c r="C159" i="5"/>
  <c r="D279" i="4"/>
  <c r="E159" i="5"/>
  <c r="E279" i="4"/>
  <c r="F159" i="5"/>
  <c r="F279" i="4"/>
  <c r="H159" i="5"/>
  <c r="I159" i="5"/>
  <c r="H279" i="4"/>
  <c r="K159" i="5"/>
  <c r="L279" i="4"/>
  <c r="Q159" i="5"/>
  <c r="M279" i="4"/>
  <c r="R159" i="5"/>
  <c r="T159" i="5"/>
  <c r="O279" i="4"/>
  <c r="U159" i="5"/>
  <c r="P279" i="4"/>
  <c r="W159" i="5"/>
  <c r="Q279" i="4"/>
  <c r="X159" i="5"/>
  <c r="S279" i="4"/>
  <c r="AA159" i="5"/>
  <c r="AI279" i="4"/>
  <c r="T279" i="4" a="1"/>
  <c r="T279" i="4"/>
  <c r="AC159" i="5"/>
  <c r="U279" i="4" a="1"/>
  <c r="U279" i="4"/>
  <c r="AD159" i="5"/>
  <c r="X279" i="4"/>
  <c r="AI159" i="5"/>
  <c r="Y279" i="4"/>
  <c r="AJ159" i="5"/>
  <c r="Z279" i="4"/>
  <c r="AL159" i="5"/>
  <c r="L159" i="5"/>
  <c r="N159" i="5"/>
  <c r="O159" i="5"/>
  <c r="Z159" i="5"/>
  <c r="AN159" i="5"/>
  <c r="AG160" i="5"/>
  <c r="AF160" i="5"/>
  <c r="B280" i="4"/>
  <c r="C280" i="4"/>
  <c r="C160" i="5"/>
  <c r="D280" i="4"/>
  <c r="E160" i="5"/>
  <c r="E280" i="4"/>
  <c r="F160" i="5"/>
  <c r="F280" i="4"/>
  <c r="H160" i="5"/>
  <c r="I160" i="5"/>
  <c r="H280" i="4"/>
  <c r="K160" i="5"/>
  <c r="L280" i="4"/>
  <c r="Q160" i="5"/>
  <c r="M280" i="4"/>
  <c r="R160" i="5"/>
  <c r="T160" i="5"/>
  <c r="O280" i="4"/>
  <c r="U160" i="5"/>
  <c r="P280" i="4"/>
  <c r="W160" i="5"/>
  <c r="Q280" i="4"/>
  <c r="X160" i="5"/>
  <c r="S280" i="4"/>
  <c r="AA160" i="5"/>
  <c r="AI280" i="4"/>
  <c r="T280" i="4" a="1"/>
  <c r="T280" i="4"/>
  <c r="AC160" i="5"/>
  <c r="U280" i="4" a="1"/>
  <c r="U280" i="4"/>
  <c r="AD160" i="5"/>
  <c r="X280" i="4"/>
  <c r="AI160" i="5"/>
  <c r="Y280" i="4"/>
  <c r="AJ160" i="5"/>
  <c r="Z280" i="4"/>
  <c r="AL160" i="5"/>
  <c r="L160" i="5"/>
  <c r="N160" i="5"/>
  <c r="O160" i="5"/>
  <c r="Z160" i="5"/>
  <c r="AN160" i="5"/>
  <c r="AG161" i="5"/>
  <c r="AF161" i="5"/>
  <c r="B46" i="4"/>
  <c r="C46" i="4"/>
  <c r="C161" i="5"/>
  <c r="D46" i="4"/>
  <c r="E161" i="5"/>
  <c r="H46" i="4"/>
  <c r="K161" i="5"/>
  <c r="L46" i="4"/>
  <c r="Q161" i="5"/>
  <c r="M46" i="4"/>
  <c r="R161" i="5"/>
  <c r="N27" i="2"/>
  <c r="N46" i="4"/>
  <c r="T161" i="5"/>
  <c r="O46" i="4"/>
  <c r="U161" i="5"/>
  <c r="P46" i="4"/>
  <c r="W161" i="5"/>
  <c r="Q46" i="4"/>
  <c r="X161" i="5"/>
  <c r="AA161" i="5"/>
  <c r="AI46" i="4"/>
  <c r="T46" i="4" a="1"/>
  <c r="T46" i="4"/>
  <c r="AC161" i="5"/>
  <c r="U46" i="4" a="1"/>
  <c r="U46" i="4"/>
  <c r="AD161" i="5"/>
  <c r="X46" i="4"/>
  <c r="AI161" i="5"/>
  <c r="Y46" i="4"/>
  <c r="AJ161" i="5"/>
  <c r="Z46" i="4"/>
  <c r="AL161" i="5"/>
  <c r="F161" i="5"/>
  <c r="H161" i="5"/>
  <c r="I161" i="5"/>
  <c r="L161" i="5"/>
  <c r="N161" i="5"/>
  <c r="O161" i="5"/>
  <c r="Z161" i="5"/>
  <c r="AN161" i="5"/>
  <c r="AG162" i="5"/>
  <c r="AF162" i="5"/>
  <c r="B80" i="4"/>
  <c r="C80" i="4"/>
  <c r="C162" i="5"/>
  <c r="D80" i="4"/>
  <c r="E162" i="5"/>
  <c r="H80" i="4"/>
  <c r="K162" i="5"/>
  <c r="L80" i="4"/>
  <c r="Q162" i="5"/>
  <c r="M80" i="4"/>
  <c r="R162" i="5"/>
  <c r="T162" i="5"/>
  <c r="U162" i="5"/>
  <c r="P80" i="4"/>
  <c r="W162" i="5"/>
  <c r="Q80" i="4"/>
  <c r="X162" i="5"/>
  <c r="AA162" i="5"/>
  <c r="AI80" i="4"/>
  <c r="T80" i="4" a="1"/>
  <c r="T80" i="4"/>
  <c r="AC162" i="5"/>
  <c r="U80" i="4" a="1"/>
  <c r="U80" i="4"/>
  <c r="AD162" i="5"/>
  <c r="Y80" i="4"/>
  <c r="AJ162" i="5"/>
  <c r="Z80" i="4"/>
  <c r="AL162" i="5"/>
  <c r="F162" i="5"/>
  <c r="H162" i="5"/>
  <c r="I162" i="5"/>
  <c r="L162" i="5"/>
  <c r="N162" i="5"/>
  <c r="O162" i="5"/>
  <c r="Z162" i="5"/>
  <c r="AN162" i="5"/>
  <c r="AG163" i="5"/>
  <c r="AF163" i="5"/>
  <c r="B215" i="4"/>
  <c r="C215" i="4"/>
  <c r="C163" i="5"/>
  <c r="D215" i="4"/>
  <c r="E163" i="5"/>
  <c r="H215" i="4"/>
  <c r="K163" i="5"/>
  <c r="L215" i="4"/>
  <c r="Q163" i="5"/>
  <c r="M215" i="4"/>
  <c r="R163" i="5"/>
  <c r="T163" i="5"/>
  <c r="O215" i="4"/>
  <c r="U163" i="5"/>
  <c r="P215" i="4"/>
  <c r="W163" i="5"/>
  <c r="Q215" i="4"/>
  <c r="X163" i="5"/>
  <c r="S215" i="4"/>
  <c r="AA163" i="5"/>
  <c r="AI215" i="4"/>
  <c r="T215" i="4" a="1"/>
  <c r="T215" i="4"/>
  <c r="AC163" i="5"/>
  <c r="U215" i="4" a="1"/>
  <c r="U215" i="4"/>
  <c r="AD163" i="5"/>
  <c r="X215" i="4"/>
  <c r="AI163" i="5"/>
  <c r="Y215" i="4"/>
  <c r="AJ163" i="5"/>
  <c r="Z215" i="4"/>
  <c r="AL163" i="5"/>
  <c r="F163" i="5"/>
  <c r="H163" i="5"/>
  <c r="I163" i="5"/>
  <c r="L163" i="5"/>
  <c r="N163" i="5"/>
  <c r="O163" i="5"/>
  <c r="Z163" i="5"/>
  <c r="AN163" i="5"/>
  <c r="O164" i="5"/>
  <c r="K164" i="5"/>
  <c r="AG164" i="5"/>
  <c r="AF164" i="5"/>
  <c r="B82" i="4"/>
  <c r="C82" i="4"/>
  <c r="C164" i="5"/>
  <c r="D82" i="4"/>
  <c r="E164" i="5"/>
  <c r="E82" i="4"/>
  <c r="F164" i="5"/>
  <c r="F82" i="4"/>
  <c r="H164" i="5"/>
  <c r="I164" i="5"/>
  <c r="I18" i="2"/>
  <c r="I82" i="4"/>
  <c r="L164" i="5"/>
  <c r="J18" i="2"/>
  <c r="J82" i="4"/>
  <c r="N164" i="5"/>
  <c r="L82" i="4"/>
  <c r="Q164" i="5"/>
  <c r="M82" i="4"/>
  <c r="R164" i="5"/>
  <c r="T164" i="5"/>
  <c r="O82" i="4"/>
  <c r="U164" i="5"/>
  <c r="P82" i="4"/>
  <c r="W164" i="5"/>
  <c r="Q82" i="4"/>
  <c r="X164" i="5"/>
  <c r="S82" i="4"/>
  <c r="AA164" i="5"/>
  <c r="AI82" i="4"/>
  <c r="T82" i="4" a="1"/>
  <c r="T82" i="4"/>
  <c r="AC164" i="5"/>
  <c r="U82" i="4" a="1"/>
  <c r="U82" i="4"/>
  <c r="AD164" i="5"/>
  <c r="X82" i="4"/>
  <c r="AI164" i="5"/>
  <c r="Y82" i="4"/>
  <c r="AJ164" i="5"/>
  <c r="Z82" i="4"/>
  <c r="AL164" i="5"/>
  <c r="Z164" i="5"/>
  <c r="AN164" i="5"/>
  <c r="O165" i="5"/>
  <c r="B83" i="4"/>
  <c r="H83" i="4"/>
  <c r="K165" i="5"/>
  <c r="AG165" i="5"/>
  <c r="AF165" i="5"/>
  <c r="C83" i="4"/>
  <c r="C165" i="5"/>
  <c r="D83" i="4"/>
  <c r="E165" i="5"/>
  <c r="E15" i="2"/>
  <c r="E83" i="4"/>
  <c r="F165" i="5"/>
  <c r="F15" i="2"/>
  <c r="F83" i="4"/>
  <c r="H165" i="5"/>
  <c r="I165" i="5"/>
  <c r="L165" i="5"/>
  <c r="J15" i="2"/>
  <c r="J83" i="4"/>
  <c r="N165" i="5"/>
  <c r="L83" i="4"/>
  <c r="Q165" i="5"/>
  <c r="M83" i="4"/>
  <c r="R165" i="5"/>
  <c r="T165" i="5"/>
  <c r="O83" i="4"/>
  <c r="U165" i="5"/>
  <c r="P83" i="4"/>
  <c r="W165" i="5"/>
  <c r="Q83" i="4"/>
  <c r="X165" i="5"/>
  <c r="S83" i="4"/>
  <c r="AA165" i="5"/>
  <c r="AI83" i="4"/>
  <c r="T83" i="4" a="1"/>
  <c r="T83" i="4"/>
  <c r="AC165" i="5"/>
  <c r="U83" i="4" a="1"/>
  <c r="U83" i="4"/>
  <c r="AD165" i="5"/>
  <c r="X83" i="4"/>
  <c r="AI165" i="5"/>
  <c r="Y83" i="4"/>
  <c r="AJ165" i="5"/>
  <c r="Z83" i="4"/>
  <c r="AL165" i="5"/>
  <c r="Z165" i="5"/>
  <c r="AN165" i="5"/>
  <c r="O166" i="5"/>
  <c r="B84" i="4"/>
  <c r="H84" i="4"/>
  <c r="K166" i="5"/>
  <c r="AG166" i="5"/>
  <c r="AF166" i="5"/>
  <c r="C84" i="4"/>
  <c r="C166" i="5"/>
  <c r="D84" i="4"/>
  <c r="E166" i="5"/>
  <c r="E84" i="4"/>
  <c r="F166" i="5"/>
  <c r="F84" i="4"/>
  <c r="H166" i="5"/>
  <c r="I166" i="5"/>
  <c r="I16" i="2"/>
  <c r="I84" i="4"/>
  <c r="L166" i="5"/>
  <c r="J16" i="2"/>
  <c r="J84" i="4"/>
  <c r="N166" i="5"/>
  <c r="L84" i="4"/>
  <c r="Q166" i="5"/>
  <c r="M84" i="4"/>
  <c r="R166" i="5"/>
  <c r="T166" i="5"/>
  <c r="O84" i="4"/>
  <c r="U166" i="5"/>
  <c r="P84" i="4"/>
  <c r="W166" i="5"/>
  <c r="Q84" i="4"/>
  <c r="X166" i="5"/>
  <c r="AA166" i="5"/>
  <c r="AI84" i="4"/>
  <c r="T84" i="4" a="1"/>
  <c r="T84" i="4"/>
  <c r="AC166" i="5"/>
  <c r="U84" i="4" a="1"/>
  <c r="U84" i="4"/>
  <c r="AD166" i="5"/>
  <c r="AI166" i="5"/>
  <c r="Y84" i="4"/>
  <c r="AJ166" i="5"/>
  <c r="Z84" i="4"/>
  <c r="AL166" i="5"/>
  <c r="Z166" i="5"/>
  <c r="AN166" i="5"/>
  <c r="AG167" i="5"/>
  <c r="AF167" i="5"/>
  <c r="B255" i="4"/>
  <c r="C255" i="4"/>
  <c r="C167" i="5"/>
  <c r="D255" i="4"/>
  <c r="E167" i="5"/>
  <c r="K167" i="5"/>
  <c r="L255" i="4"/>
  <c r="Q167" i="5"/>
  <c r="M255" i="4"/>
  <c r="R167" i="5"/>
  <c r="T167" i="5"/>
  <c r="U167" i="5"/>
  <c r="P255" i="4"/>
  <c r="W167" i="5"/>
  <c r="Q255" i="4"/>
  <c r="X167" i="5"/>
  <c r="S255" i="4"/>
  <c r="AA167" i="5"/>
  <c r="AI255" i="4"/>
  <c r="T255" i="4" a="1"/>
  <c r="T255" i="4"/>
  <c r="AC167" i="5"/>
  <c r="U255" i="4" a="1"/>
  <c r="U255" i="4"/>
  <c r="AD167" i="5"/>
  <c r="X255" i="4"/>
  <c r="AI167" i="5"/>
  <c r="Y255" i="4"/>
  <c r="AJ167" i="5"/>
  <c r="Z255" i="4"/>
  <c r="AL167" i="5"/>
  <c r="F167" i="5"/>
  <c r="H167" i="5"/>
  <c r="I167" i="5"/>
  <c r="L167" i="5"/>
  <c r="N167" i="5"/>
  <c r="O167" i="5"/>
  <c r="Z167" i="5"/>
  <c r="AN167" i="5"/>
  <c r="AG168" i="5"/>
  <c r="AF168" i="5"/>
  <c r="B281" i="4"/>
  <c r="C281" i="4"/>
  <c r="C168" i="5"/>
  <c r="D281" i="4"/>
  <c r="E168" i="5"/>
  <c r="K168" i="5"/>
  <c r="L281" i="4"/>
  <c r="Q168" i="5"/>
  <c r="M281" i="4"/>
  <c r="R168" i="5"/>
  <c r="T168" i="5"/>
  <c r="U168" i="5"/>
  <c r="P281" i="4"/>
  <c r="W168" i="5"/>
  <c r="Q281" i="4"/>
  <c r="X168" i="5"/>
  <c r="S281" i="4"/>
  <c r="AA168" i="5"/>
  <c r="AI281" i="4"/>
  <c r="T281" i="4" a="1"/>
  <c r="T281" i="4"/>
  <c r="AC168" i="5"/>
  <c r="U281" i="4" a="1"/>
  <c r="U281" i="4"/>
  <c r="AD168" i="5"/>
  <c r="X281" i="4"/>
  <c r="AI168" i="5"/>
  <c r="Y281" i="4"/>
  <c r="AJ168" i="5"/>
  <c r="Z281" i="4"/>
  <c r="AL168" i="5"/>
  <c r="F168" i="5"/>
  <c r="H168" i="5"/>
  <c r="I168" i="5"/>
  <c r="L168" i="5"/>
  <c r="N168" i="5"/>
  <c r="O168" i="5"/>
  <c r="Z168" i="5"/>
  <c r="AN168" i="5"/>
  <c r="AG169" i="5"/>
  <c r="AF169" i="5"/>
  <c r="B256" i="4"/>
  <c r="C256" i="4"/>
  <c r="C169" i="5"/>
  <c r="E169" i="5"/>
  <c r="K169" i="5"/>
  <c r="L256" i="4"/>
  <c r="Q169" i="5"/>
  <c r="M256" i="4"/>
  <c r="R169" i="5"/>
  <c r="T169" i="5"/>
  <c r="O256" i="4"/>
  <c r="U169" i="5"/>
  <c r="P256" i="4"/>
  <c r="W169" i="5"/>
  <c r="Q256" i="4"/>
  <c r="X169" i="5"/>
  <c r="S256" i="4"/>
  <c r="AA169" i="5"/>
  <c r="AI256" i="4"/>
  <c r="T256" i="4" a="1"/>
  <c r="T256" i="4"/>
  <c r="AC169" i="5"/>
  <c r="U256" i="4" a="1"/>
  <c r="U256" i="4"/>
  <c r="AD169" i="5"/>
  <c r="X256" i="4"/>
  <c r="AI169" i="5"/>
  <c r="Y256" i="4"/>
  <c r="AJ169" i="5"/>
  <c r="Z256" i="4"/>
  <c r="AL169" i="5"/>
  <c r="F169" i="5"/>
  <c r="H169" i="5"/>
  <c r="I169" i="5"/>
  <c r="L169" i="5"/>
  <c r="N169" i="5"/>
  <c r="O169" i="5"/>
  <c r="Z169" i="5"/>
  <c r="AN169" i="5"/>
  <c r="AG170" i="5"/>
  <c r="AF170" i="5"/>
  <c r="B87" i="4"/>
  <c r="C87" i="4"/>
  <c r="C170" i="5"/>
  <c r="D87" i="4"/>
  <c r="E170" i="5"/>
  <c r="H87" i="4"/>
  <c r="K170" i="5"/>
  <c r="L87" i="4"/>
  <c r="Q170" i="5"/>
  <c r="M87" i="4"/>
  <c r="R170" i="5"/>
  <c r="T170" i="5"/>
  <c r="O87" i="4"/>
  <c r="U170" i="5"/>
  <c r="P87" i="4"/>
  <c r="W170" i="5"/>
  <c r="Q87" i="4"/>
  <c r="X170" i="5"/>
  <c r="S87" i="4"/>
  <c r="AA170" i="5"/>
  <c r="AI87" i="4"/>
  <c r="T87" i="4" a="1"/>
  <c r="T87" i="4"/>
  <c r="AC170" i="5"/>
  <c r="U87" i="4" a="1"/>
  <c r="U87" i="4"/>
  <c r="AD170" i="5"/>
  <c r="X87" i="4"/>
  <c r="AI170" i="5"/>
  <c r="Y87" i="4"/>
  <c r="AJ170" i="5"/>
  <c r="Z87" i="4"/>
  <c r="AL170" i="5"/>
  <c r="F170" i="5"/>
  <c r="H170" i="5"/>
  <c r="I170" i="5"/>
  <c r="L170" i="5"/>
  <c r="N170" i="5"/>
  <c r="O170" i="5"/>
  <c r="Z170" i="5"/>
  <c r="AN170" i="5"/>
  <c r="F171" i="5"/>
  <c r="H171" i="5"/>
  <c r="I171" i="5"/>
  <c r="L171" i="5"/>
  <c r="N171" i="5"/>
  <c r="O171" i="5"/>
  <c r="Z171" i="5"/>
  <c r="AG172" i="5"/>
  <c r="AF172" i="5"/>
  <c r="B291" i="4"/>
  <c r="C291" i="4"/>
  <c r="C172" i="5"/>
  <c r="D291" i="4"/>
  <c r="E172" i="5"/>
  <c r="K172" i="5"/>
  <c r="L291" i="4"/>
  <c r="Q172" i="5"/>
  <c r="M291" i="4"/>
  <c r="R172" i="5"/>
  <c r="T172" i="5"/>
  <c r="U172" i="5"/>
  <c r="P291" i="4"/>
  <c r="W172" i="5"/>
  <c r="Q291" i="4"/>
  <c r="X172" i="5"/>
  <c r="AA172" i="5"/>
  <c r="AI291" i="4"/>
  <c r="T291" i="4" a="1"/>
  <c r="T291" i="4"/>
  <c r="AC172" i="5"/>
  <c r="U291" i="4" a="1"/>
  <c r="U291" i="4"/>
  <c r="AD172" i="5"/>
  <c r="AI172" i="5"/>
  <c r="Y291" i="4"/>
  <c r="AJ172" i="5"/>
  <c r="Z291" i="4"/>
  <c r="AL172" i="5"/>
  <c r="F172" i="5"/>
  <c r="H172" i="5"/>
  <c r="I172" i="5"/>
  <c r="L172" i="5"/>
  <c r="N172" i="5"/>
  <c r="O172" i="5"/>
  <c r="Z172" i="5"/>
  <c r="AN172" i="5"/>
  <c r="B23" i="4"/>
  <c r="S23" i="4"/>
  <c r="AA173" i="5"/>
  <c r="P23" i="4"/>
  <c r="W173" i="5"/>
  <c r="O173" i="5"/>
  <c r="K173" i="5"/>
  <c r="AG173" i="5"/>
  <c r="AF173" i="5"/>
  <c r="C23" i="4"/>
  <c r="C173" i="5"/>
  <c r="D23" i="4"/>
  <c r="E173" i="5"/>
  <c r="E23" i="4"/>
  <c r="F173" i="5"/>
  <c r="F23" i="4"/>
  <c r="H173" i="5"/>
  <c r="I173" i="5"/>
  <c r="L23" i="4"/>
  <c r="Q173" i="5"/>
  <c r="M23" i="4"/>
  <c r="R173" i="5"/>
  <c r="T173" i="5"/>
  <c r="O23" i="4"/>
  <c r="U173" i="5"/>
  <c r="Q23" i="4"/>
  <c r="X173" i="5"/>
  <c r="R18" i="2"/>
  <c r="R23" i="4"/>
  <c r="Z173" i="5"/>
  <c r="AI23" i="4"/>
  <c r="T23" i="4" a="1"/>
  <c r="T23" i="4"/>
  <c r="AC173" i="5"/>
  <c r="U23" i="4" a="1"/>
  <c r="U23" i="4"/>
  <c r="AD173" i="5"/>
  <c r="X23" i="4"/>
  <c r="AI173" i="5"/>
  <c r="Y23" i="4"/>
  <c r="AJ173" i="5"/>
  <c r="Z23" i="4"/>
  <c r="AL173" i="5"/>
  <c r="AN173" i="5"/>
  <c r="B7" i="4"/>
  <c r="S7" i="4"/>
  <c r="AA174" i="5"/>
  <c r="P7" i="4"/>
  <c r="W174" i="5"/>
  <c r="O174" i="5"/>
  <c r="H2" i="2"/>
  <c r="H7" i="4"/>
  <c r="K174" i="5"/>
  <c r="AG174" i="5"/>
  <c r="AF174" i="5"/>
  <c r="C7" i="4"/>
  <c r="C174" i="5"/>
  <c r="D7" i="4"/>
  <c r="E174" i="5"/>
  <c r="E2" i="2"/>
  <c r="E7" i="4"/>
  <c r="F174" i="5"/>
  <c r="F2" i="2"/>
  <c r="F7" i="4"/>
  <c r="H174" i="5"/>
  <c r="I174" i="5"/>
  <c r="I2" i="2"/>
  <c r="I7" i="4"/>
  <c r="L174" i="5"/>
  <c r="J2" i="2"/>
  <c r="J7" i="4"/>
  <c r="N174" i="5"/>
  <c r="L7" i="4"/>
  <c r="Q174" i="5"/>
  <c r="M7" i="4"/>
  <c r="R174" i="5"/>
  <c r="T174" i="5"/>
  <c r="U174" i="5"/>
  <c r="Q7" i="4"/>
  <c r="X174" i="5"/>
  <c r="R2" i="2"/>
  <c r="R7" i="4"/>
  <c r="Z174" i="5"/>
  <c r="AI7" i="4"/>
  <c r="T7" i="4" a="1"/>
  <c r="T7" i="4"/>
  <c r="AC174" i="5"/>
  <c r="U7" i="4" a="1"/>
  <c r="U7" i="4"/>
  <c r="AD174" i="5"/>
  <c r="X7" i="4"/>
  <c r="AI174" i="5"/>
  <c r="Y7" i="4"/>
  <c r="AJ174" i="5"/>
  <c r="Z7" i="4"/>
  <c r="AL174" i="5"/>
  <c r="AN174" i="5"/>
  <c r="AA175" i="5"/>
  <c r="P161" i="4"/>
  <c r="W175" i="5"/>
  <c r="O175" i="5"/>
  <c r="K175" i="5"/>
  <c r="AG175" i="5"/>
  <c r="AF175" i="5"/>
  <c r="C161" i="4"/>
  <c r="C175" i="5"/>
  <c r="D161" i="4"/>
  <c r="E175" i="5"/>
  <c r="L175" i="5"/>
  <c r="N175" i="5"/>
  <c r="L161" i="4"/>
  <c r="Q175" i="5"/>
  <c r="O161" i="4"/>
  <c r="U175" i="5"/>
  <c r="Q161" i="4"/>
  <c r="X175" i="5"/>
  <c r="R161" i="4"/>
  <c r="Z175" i="5"/>
  <c r="AI161" i="4"/>
  <c r="T161" i="4" a="1"/>
  <c r="T161" i="4"/>
  <c r="AC175" i="5"/>
  <c r="AD175" i="5"/>
  <c r="X161" i="4"/>
  <c r="AI175" i="5"/>
  <c r="Y161" i="4"/>
  <c r="AJ175" i="5"/>
  <c r="Z161" i="4"/>
  <c r="AL175" i="5"/>
  <c r="F175" i="5"/>
  <c r="R175" i="5"/>
  <c r="T175" i="5"/>
  <c r="H175" i="5"/>
  <c r="I175" i="5"/>
  <c r="AN175" i="5"/>
  <c r="AA176" i="5"/>
  <c r="P162" i="4"/>
  <c r="W176" i="5"/>
  <c r="O176" i="5"/>
  <c r="K176" i="5"/>
  <c r="AG176" i="5"/>
  <c r="AF176" i="5"/>
  <c r="C162" i="4"/>
  <c r="C176" i="5"/>
  <c r="D162" i="4"/>
  <c r="E176" i="5"/>
  <c r="L176" i="5"/>
  <c r="N176" i="5"/>
  <c r="L162" i="4"/>
  <c r="Q176" i="5"/>
  <c r="O162" i="4"/>
  <c r="U176" i="5"/>
  <c r="Q162" i="4"/>
  <c r="X176" i="5"/>
  <c r="R162" i="4"/>
  <c r="Z176" i="5"/>
  <c r="AI162" i="4"/>
  <c r="T162" i="4" a="1"/>
  <c r="T162" i="4"/>
  <c r="AC176" i="5"/>
  <c r="AD176" i="5"/>
  <c r="X162" i="4"/>
  <c r="AI176" i="5"/>
  <c r="Y162" i="4"/>
  <c r="AJ176" i="5"/>
  <c r="Z162" i="4"/>
  <c r="AL176" i="5"/>
  <c r="F176" i="5"/>
  <c r="R176" i="5"/>
  <c r="T176" i="5"/>
  <c r="H176" i="5"/>
  <c r="I176" i="5"/>
  <c r="AN176" i="5"/>
  <c r="AA177" i="5"/>
  <c r="P163" i="4"/>
  <c r="W177" i="5"/>
  <c r="O177" i="5"/>
  <c r="H163" i="4"/>
  <c r="K177" i="5"/>
  <c r="AG177" i="5"/>
  <c r="AF177" i="5"/>
  <c r="C163" i="4"/>
  <c r="C177" i="5"/>
  <c r="D163" i="4"/>
  <c r="E177" i="5"/>
  <c r="L177" i="5"/>
  <c r="J163" i="4"/>
  <c r="N177" i="5"/>
  <c r="L163" i="4"/>
  <c r="Q177" i="5"/>
  <c r="M163" i="4"/>
  <c r="R177" i="5"/>
  <c r="T177" i="5"/>
  <c r="O163" i="4"/>
  <c r="U177" i="5"/>
  <c r="Q163" i="4"/>
  <c r="X177" i="5"/>
  <c r="R163" i="4"/>
  <c r="Z177" i="5"/>
  <c r="AI163" i="4"/>
  <c r="T163" i="4" a="1"/>
  <c r="T163" i="4"/>
  <c r="AC177" i="5"/>
  <c r="AD177" i="5"/>
  <c r="X163" i="4"/>
  <c r="AI177" i="5"/>
  <c r="Y163" i="4"/>
  <c r="AJ177" i="5"/>
  <c r="Z163" i="4"/>
  <c r="AL177" i="5"/>
  <c r="F177" i="5"/>
  <c r="H177" i="5"/>
  <c r="I177" i="5"/>
  <c r="AN177" i="5"/>
  <c r="AG178" i="5"/>
  <c r="AF178" i="5"/>
  <c r="B111" i="4"/>
  <c r="C111" i="4"/>
  <c r="C178" i="5"/>
  <c r="D111" i="4"/>
  <c r="E178" i="5"/>
  <c r="H111" i="4"/>
  <c r="K178" i="5"/>
  <c r="L111" i="4"/>
  <c r="Q178" i="5"/>
  <c r="M111" i="4"/>
  <c r="R178" i="5"/>
  <c r="T178" i="5"/>
  <c r="U178" i="5"/>
  <c r="P111" i="4"/>
  <c r="W178" i="5"/>
  <c r="Q111" i="4"/>
  <c r="X178" i="5"/>
  <c r="S111" i="4"/>
  <c r="AA178" i="5"/>
  <c r="AI111" i="4"/>
  <c r="T111" i="4" a="1"/>
  <c r="T111" i="4"/>
  <c r="AC178" i="5"/>
  <c r="U111" i="4" a="1"/>
  <c r="U111" i="4"/>
  <c r="AD178" i="5"/>
  <c r="X111" i="4"/>
  <c r="AI178" i="5"/>
  <c r="Y111" i="4"/>
  <c r="AJ178" i="5"/>
  <c r="Z111" i="4"/>
  <c r="AL178" i="5"/>
  <c r="F178" i="5"/>
  <c r="L178" i="5"/>
  <c r="N178" i="5"/>
  <c r="O178" i="5"/>
  <c r="Z178" i="5"/>
  <c r="H178" i="5"/>
  <c r="I178" i="5"/>
  <c r="AN178" i="5"/>
  <c r="AG179" i="5"/>
  <c r="AF179" i="5"/>
  <c r="B112" i="4"/>
  <c r="C112" i="4"/>
  <c r="C179" i="5"/>
  <c r="D112" i="4"/>
  <c r="E179" i="5"/>
  <c r="E112" i="4"/>
  <c r="F179" i="5"/>
  <c r="F112" i="4"/>
  <c r="H179" i="5"/>
  <c r="I179" i="5"/>
  <c r="H112" i="4"/>
  <c r="K179" i="5"/>
  <c r="L112" i="4"/>
  <c r="Q179" i="5"/>
  <c r="M112" i="4"/>
  <c r="R179" i="5"/>
  <c r="T179" i="5"/>
  <c r="O112" i="4"/>
  <c r="U179" i="5"/>
  <c r="P112" i="4"/>
  <c r="W179" i="5"/>
  <c r="Q112" i="4"/>
  <c r="X179" i="5"/>
  <c r="S112" i="4"/>
  <c r="AA179" i="5"/>
  <c r="AI112" i="4"/>
  <c r="T112" i="4" a="1"/>
  <c r="T112" i="4"/>
  <c r="AC179" i="5"/>
  <c r="U112" i="4" a="1"/>
  <c r="U112" i="4"/>
  <c r="AD179" i="5"/>
  <c r="X112" i="4"/>
  <c r="AI179" i="5"/>
  <c r="Y112" i="4"/>
  <c r="AJ179" i="5"/>
  <c r="Z112" i="4"/>
  <c r="AL179" i="5"/>
  <c r="L179" i="5"/>
  <c r="N179" i="5"/>
  <c r="O179" i="5"/>
  <c r="Z179" i="5"/>
  <c r="AN179" i="5"/>
  <c r="B113" i="4"/>
  <c r="S113" i="4"/>
  <c r="AA180" i="5"/>
  <c r="P113" i="4"/>
  <c r="W180" i="5"/>
  <c r="O180" i="5"/>
  <c r="K180" i="5"/>
  <c r="AG180" i="5"/>
  <c r="AF180" i="5"/>
  <c r="C113" i="4"/>
  <c r="C180" i="5"/>
  <c r="D113" i="4"/>
  <c r="E180" i="5"/>
  <c r="E113" i="4"/>
  <c r="F180" i="5"/>
  <c r="F113" i="4"/>
  <c r="H180" i="5"/>
  <c r="I180" i="5"/>
  <c r="I113" i="4"/>
  <c r="L180" i="5"/>
  <c r="J113" i="4"/>
  <c r="N180" i="5"/>
  <c r="L113" i="4"/>
  <c r="Q180" i="5"/>
  <c r="M113" i="4"/>
  <c r="R180" i="5"/>
  <c r="T180" i="5"/>
  <c r="U180" i="5"/>
  <c r="Q113" i="4"/>
  <c r="X180" i="5"/>
  <c r="R113" i="4"/>
  <c r="Z180" i="5"/>
  <c r="AI113" i="4"/>
  <c r="T113" i="4" a="1"/>
  <c r="T113" i="4"/>
  <c r="AC180" i="5"/>
  <c r="U113" i="4" a="1"/>
  <c r="U113" i="4"/>
  <c r="AD180" i="5"/>
  <c r="AI180" i="5"/>
  <c r="Y113" i="4"/>
  <c r="AJ180" i="5"/>
  <c r="Z113" i="4"/>
  <c r="AL180" i="5"/>
  <c r="AN180" i="5"/>
  <c r="B24" i="4"/>
  <c r="S24" i="4"/>
  <c r="AA181" i="5"/>
  <c r="P24" i="4"/>
  <c r="W181" i="5"/>
  <c r="O181" i="5"/>
  <c r="H24" i="4"/>
  <c r="K181" i="5"/>
  <c r="AG181" i="5"/>
  <c r="AF181" i="5"/>
  <c r="C24" i="4"/>
  <c r="C181" i="5"/>
  <c r="D24" i="4"/>
  <c r="E181" i="5"/>
  <c r="E24" i="4"/>
  <c r="F181" i="5"/>
  <c r="F24" i="4"/>
  <c r="H181" i="5"/>
  <c r="I181" i="5"/>
  <c r="I22" i="2"/>
  <c r="I24" i="4"/>
  <c r="L181" i="5"/>
  <c r="J22" i="2"/>
  <c r="J24" i="4"/>
  <c r="N181" i="5"/>
  <c r="L24" i="4"/>
  <c r="Q181" i="5"/>
  <c r="M24" i="4"/>
  <c r="R181" i="5"/>
  <c r="T181" i="5"/>
  <c r="U181" i="5"/>
  <c r="Q24" i="4"/>
  <c r="X181" i="5"/>
  <c r="R22" i="2"/>
  <c r="R24" i="4"/>
  <c r="Z181" i="5"/>
  <c r="AI24" i="4"/>
  <c r="T24" i="4" a="1"/>
  <c r="T24" i="4"/>
  <c r="AC181" i="5"/>
  <c r="U24" i="4" a="1"/>
  <c r="U24" i="4"/>
  <c r="AD181" i="5"/>
  <c r="X24" i="4"/>
  <c r="AI181" i="5"/>
  <c r="Y24" i="4"/>
  <c r="AJ181" i="5"/>
  <c r="Z24" i="4"/>
  <c r="AL181" i="5"/>
  <c r="AN181" i="5"/>
  <c r="B25" i="4"/>
  <c r="S25" i="4"/>
  <c r="AA182" i="5"/>
  <c r="P25" i="4"/>
  <c r="W182" i="5"/>
  <c r="O182" i="5"/>
  <c r="H25" i="4"/>
  <c r="K182" i="5"/>
  <c r="AG182" i="5"/>
  <c r="AF182" i="5"/>
  <c r="C25" i="4"/>
  <c r="C182" i="5"/>
  <c r="D25" i="4"/>
  <c r="E182" i="5"/>
  <c r="E25" i="4"/>
  <c r="F182" i="5"/>
  <c r="F25" i="4"/>
  <c r="H182" i="5"/>
  <c r="I182" i="5"/>
  <c r="I25" i="4"/>
  <c r="L182" i="5"/>
  <c r="J25" i="4"/>
  <c r="N182" i="5"/>
  <c r="L25" i="4"/>
  <c r="Q182" i="5"/>
  <c r="M25" i="4"/>
  <c r="R182" i="5"/>
  <c r="T182" i="5"/>
  <c r="U182" i="5"/>
  <c r="Q25" i="4"/>
  <c r="X182" i="5"/>
  <c r="R25" i="4"/>
  <c r="Z182" i="5"/>
  <c r="AI25" i="4"/>
  <c r="T25" i="4" a="1"/>
  <c r="T25" i="4"/>
  <c r="AC182" i="5"/>
  <c r="U25" i="4" a="1"/>
  <c r="U25" i="4"/>
  <c r="AD182" i="5"/>
  <c r="AI182" i="5"/>
  <c r="Y25" i="4"/>
  <c r="AJ182" i="5"/>
  <c r="Z25" i="4"/>
  <c r="AL182" i="5"/>
  <c r="AN182" i="5"/>
  <c r="B26" i="4"/>
  <c r="S26" i="4"/>
  <c r="AA183" i="5"/>
  <c r="P26" i="4"/>
  <c r="W183" i="5"/>
  <c r="O183" i="5"/>
  <c r="K183" i="5"/>
  <c r="AG183" i="5"/>
  <c r="AF183" i="5"/>
  <c r="C26" i="4"/>
  <c r="C183" i="5"/>
  <c r="D26" i="4"/>
  <c r="E183" i="5"/>
  <c r="E26" i="4"/>
  <c r="F183" i="5"/>
  <c r="F26" i="4"/>
  <c r="H183" i="5"/>
  <c r="I183" i="5"/>
  <c r="I26" i="4"/>
  <c r="L183" i="5"/>
  <c r="J26" i="4"/>
  <c r="N183" i="5"/>
  <c r="L26" i="4"/>
  <c r="Q183" i="5"/>
  <c r="M26" i="4"/>
  <c r="R183" i="5"/>
  <c r="T183" i="5"/>
  <c r="U183" i="5"/>
  <c r="Q26" i="4"/>
  <c r="X183" i="5"/>
  <c r="R26" i="4"/>
  <c r="Z183" i="5"/>
  <c r="AI26" i="4"/>
  <c r="T26" i="4" a="1"/>
  <c r="T26" i="4"/>
  <c r="AC183" i="5"/>
  <c r="U26" i="4" a="1"/>
  <c r="U26" i="4"/>
  <c r="AD183" i="5"/>
  <c r="X26" i="4"/>
  <c r="AI183" i="5"/>
  <c r="Y26" i="4"/>
  <c r="AJ183" i="5"/>
  <c r="Z26" i="4"/>
  <c r="AL183" i="5"/>
  <c r="AN183" i="5"/>
  <c r="B130" i="4"/>
  <c r="S130" i="4"/>
  <c r="AA184" i="5"/>
  <c r="P130" i="4"/>
  <c r="W184" i="5"/>
  <c r="O184" i="5"/>
  <c r="K184" i="5"/>
  <c r="AG184" i="5"/>
  <c r="AF184" i="5"/>
  <c r="C130" i="4"/>
  <c r="C184" i="5"/>
  <c r="D130" i="4"/>
  <c r="E184" i="5"/>
  <c r="E130" i="4"/>
  <c r="F184" i="5"/>
  <c r="F130" i="4"/>
  <c r="H184" i="5"/>
  <c r="I184" i="5"/>
  <c r="I130" i="4"/>
  <c r="L184" i="5"/>
  <c r="J130" i="4"/>
  <c r="N184" i="5"/>
  <c r="L130" i="4"/>
  <c r="Q184" i="5"/>
  <c r="M130" i="4"/>
  <c r="R184" i="5"/>
  <c r="T184" i="5"/>
  <c r="U184" i="5"/>
  <c r="Q130" i="4"/>
  <c r="X184" i="5"/>
  <c r="R130" i="4"/>
  <c r="Z184" i="5"/>
  <c r="AI130" i="4"/>
  <c r="T130" i="4" a="1"/>
  <c r="T130" i="4"/>
  <c r="AC184" i="5"/>
  <c r="U130" i="4" a="1"/>
  <c r="U130" i="4"/>
  <c r="AD184" i="5"/>
  <c r="X130" i="4"/>
  <c r="AI184" i="5"/>
  <c r="Y130" i="4"/>
  <c r="AJ184" i="5"/>
  <c r="Z130" i="4"/>
  <c r="AL184" i="5"/>
  <c r="AN184" i="5"/>
  <c r="S131" i="4"/>
  <c r="AA185" i="5"/>
  <c r="P131" i="4"/>
  <c r="W185" i="5"/>
  <c r="O185" i="5"/>
  <c r="H131" i="4"/>
  <c r="K185" i="5"/>
  <c r="AG185" i="5"/>
  <c r="AF185" i="5"/>
  <c r="C131" i="4"/>
  <c r="C185" i="5"/>
  <c r="D131" i="4"/>
  <c r="E185" i="5"/>
  <c r="E131" i="4"/>
  <c r="F185" i="5"/>
  <c r="F131" i="4"/>
  <c r="H185" i="5"/>
  <c r="I185" i="5"/>
  <c r="I131" i="4"/>
  <c r="L185" i="5"/>
  <c r="J131" i="4"/>
  <c r="N185" i="5"/>
  <c r="L131" i="4"/>
  <c r="Q185" i="5"/>
  <c r="M131" i="4"/>
  <c r="R185" i="5"/>
  <c r="T185" i="5"/>
  <c r="O131" i="4"/>
  <c r="U185" i="5"/>
  <c r="Q131" i="4"/>
  <c r="X185" i="5"/>
  <c r="R131" i="4"/>
  <c r="Z185" i="5"/>
  <c r="AI131" i="4"/>
  <c r="T131" i="4" a="1"/>
  <c r="T131" i="4"/>
  <c r="AC185" i="5"/>
  <c r="U131" i="4" a="1"/>
  <c r="U131" i="4"/>
  <c r="AD185" i="5"/>
  <c r="AI185" i="5"/>
  <c r="Y131" i="4"/>
  <c r="AJ185" i="5"/>
  <c r="Z131" i="4"/>
  <c r="AL185" i="5"/>
  <c r="AN185" i="5"/>
  <c r="S132" i="4"/>
  <c r="AA186" i="5"/>
  <c r="P132" i="4"/>
  <c r="W186" i="5"/>
  <c r="O186" i="5"/>
  <c r="K186" i="5"/>
  <c r="AG186" i="5"/>
  <c r="AF186" i="5"/>
  <c r="C132" i="4"/>
  <c r="C186" i="5"/>
  <c r="D132" i="4"/>
  <c r="E186" i="5"/>
  <c r="E132" i="4"/>
  <c r="F186" i="5"/>
  <c r="F132" i="4"/>
  <c r="H186" i="5"/>
  <c r="I186" i="5"/>
  <c r="I132" i="4"/>
  <c r="L186" i="5"/>
  <c r="J132" i="4"/>
  <c r="N186" i="5"/>
  <c r="L132" i="4"/>
  <c r="Q186" i="5"/>
  <c r="M132" i="4"/>
  <c r="R186" i="5"/>
  <c r="T186" i="5"/>
  <c r="U186" i="5"/>
  <c r="Q132" i="4"/>
  <c r="X186" i="5"/>
  <c r="R132" i="4"/>
  <c r="Z186" i="5"/>
  <c r="AI132" i="4"/>
  <c r="T132" i="4" a="1"/>
  <c r="T132" i="4"/>
  <c r="AC186" i="5"/>
  <c r="U132" i="4" a="1"/>
  <c r="U132" i="4"/>
  <c r="AD186" i="5"/>
  <c r="X132" i="4"/>
  <c r="AI186" i="5"/>
  <c r="Y132" i="4"/>
  <c r="AJ186" i="5"/>
  <c r="Z132" i="4"/>
  <c r="AL186" i="5"/>
  <c r="AN186" i="5"/>
  <c r="S133" i="4"/>
  <c r="AA187" i="5"/>
  <c r="P133" i="4"/>
  <c r="W187" i="5"/>
  <c r="O187" i="5"/>
  <c r="K187" i="5"/>
  <c r="AG187" i="5"/>
  <c r="AF187" i="5"/>
  <c r="C133" i="4"/>
  <c r="C187" i="5"/>
  <c r="D133" i="4"/>
  <c r="E187" i="5"/>
  <c r="E133" i="4"/>
  <c r="F187" i="5"/>
  <c r="F133" i="4"/>
  <c r="H187" i="5"/>
  <c r="I187" i="5"/>
  <c r="I34" i="2"/>
  <c r="I133" i="4"/>
  <c r="L187" i="5"/>
  <c r="J34" i="2"/>
  <c r="J133" i="4"/>
  <c r="N187" i="5"/>
  <c r="L133" i="4"/>
  <c r="Q187" i="5"/>
  <c r="M133" i="4"/>
  <c r="R187" i="5"/>
  <c r="T187" i="5"/>
  <c r="U187" i="5"/>
  <c r="Q133" i="4"/>
  <c r="X187" i="5"/>
  <c r="R133" i="4"/>
  <c r="Z187" i="5"/>
  <c r="AI133" i="4"/>
  <c r="T133" i="4" a="1"/>
  <c r="T133" i="4"/>
  <c r="AC187" i="5"/>
  <c r="U133" i="4" a="1"/>
  <c r="U133" i="4"/>
  <c r="AD187" i="5"/>
  <c r="AI187" i="5"/>
  <c r="Y133" i="4"/>
  <c r="AJ187" i="5"/>
  <c r="Z133" i="4"/>
  <c r="AL187" i="5"/>
  <c r="AN187" i="5"/>
  <c r="AA188" i="5"/>
  <c r="P164" i="4"/>
  <c r="W188" i="5"/>
  <c r="O188" i="5"/>
  <c r="K188" i="5"/>
  <c r="AG188" i="5"/>
  <c r="AF188" i="5"/>
  <c r="C164" i="4"/>
  <c r="C188" i="5"/>
  <c r="D164" i="4"/>
  <c r="E188" i="5"/>
  <c r="L188" i="5"/>
  <c r="N188" i="5"/>
  <c r="L164" i="4"/>
  <c r="Q188" i="5"/>
  <c r="O164" i="4"/>
  <c r="U188" i="5"/>
  <c r="Q164" i="4"/>
  <c r="X188" i="5"/>
  <c r="R164" i="4"/>
  <c r="Z188" i="5"/>
  <c r="AI164" i="4"/>
  <c r="T164" i="4" a="1"/>
  <c r="T164" i="4"/>
  <c r="AC188" i="5"/>
  <c r="AD188" i="5"/>
  <c r="X164" i="4"/>
  <c r="AI188" i="5"/>
  <c r="Y164" i="4"/>
  <c r="AJ188" i="5"/>
  <c r="Z164" i="4"/>
  <c r="AL188" i="5"/>
  <c r="R188" i="5"/>
  <c r="T188" i="5"/>
  <c r="F188" i="5"/>
  <c r="H188" i="5"/>
  <c r="I188" i="5"/>
  <c r="AN188" i="5"/>
  <c r="AG189" i="5"/>
  <c r="AF189" i="5"/>
  <c r="C165" i="4"/>
  <c r="C189" i="5"/>
  <c r="D165" i="4"/>
  <c r="E189" i="5"/>
  <c r="K189" i="5"/>
  <c r="L165" i="4"/>
  <c r="Q189" i="5"/>
  <c r="M165" i="4"/>
  <c r="R189" i="5"/>
  <c r="T189" i="5"/>
  <c r="O165" i="4"/>
  <c r="U189" i="5"/>
  <c r="P165" i="4"/>
  <c r="W189" i="5"/>
  <c r="Q165" i="4"/>
  <c r="X189" i="5"/>
  <c r="S165" i="4"/>
  <c r="AA189" i="5"/>
  <c r="AI165" i="4"/>
  <c r="T165" i="4" a="1"/>
  <c r="T165" i="4"/>
  <c r="AC189" i="5"/>
  <c r="U165" i="4" a="1"/>
  <c r="U165" i="4"/>
  <c r="AD189" i="5"/>
  <c r="X165" i="4"/>
  <c r="AI189" i="5"/>
  <c r="Y165" i="4"/>
  <c r="AJ189" i="5"/>
  <c r="Z165" i="4"/>
  <c r="AL189" i="5"/>
  <c r="F189" i="5"/>
  <c r="H189" i="5"/>
  <c r="I189" i="5"/>
  <c r="L189" i="5"/>
  <c r="N189" i="5"/>
  <c r="O189" i="5"/>
  <c r="Z189" i="5"/>
  <c r="AN189" i="5"/>
  <c r="AG190" i="5"/>
  <c r="AF190" i="5"/>
  <c r="C166" i="4"/>
  <c r="C190" i="5"/>
  <c r="T190" i="5"/>
  <c r="O166" i="4"/>
  <c r="U190" i="5"/>
  <c r="P166" i="4"/>
  <c r="W190" i="5"/>
  <c r="Q166" i="4"/>
  <c r="X190" i="5"/>
  <c r="AA190" i="5"/>
  <c r="AI166" i="4"/>
  <c r="T166" i="4" a="1"/>
  <c r="T166" i="4"/>
  <c r="AC190" i="5"/>
  <c r="U166" i="4" a="1"/>
  <c r="U166" i="4"/>
  <c r="AD190" i="5"/>
  <c r="X166" i="4"/>
  <c r="AI190" i="5"/>
  <c r="Y166" i="4"/>
  <c r="AJ190" i="5"/>
  <c r="Z166" i="4"/>
  <c r="AL190" i="5"/>
  <c r="F190" i="5"/>
  <c r="H190" i="5"/>
  <c r="I190" i="5"/>
  <c r="L190" i="5"/>
  <c r="N190" i="5"/>
  <c r="O190" i="5"/>
  <c r="Z190" i="5"/>
  <c r="AN190" i="5"/>
  <c r="AG191" i="5"/>
  <c r="AF191" i="5"/>
  <c r="C167" i="4"/>
  <c r="C191" i="5"/>
  <c r="T191" i="5"/>
  <c r="O167" i="4"/>
  <c r="U191" i="5"/>
  <c r="P167" i="4"/>
  <c r="W191" i="5"/>
  <c r="Q167" i="4"/>
  <c r="X191" i="5"/>
  <c r="AA191" i="5"/>
  <c r="AI167" i="4"/>
  <c r="T167" i="4" a="1"/>
  <c r="T167" i="4"/>
  <c r="AC191" i="5"/>
  <c r="U167" i="4" a="1"/>
  <c r="U167" i="4"/>
  <c r="AD191" i="5"/>
  <c r="X167" i="4"/>
  <c r="AI191" i="5"/>
  <c r="Y167" i="4"/>
  <c r="AJ191" i="5"/>
  <c r="Z167" i="4"/>
  <c r="AL191" i="5"/>
  <c r="F191" i="5"/>
  <c r="H191" i="5"/>
  <c r="I191" i="5"/>
  <c r="L191" i="5"/>
  <c r="N191" i="5"/>
  <c r="O191" i="5"/>
  <c r="Z191" i="5"/>
  <c r="AN191" i="5"/>
  <c r="AG192" i="5"/>
  <c r="AF192" i="5"/>
  <c r="C168" i="4"/>
  <c r="C192" i="5"/>
  <c r="D168" i="4"/>
  <c r="E192" i="5"/>
  <c r="H168" i="4"/>
  <c r="K192" i="5"/>
  <c r="L168" i="4"/>
  <c r="Q192" i="5"/>
  <c r="M168" i="4"/>
  <c r="R192" i="5"/>
  <c r="T192" i="5"/>
  <c r="O168" i="4"/>
  <c r="U192" i="5"/>
  <c r="P168" i="4"/>
  <c r="W192" i="5"/>
  <c r="Q168" i="4"/>
  <c r="X192" i="5"/>
  <c r="AA192" i="5"/>
  <c r="AI168" i="4"/>
  <c r="T168" i="4" a="1"/>
  <c r="T168" i="4"/>
  <c r="AC192" i="5"/>
  <c r="U168" i="4" a="1"/>
  <c r="U168" i="4"/>
  <c r="AD192" i="5"/>
  <c r="X168" i="4"/>
  <c r="AI192" i="5"/>
  <c r="Y168" i="4"/>
  <c r="AJ192" i="5"/>
  <c r="Z168" i="4"/>
  <c r="AL192" i="5"/>
  <c r="F192" i="5"/>
  <c r="H192" i="5"/>
  <c r="I192" i="5"/>
  <c r="L192" i="5"/>
  <c r="N192" i="5"/>
  <c r="O192" i="5"/>
  <c r="Z192" i="5"/>
  <c r="AN192" i="5"/>
  <c r="AG193" i="5"/>
  <c r="AF193" i="5"/>
  <c r="B195" i="4"/>
  <c r="C195" i="4"/>
  <c r="C193" i="5"/>
  <c r="D195" i="4"/>
  <c r="E193" i="5"/>
  <c r="H195" i="4"/>
  <c r="K193" i="5"/>
  <c r="L195" i="4"/>
  <c r="Q193" i="5"/>
  <c r="M195" i="4"/>
  <c r="R193" i="5"/>
  <c r="T193" i="5"/>
  <c r="U193" i="5"/>
  <c r="P195" i="4"/>
  <c r="W193" i="5"/>
  <c r="Q195" i="4"/>
  <c r="X193" i="5"/>
  <c r="S195" i="4"/>
  <c r="AA193" i="5"/>
  <c r="AI195" i="4"/>
  <c r="T195" i="4" a="1"/>
  <c r="T195" i="4"/>
  <c r="AC193" i="5"/>
  <c r="U195" i="4" a="1"/>
  <c r="U195" i="4"/>
  <c r="AD193" i="5"/>
  <c r="X195" i="4"/>
  <c r="AI193" i="5"/>
  <c r="Y195" i="4"/>
  <c r="AJ193" i="5"/>
  <c r="Z195" i="4"/>
  <c r="AL193" i="5"/>
  <c r="F193" i="5"/>
  <c r="H193" i="5"/>
  <c r="I193" i="5"/>
  <c r="L193" i="5"/>
  <c r="N193" i="5"/>
  <c r="O193" i="5"/>
  <c r="Z193" i="5"/>
  <c r="AN193" i="5"/>
  <c r="AG194" i="5"/>
  <c r="AF194" i="5"/>
  <c r="B205" i="4"/>
  <c r="C205" i="4"/>
  <c r="C194" i="5"/>
  <c r="D205" i="4"/>
  <c r="E194" i="5"/>
  <c r="K194" i="5"/>
  <c r="L205" i="4"/>
  <c r="Q194" i="5"/>
  <c r="M205" i="4"/>
  <c r="R194" i="5"/>
  <c r="T194" i="5"/>
  <c r="O205" i="4"/>
  <c r="U194" i="5"/>
  <c r="P205" i="4"/>
  <c r="W194" i="5"/>
  <c r="Q205" i="4"/>
  <c r="X194" i="5"/>
  <c r="S205" i="4"/>
  <c r="AA194" i="5"/>
  <c r="AI205" i="4"/>
  <c r="T205" i="4" a="1"/>
  <c r="T205" i="4"/>
  <c r="AC194" i="5"/>
  <c r="U205" i="4" a="1"/>
  <c r="U205" i="4"/>
  <c r="AD194" i="5"/>
  <c r="X205" i="4"/>
  <c r="AI194" i="5"/>
  <c r="Y205" i="4"/>
  <c r="AJ194" i="5"/>
  <c r="Z205" i="4"/>
  <c r="AL194" i="5"/>
  <c r="F194" i="5"/>
  <c r="H194" i="5"/>
  <c r="I194" i="5"/>
  <c r="L194" i="5"/>
  <c r="N194" i="5"/>
  <c r="O194" i="5"/>
  <c r="Z194" i="5"/>
  <c r="AN194" i="5"/>
  <c r="AG195" i="5"/>
  <c r="AF195" i="5"/>
  <c r="B206" i="4"/>
  <c r="C206" i="4"/>
  <c r="C195" i="5"/>
  <c r="D206" i="4"/>
  <c r="E195" i="5"/>
  <c r="K195" i="5"/>
  <c r="L206" i="4"/>
  <c r="Q195" i="5"/>
  <c r="M206" i="4"/>
  <c r="R195" i="5"/>
  <c r="T195" i="5"/>
  <c r="O206" i="4"/>
  <c r="U195" i="5"/>
  <c r="P206" i="4"/>
  <c r="W195" i="5"/>
  <c r="Q206" i="4"/>
  <c r="X195" i="5"/>
  <c r="S206" i="4"/>
  <c r="AA195" i="5"/>
  <c r="AI206" i="4"/>
  <c r="T206" i="4" a="1"/>
  <c r="T206" i="4"/>
  <c r="AC195" i="5"/>
  <c r="U206" i="4" a="1"/>
  <c r="U206" i="4"/>
  <c r="AD195" i="5"/>
  <c r="X206" i="4"/>
  <c r="AI195" i="5"/>
  <c r="Y206" i="4"/>
  <c r="AJ195" i="5"/>
  <c r="Z206" i="4"/>
  <c r="AL195" i="5"/>
  <c r="F195" i="5"/>
  <c r="H195" i="5"/>
  <c r="I195" i="5"/>
  <c r="L195" i="5"/>
  <c r="N195" i="5"/>
  <c r="O195" i="5"/>
  <c r="Z195" i="5"/>
  <c r="AN195" i="5"/>
  <c r="AG196" i="5"/>
  <c r="AF196" i="5"/>
  <c r="C225" i="4"/>
  <c r="C196" i="5"/>
  <c r="D225" i="4"/>
  <c r="E196" i="5"/>
  <c r="H225" i="4"/>
  <c r="K196" i="5"/>
  <c r="L225" i="4"/>
  <c r="Q196" i="5"/>
  <c r="M225" i="4"/>
  <c r="R196" i="5"/>
  <c r="T196" i="5"/>
  <c r="O225" i="4"/>
  <c r="U196" i="5"/>
  <c r="P225" i="4"/>
  <c r="W196" i="5"/>
  <c r="Q225" i="4"/>
  <c r="X196" i="5"/>
  <c r="S225" i="4"/>
  <c r="AA196" i="5"/>
  <c r="AI225" i="4"/>
  <c r="T225" i="4" a="1"/>
  <c r="T225" i="4"/>
  <c r="AC196" i="5"/>
  <c r="U225" i="4" a="1"/>
  <c r="U225" i="4"/>
  <c r="AD196" i="5"/>
  <c r="X225" i="4"/>
  <c r="AI196" i="5"/>
  <c r="Y225" i="4"/>
  <c r="AJ196" i="5"/>
  <c r="Z225" i="4"/>
  <c r="AL196" i="5"/>
  <c r="F196" i="5"/>
  <c r="H196" i="5"/>
  <c r="I196" i="5"/>
  <c r="L196" i="5"/>
  <c r="N196" i="5"/>
  <c r="O196" i="5"/>
  <c r="Z196" i="5"/>
  <c r="AN196" i="5"/>
  <c r="AG197" i="5"/>
  <c r="AF197" i="5"/>
  <c r="C226" i="4"/>
  <c r="C197" i="5"/>
  <c r="D226" i="4"/>
  <c r="E197" i="5"/>
  <c r="H226" i="4"/>
  <c r="K197" i="5"/>
  <c r="I226" i="4"/>
  <c r="L197" i="5"/>
  <c r="J226" i="4"/>
  <c r="N197" i="5"/>
  <c r="O197" i="5"/>
  <c r="L226" i="4"/>
  <c r="Q197" i="5"/>
  <c r="M226" i="4"/>
  <c r="R197" i="5"/>
  <c r="T197" i="5"/>
  <c r="O226" i="4"/>
  <c r="U197" i="5"/>
  <c r="P226" i="4"/>
  <c r="W197" i="5"/>
  <c r="Q226" i="4"/>
  <c r="X197" i="5"/>
  <c r="S226" i="4"/>
  <c r="AA197" i="5"/>
  <c r="AI226" i="4"/>
  <c r="T226" i="4" a="1"/>
  <c r="T226" i="4"/>
  <c r="AC197" i="5"/>
  <c r="U226" i="4" a="1"/>
  <c r="U226" i="4"/>
  <c r="AD197" i="5"/>
  <c r="X226" i="4"/>
  <c r="AI197" i="5"/>
  <c r="Y226" i="4"/>
  <c r="AJ197" i="5"/>
  <c r="Z226" i="4"/>
  <c r="AL197" i="5"/>
  <c r="F197" i="5"/>
  <c r="H197" i="5"/>
  <c r="I197" i="5"/>
  <c r="Z197" i="5"/>
  <c r="AN197" i="5"/>
  <c r="AG198" i="5"/>
  <c r="AF198" i="5"/>
  <c r="C227" i="4"/>
  <c r="C198" i="5"/>
  <c r="D227" i="4"/>
  <c r="E198" i="5"/>
  <c r="E227" i="4"/>
  <c r="F198" i="5"/>
  <c r="F227" i="4"/>
  <c r="H198" i="5"/>
  <c r="I198" i="5"/>
  <c r="H227" i="4"/>
  <c r="K198" i="5"/>
  <c r="L227" i="4"/>
  <c r="Q198" i="5"/>
  <c r="M227" i="4"/>
  <c r="R198" i="5"/>
  <c r="T198" i="5"/>
  <c r="O227" i="4"/>
  <c r="U198" i="5"/>
  <c r="P227" i="4"/>
  <c r="W198" i="5"/>
  <c r="Q227" i="4"/>
  <c r="X198" i="5"/>
  <c r="S227" i="4"/>
  <c r="AA198" i="5"/>
  <c r="AI227" i="4"/>
  <c r="T227" i="4" a="1"/>
  <c r="T227" i="4"/>
  <c r="AC198" i="5"/>
  <c r="U227" i="4" a="1"/>
  <c r="U227" i="4"/>
  <c r="AD198" i="5"/>
  <c r="X227" i="4"/>
  <c r="AI198" i="5"/>
  <c r="Y227" i="4"/>
  <c r="AJ198" i="5"/>
  <c r="Z227" i="4"/>
  <c r="AL198" i="5"/>
  <c r="L198" i="5"/>
  <c r="N198" i="5"/>
  <c r="O198" i="5"/>
  <c r="Z198" i="5"/>
  <c r="AN198" i="5"/>
  <c r="AG199" i="5"/>
  <c r="AF199" i="5"/>
  <c r="B196" i="4"/>
  <c r="C196" i="4"/>
  <c r="C199" i="5"/>
  <c r="E199" i="5"/>
  <c r="F199" i="5"/>
  <c r="H199" i="5"/>
  <c r="I199" i="5"/>
  <c r="H196" i="4"/>
  <c r="K199" i="5"/>
  <c r="L196" i="4"/>
  <c r="Q199" i="5"/>
  <c r="M196" i="4"/>
  <c r="R199" i="5"/>
  <c r="T199" i="5"/>
  <c r="O196" i="4"/>
  <c r="U199" i="5"/>
  <c r="P196" i="4"/>
  <c r="W199" i="5"/>
  <c r="Q196" i="4"/>
  <c r="X199" i="5"/>
  <c r="S196" i="4"/>
  <c r="AA199" i="5"/>
  <c r="AI196" i="4"/>
  <c r="T196" i="4" a="1"/>
  <c r="T196" i="4"/>
  <c r="AC199" i="5"/>
  <c r="U196" i="4" a="1"/>
  <c r="U196" i="4"/>
  <c r="AD199" i="5"/>
  <c r="X196" i="4"/>
  <c r="AI199" i="5"/>
  <c r="Y196" i="4"/>
  <c r="AJ199" i="5"/>
  <c r="Z196" i="4"/>
  <c r="AL199" i="5"/>
  <c r="L199" i="5"/>
  <c r="N199" i="5"/>
  <c r="O199" i="5"/>
  <c r="Z199" i="5"/>
  <c r="AN199" i="5"/>
  <c r="AG200" i="5"/>
  <c r="AF200" i="5"/>
  <c r="B89" i="4"/>
  <c r="C89" i="4"/>
  <c r="C200" i="5"/>
  <c r="D89" i="4"/>
  <c r="E200" i="5"/>
  <c r="L89" i="4"/>
  <c r="Q200" i="5"/>
  <c r="M89" i="4"/>
  <c r="R200" i="5"/>
  <c r="T200" i="5"/>
  <c r="O89" i="4"/>
  <c r="U200" i="5"/>
  <c r="P89" i="4"/>
  <c r="W200" i="5"/>
  <c r="Q89" i="4"/>
  <c r="X200" i="5"/>
  <c r="S89" i="4"/>
  <c r="AA200" i="5"/>
  <c r="AI89" i="4"/>
  <c r="T89" i="4" a="1"/>
  <c r="T89" i="4"/>
  <c r="AC200" i="5"/>
  <c r="U89" i="4" a="1"/>
  <c r="U89" i="4"/>
  <c r="AD200" i="5"/>
  <c r="X89" i="4"/>
  <c r="AI200" i="5"/>
  <c r="Y89" i="4"/>
  <c r="AJ200" i="5"/>
  <c r="Z89" i="4"/>
  <c r="AL200" i="5"/>
  <c r="L200" i="5"/>
  <c r="N200" i="5"/>
  <c r="O200" i="5"/>
  <c r="F200" i="5"/>
  <c r="H200" i="5"/>
  <c r="I200" i="5"/>
  <c r="Z200" i="5"/>
  <c r="AN200" i="5"/>
  <c r="AG201" i="5"/>
  <c r="AF201" i="5"/>
  <c r="C176" i="4"/>
  <c r="C201" i="5"/>
  <c r="D176" i="4"/>
  <c r="E201" i="5"/>
  <c r="K201" i="5"/>
  <c r="L176" i="4"/>
  <c r="Q201" i="5"/>
  <c r="M176" i="4"/>
  <c r="R201" i="5"/>
  <c r="N35" i="2"/>
  <c r="N176" i="4"/>
  <c r="T201" i="5"/>
  <c r="O176" i="4"/>
  <c r="U201" i="5"/>
  <c r="P176" i="4"/>
  <c r="W201" i="5"/>
  <c r="Q176" i="4"/>
  <c r="X201" i="5"/>
  <c r="S176" i="4"/>
  <c r="AA201" i="5"/>
  <c r="AI176" i="4"/>
  <c r="T176" i="4" a="1"/>
  <c r="T176" i="4"/>
  <c r="AC201" i="5"/>
  <c r="U176" i="4" a="1"/>
  <c r="U176" i="4"/>
  <c r="AD201" i="5"/>
  <c r="X176" i="4"/>
  <c r="AI201" i="5"/>
  <c r="Y176" i="4"/>
  <c r="AJ201" i="5"/>
  <c r="Z176" i="4"/>
  <c r="AL201" i="5"/>
  <c r="L201" i="5"/>
  <c r="N201" i="5"/>
  <c r="O201" i="5"/>
  <c r="F201" i="5"/>
  <c r="H201" i="5"/>
  <c r="I201" i="5"/>
  <c r="Z201" i="5"/>
  <c r="AN201" i="5"/>
  <c r="AG202" i="5"/>
  <c r="AF202" i="5"/>
  <c r="C177" i="4"/>
  <c r="C202" i="5"/>
  <c r="D177" i="4"/>
  <c r="E202" i="5"/>
  <c r="K202" i="5"/>
  <c r="I35" i="2"/>
  <c r="I31" i="2"/>
  <c r="I177" i="4"/>
  <c r="L202" i="5"/>
  <c r="J35" i="2"/>
  <c r="J31" i="2"/>
  <c r="J177" i="4"/>
  <c r="N202" i="5"/>
  <c r="O202" i="5"/>
  <c r="L177" i="4"/>
  <c r="Q202" i="5"/>
  <c r="M177" i="4"/>
  <c r="R202" i="5"/>
  <c r="N31" i="2"/>
  <c r="N177" i="4"/>
  <c r="T202" i="5"/>
  <c r="O177" i="4"/>
  <c r="U202" i="5"/>
  <c r="P177" i="4"/>
  <c r="W202" i="5"/>
  <c r="Q177" i="4"/>
  <c r="X202" i="5"/>
  <c r="S177" i="4"/>
  <c r="AA202" i="5"/>
  <c r="AI177" i="4"/>
  <c r="T177" i="4" a="1"/>
  <c r="T177" i="4"/>
  <c r="AC202" i="5"/>
  <c r="U177" i="4" a="1"/>
  <c r="U177" i="4"/>
  <c r="AD202" i="5"/>
  <c r="X177" i="4"/>
  <c r="AI202" i="5"/>
  <c r="Y177" i="4"/>
  <c r="AJ202" i="5"/>
  <c r="Z177" i="4"/>
  <c r="AL202" i="5"/>
  <c r="F202" i="5"/>
  <c r="H202" i="5"/>
  <c r="I202" i="5"/>
  <c r="Z202" i="5"/>
  <c r="AN202" i="5"/>
  <c r="AG203" i="5"/>
  <c r="AF203" i="5"/>
  <c r="C137" i="4"/>
  <c r="C203" i="5"/>
  <c r="D137" i="4"/>
  <c r="E203" i="5"/>
  <c r="K203" i="5"/>
  <c r="L137" i="4"/>
  <c r="Q203" i="5"/>
  <c r="M137" i="4"/>
  <c r="R203" i="5"/>
  <c r="N137" i="4"/>
  <c r="T203" i="5"/>
  <c r="O137" i="4"/>
  <c r="U203" i="5"/>
  <c r="P137" i="4"/>
  <c r="W203" i="5"/>
  <c r="Q137" i="4"/>
  <c r="X203" i="5"/>
  <c r="S137" i="4"/>
  <c r="AA203" i="5"/>
  <c r="AI137" i="4"/>
  <c r="T137" i="4" a="1"/>
  <c r="T137" i="4"/>
  <c r="AC203" i="5"/>
  <c r="U137" i="4" a="1"/>
  <c r="U137" i="4"/>
  <c r="AD203" i="5"/>
  <c r="X137" i="4"/>
  <c r="AI203" i="5"/>
  <c r="Y137" i="4"/>
  <c r="AJ203" i="5"/>
  <c r="Z137" i="4"/>
  <c r="AL203" i="5"/>
  <c r="L203" i="5"/>
  <c r="N203" i="5"/>
  <c r="O203" i="5"/>
  <c r="F203" i="5"/>
  <c r="H203" i="5"/>
  <c r="I203" i="5"/>
  <c r="Z203" i="5"/>
  <c r="AN203" i="5"/>
  <c r="AG204" i="5"/>
  <c r="AF204" i="5"/>
  <c r="C138" i="4"/>
  <c r="C204" i="5"/>
  <c r="D138" i="4"/>
  <c r="E204" i="5"/>
  <c r="K204" i="5"/>
  <c r="L138" i="4"/>
  <c r="Q204" i="5"/>
  <c r="M138" i="4"/>
  <c r="R204" i="5"/>
  <c r="T204" i="5"/>
  <c r="U204" i="5"/>
  <c r="P138" i="4"/>
  <c r="W204" i="5"/>
  <c r="Q138" i="4"/>
  <c r="X204" i="5"/>
  <c r="S138" i="4"/>
  <c r="AA204" i="5"/>
  <c r="AI138" i="4"/>
  <c r="T138" i="4" a="1"/>
  <c r="T138" i="4"/>
  <c r="AC204" i="5"/>
  <c r="U138" i="4" a="1"/>
  <c r="U138" i="4"/>
  <c r="AD204" i="5"/>
  <c r="X138" i="4"/>
  <c r="AI204" i="5"/>
  <c r="Y138" i="4"/>
  <c r="AJ204" i="5"/>
  <c r="Z138" i="4"/>
  <c r="AL204" i="5"/>
  <c r="L204" i="5"/>
  <c r="N204" i="5"/>
  <c r="O204" i="5"/>
  <c r="F204" i="5"/>
  <c r="H204" i="5"/>
  <c r="I204" i="5"/>
  <c r="Z204" i="5"/>
  <c r="AN204" i="5"/>
  <c r="AG205" i="5"/>
  <c r="AF205" i="5"/>
  <c r="C139" i="4"/>
  <c r="C205" i="5"/>
  <c r="D139" i="4"/>
  <c r="E205" i="5"/>
  <c r="K205" i="5"/>
  <c r="I139" i="4"/>
  <c r="L205" i="5"/>
  <c r="J139" i="4"/>
  <c r="N205" i="5"/>
  <c r="O205" i="5"/>
  <c r="L139" i="4"/>
  <c r="Q205" i="5"/>
  <c r="M139" i="4"/>
  <c r="R205" i="5"/>
  <c r="N34" i="2"/>
  <c r="N139" i="4"/>
  <c r="T205" i="5"/>
  <c r="O139" i="4"/>
  <c r="U205" i="5"/>
  <c r="P139" i="4"/>
  <c r="W205" i="5"/>
  <c r="Q139" i="4"/>
  <c r="X205" i="5"/>
  <c r="S139" i="4"/>
  <c r="AA205" i="5"/>
  <c r="AI139" i="4"/>
  <c r="T139" i="4" a="1"/>
  <c r="T139" i="4"/>
  <c r="AC205" i="5"/>
  <c r="U139" i="4" a="1"/>
  <c r="U139" i="4"/>
  <c r="AD205" i="5"/>
  <c r="X139" i="4"/>
  <c r="AI205" i="5"/>
  <c r="Y139" i="4"/>
  <c r="AJ205" i="5"/>
  <c r="Z139" i="4"/>
  <c r="AL205" i="5"/>
  <c r="F205" i="5"/>
  <c r="H205" i="5"/>
  <c r="I205" i="5"/>
  <c r="Z205" i="5"/>
  <c r="AN205" i="5"/>
  <c r="AG206" i="5"/>
  <c r="AF206" i="5"/>
  <c r="C33" i="2"/>
  <c r="C140" i="4"/>
  <c r="C206" i="5"/>
  <c r="D33" i="2"/>
  <c r="D140" i="4"/>
  <c r="E206" i="5"/>
  <c r="K206" i="5"/>
  <c r="L33" i="2"/>
  <c r="L140" i="4"/>
  <c r="Q206" i="5"/>
  <c r="M33" i="2"/>
  <c r="M140" i="4"/>
  <c r="R206" i="5"/>
  <c r="N33" i="2"/>
  <c r="N140" i="4"/>
  <c r="T206" i="5"/>
  <c r="O33" i="2"/>
  <c r="O140" i="4"/>
  <c r="U206" i="5"/>
  <c r="P33" i="2"/>
  <c r="P140" i="4"/>
  <c r="W206" i="5"/>
  <c r="Q33" i="2"/>
  <c r="Q140" i="4"/>
  <c r="X206" i="5"/>
  <c r="S33" i="2"/>
  <c r="S140" i="4"/>
  <c r="AA206" i="5"/>
  <c r="AI140" i="4"/>
  <c r="T140" i="4" a="1"/>
  <c r="T140" i="4"/>
  <c r="AC206" i="5"/>
  <c r="U140" i="4" a="1"/>
  <c r="U140" i="4"/>
  <c r="AD206" i="5"/>
  <c r="X33" i="2"/>
  <c r="X140" i="4"/>
  <c r="AI206" i="5"/>
  <c r="Y33" i="2"/>
  <c r="Y140" i="4"/>
  <c r="AJ206" i="5"/>
  <c r="Z33" i="2"/>
  <c r="Z140" i="4"/>
  <c r="AL206" i="5"/>
  <c r="L206" i="5"/>
  <c r="N206" i="5"/>
  <c r="O206" i="5"/>
  <c r="F206" i="5"/>
  <c r="H206" i="5"/>
  <c r="I206" i="5"/>
  <c r="Z206" i="5"/>
  <c r="AN206" i="5"/>
  <c r="AG207" i="5"/>
  <c r="AF207" i="5"/>
  <c r="C37" i="2"/>
  <c r="B94" i="4"/>
  <c r="C94" i="4"/>
  <c r="C207" i="5"/>
  <c r="D37" i="2"/>
  <c r="D94" i="4"/>
  <c r="E207" i="5"/>
  <c r="H37" i="2"/>
  <c r="H94" i="4"/>
  <c r="K207" i="5"/>
  <c r="I37" i="2"/>
  <c r="I94" i="4"/>
  <c r="L207" i="5"/>
  <c r="J37" i="2"/>
  <c r="J94" i="4"/>
  <c r="N207" i="5"/>
  <c r="O207" i="5"/>
  <c r="L37" i="2"/>
  <c r="L94" i="4"/>
  <c r="Q207" i="5"/>
  <c r="M37" i="2"/>
  <c r="M94" i="4"/>
  <c r="R207" i="5"/>
  <c r="N37" i="2"/>
  <c r="N94" i="4"/>
  <c r="T207" i="5"/>
  <c r="O37" i="2"/>
  <c r="O94" i="4"/>
  <c r="U207" i="5"/>
  <c r="P37" i="2"/>
  <c r="P94" i="4"/>
  <c r="W207" i="5"/>
  <c r="Q37" i="2"/>
  <c r="Q94" i="4"/>
  <c r="X207" i="5"/>
  <c r="S37" i="2"/>
  <c r="S94" i="4"/>
  <c r="AA207" i="5"/>
  <c r="X37" i="2"/>
  <c r="X94" i="4"/>
  <c r="AI207" i="5"/>
  <c r="Y37" i="2"/>
  <c r="Y94" i="4"/>
  <c r="AJ207" i="5"/>
  <c r="Z37" i="2"/>
  <c r="Z94" i="4"/>
  <c r="AL207" i="5"/>
  <c r="F207" i="5"/>
  <c r="H207" i="5"/>
  <c r="I207" i="5"/>
  <c r="Z207" i="5"/>
  <c r="AN207" i="5"/>
  <c r="AG208" i="5"/>
  <c r="AF208" i="5"/>
  <c r="C218" i="4"/>
  <c r="C208" i="5"/>
  <c r="D218" i="4"/>
  <c r="E208" i="5"/>
  <c r="H218" i="4"/>
  <c r="K208" i="5"/>
  <c r="L218" i="4"/>
  <c r="Q208" i="5"/>
  <c r="M218" i="4"/>
  <c r="R208" i="5"/>
  <c r="T208" i="5"/>
  <c r="O218" i="4"/>
  <c r="U208" i="5"/>
  <c r="P218" i="4"/>
  <c r="W208" i="5"/>
  <c r="Q218" i="4"/>
  <c r="X208" i="5"/>
  <c r="S218" i="4"/>
  <c r="AA208" i="5"/>
  <c r="AI218" i="4"/>
  <c r="T218" i="4" a="1"/>
  <c r="T218" i="4"/>
  <c r="AC208" i="5"/>
  <c r="U218" i="4" a="1"/>
  <c r="U218" i="4"/>
  <c r="AD208" i="5"/>
  <c r="X218" i="4"/>
  <c r="AI208" i="5"/>
  <c r="Y218" i="4"/>
  <c r="AJ208" i="5"/>
  <c r="Z218" i="4"/>
  <c r="AL208" i="5"/>
  <c r="F208" i="5"/>
  <c r="H208" i="5"/>
  <c r="I208" i="5"/>
  <c r="L208" i="5"/>
  <c r="N208" i="5"/>
  <c r="O208" i="5"/>
  <c r="Z208" i="5"/>
  <c r="AN208" i="5"/>
  <c r="AG209" i="5"/>
  <c r="AF209" i="5"/>
  <c r="C228" i="4"/>
  <c r="C209" i="5"/>
  <c r="D228" i="4"/>
  <c r="E209" i="5"/>
  <c r="E228" i="4"/>
  <c r="F209" i="5"/>
  <c r="F228" i="4"/>
  <c r="H209" i="5"/>
  <c r="I209" i="5"/>
  <c r="H228" i="4"/>
  <c r="K209" i="5"/>
  <c r="L228" i="4"/>
  <c r="Q209" i="5"/>
  <c r="M228" i="4"/>
  <c r="R209" i="5"/>
  <c r="T209" i="5"/>
  <c r="O228" i="4"/>
  <c r="U209" i="5"/>
  <c r="P228" i="4"/>
  <c r="W209" i="5"/>
  <c r="Q228" i="4"/>
  <c r="X209" i="5"/>
  <c r="S228" i="4"/>
  <c r="AA209" i="5"/>
  <c r="AI228" i="4"/>
  <c r="T228" i="4" a="1"/>
  <c r="T228" i="4"/>
  <c r="AC209" i="5"/>
  <c r="U228" i="4" a="1"/>
  <c r="U228" i="4"/>
  <c r="AD209" i="5"/>
  <c r="X228" i="4"/>
  <c r="AI209" i="5"/>
  <c r="Y228" i="4"/>
  <c r="AJ209" i="5"/>
  <c r="Z228" i="4"/>
  <c r="AL209" i="5"/>
  <c r="L209" i="5"/>
  <c r="N209" i="5"/>
  <c r="O209" i="5"/>
  <c r="Z209" i="5"/>
  <c r="AN209" i="5"/>
  <c r="AG210" i="5"/>
  <c r="AF210" i="5"/>
  <c r="B292" i="4"/>
  <c r="C292" i="4"/>
  <c r="C210" i="5"/>
  <c r="D292" i="4"/>
  <c r="E210" i="5"/>
  <c r="E292" i="4"/>
  <c r="F210" i="5"/>
  <c r="F292" i="4"/>
  <c r="H210" i="5"/>
  <c r="I210" i="5"/>
  <c r="H292" i="4"/>
  <c r="K210" i="5"/>
  <c r="L292" i="4"/>
  <c r="Q210" i="5"/>
  <c r="M292" i="4"/>
  <c r="R210" i="5"/>
  <c r="N292" i="4"/>
  <c r="T210" i="5"/>
  <c r="O292" i="4"/>
  <c r="U210" i="5"/>
  <c r="P292" i="4"/>
  <c r="W210" i="5"/>
  <c r="Q292" i="4"/>
  <c r="X210" i="5"/>
  <c r="S292" i="4"/>
  <c r="AA210" i="5"/>
  <c r="AC210" i="5"/>
  <c r="AD210" i="5"/>
  <c r="X292" i="4"/>
  <c r="AI210" i="5"/>
  <c r="Y292" i="4"/>
  <c r="AJ210" i="5"/>
  <c r="Z292" i="4"/>
  <c r="AL210" i="5"/>
  <c r="L210" i="5"/>
  <c r="N210" i="5"/>
  <c r="O210" i="5"/>
  <c r="Z210" i="5"/>
  <c r="AN210" i="5"/>
  <c r="AG211" i="5"/>
  <c r="AF211" i="5"/>
  <c r="C229" i="4"/>
  <c r="C211" i="5"/>
  <c r="D229" i="4"/>
  <c r="E211" i="5"/>
  <c r="E229" i="4"/>
  <c r="F211" i="5"/>
  <c r="F229" i="4"/>
  <c r="H211" i="5"/>
  <c r="I211" i="5"/>
  <c r="H229" i="4"/>
  <c r="K211" i="5"/>
  <c r="L229" i="4"/>
  <c r="Q211" i="5"/>
  <c r="M229" i="4"/>
  <c r="R211" i="5"/>
  <c r="T211" i="5"/>
  <c r="O229" i="4"/>
  <c r="U211" i="5"/>
  <c r="P229" i="4"/>
  <c r="W211" i="5"/>
  <c r="Q229" i="4"/>
  <c r="X211" i="5"/>
  <c r="S229" i="4"/>
  <c r="AA211" i="5"/>
  <c r="AI229" i="4"/>
  <c r="T229" i="4" a="1"/>
  <c r="T229" i="4"/>
  <c r="AC211" i="5"/>
  <c r="U229" i="4" a="1"/>
  <c r="U229" i="4"/>
  <c r="AD211" i="5"/>
  <c r="X229" i="4"/>
  <c r="AI211" i="5"/>
  <c r="Y229" i="4"/>
  <c r="AJ211" i="5"/>
  <c r="Z229" i="4"/>
  <c r="AL211" i="5"/>
  <c r="L211" i="5"/>
  <c r="N211" i="5"/>
  <c r="O211" i="5"/>
  <c r="Z211" i="5"/>
  <c r="AN211" i="5"/>
  <c r="AG212" i="5"/>
  <c r="AF212" i="5"/>
  <c r="C230" i="4"/>
  <c r="C212" i="5"/>
  <c r="D230" i="4"/>
  <c r="E212" i="5"/>
  <c r="E230" i="4"/>
  <c r="F212" i="5"/>
  <c r="F230" i="4"/>
  <c r="H212" i="5"/>
  <c r="I212" i="5"/>
  <c r="H230" i="4"/>
  <c r="K212" i="5"/>
  <c r="L230" i="4"/>
  <c r="Q212" i="5"/>
  <c r="M230" i="4"/>
  <c r="R212" i="5"/>
  <c r="T212" i="5"/>
  <c r="U212" i="5"/>
  <c r="P230" i="4"/>
  <c r="W212" i="5"/>
  <c r="Q230" i="4"/>
  <c r="X212" i="5"/>
  <c r="S230" i="4"/>
  <c r="AA212" i="5"/>
  <c r="AI230" i="4"/>
  <c r="T230" i="4" a="1"/>
  <c r="T230" i="4"/>
  <c r="AC212" i="5"/>
  <c r="U230" i="4" a="1"/>
  <c r="U230" i="4"/>
  <c r="AD212" i="5"/>
  <c r="X230" i="4"/>
  <c r="AI212" i="5"/>
  <c r="Y230" i="4"/>
  <c r="AJ212" i="5"/>
  <c r="Z230" i="4"/>
  <c r="AL212" i="5"/>
  <c r="L212" i="5"/>
  <c r="N212" i="5"/>
  <c r="O212" i="5"/>
  <c r="Z212" i="5"/>
  <c r="AN212" i="5"/>
  <c r="AG213" i="5"/>
  <c r="AF213" i="5"/>
  <c r="C141" i="4"/>
  <c r="C213" i="5"/>
  <c r="D141" i="4"/>
  <c r="E213" i="5"/>
  <c r="E141" i="4"/>
  <c r="F213" i="5"/>
  <c r="F141" i="4"/>
  <c r="H213" i="5"/>
  <c r="I213" i="5"/>
  <c r="H141" i="4"/>
  <c r="K213" i="5"/>
  <c r="L141" i="4"/>
  <c r="Q213" i="5"/>
  <c r="M141" i="4"/>
  <c r="R213" i="5"/>
  <c r="T213" i="5"/>
  <c r="O141" i="4"/>
  <c r="U213" i="5"/>
  <c r="P141" i="4"/>
  <c r="W213" i="5"/>
  <c r="Q141" i="4"/>
  <c r="X213" i="5"/>
  <c r="S141" i="4"/>
  <c r="AA213" i="5"/>
  <c r="AI141" i="4"/>
  <c r="T141" i="4" a="1"/>
  <c r="T141" i="4"/>
  <c r="AC213" i="5"/>
  <c r="U141" i="4" a="1"/>
  <c r="U141" i="4"/>
  <c r="AD213" i="5"/>
  <c r="X141" i="4"/>
  <c r="AI213" i="5"/>
  <c r="Y141" i="4"/>
  <c r="AJ213" i="5"/>
  <c r="Z141" i="4"/>
  <c r="AL213" i="5"/>
  <c r="L213" i="5"/>
  <c r="N213" i="5"/>
  <c r="O213" i="5"/>
  <c r="Z213" i="5"/>
  <c r="AN213" i="5"/>
  <c r="AG214" i="5"/>
  <c r="AF214" i="5"/>
  <c r="B297" i="4"/>
  <c r="C297" i="4"/>
  <c r="C214" i="5"/>
  <c r="D297" i="4"/>
  <c r="E214" i="5"/>
  <c r="E297" i="4"/>
  <c r="F214" i="5"/>
  <c r="F297" i="4"/>
  <c r="H214" i="5"/>
  <c r="I214" i="5"/>
  <c r="H297" i="4"/>
  <c r="K214" i="5"/>
  <c r="L297" i="4"/>
  <c r="Q214" i="5"/>
  <c r="M297" i="4"/>
  <c r="R214" i="5"/>
  <c r="T214" i="5"/>
  <c r="O297" i="4"/>
  <c r="U214" i="5"/>
  <c r="P297" i="4"/>
  <c r="W214" i="5"/>
  <c r="Q297" i="4"/>
  <c r="X214" i="5"/>
  <c r="S297" i="4"/>
  <c r="AA214" i="5"/>
  <c r="AI297" i="4"/>
  <c r="T297" i="4" a="1"/>
  <c r="T297" i="4"/>
  <c r="AC214" i="5"/>
  <c r="U297" i="4" a="1"/>
  <c r="U297" i="4"/>
  <c r="AD214" i="5"/>
  <c r="X297" i="4"/>
  <c r="AI214" i="5"/>
  <c r="Y297" i="4"/>
  <c r="AJ214" i="5"/>
  <c r="Z297" i="4"/>
  <c r="AL214" i="5"/>
  <c r="L214" i="5"/>
  <c r="N214" i="5"/>
  <c r="O214" i="5"/>
  <c r="Z214" i="5"/>
  <c r="AN214" i="5"/>
  <c r="O215" i="5"/>
  <c r="B259" i="4"/>
  <c r="H259" i="4"/>
  <c r="K215" i="5"/>
  <c r="AG215" i="5"/>
  <c r="AF215" i="5"/>
  <c r="C259" i="4"/>
  <c r="C215" i="5"/>
  <c r="D259" i="4"/>
  <c r="E215" i="5"/>
  <c r="E259" i="4"/>
  <c r="F215" i="5"/>
  <c r="F259" i="4"/>
  <c r="H215" i="5"/>
  <c r="I215" i="5"/>
  <c r="I259" i="4"/>
  <c r="L215" i="5"/>
  <c r="J259" i="4"/>
  <c r="N215" i="5"/>
  <c r="L259" i="4"/>
  <c r="Q215" i="5"/>
  <c r="M259" i="4"/>
  <c r="R215" i="5"/>
  <c r="N259" i="4"/>
  <c r="T215" i="5"/>
  <c r="O259" i="4"/>
  <c r="U215" i="5"/>
  <c r="P259" i="4"/>
  <c r="W215" i="5"/>
  <c r="Q259" i="4"/>
  <c r="X215" i="5"/>
  <c r="S259" i="4"/>
  <c r="AA215" i="5"/>
  <c r="AI259" i="4"/>
  <c r="T259" i="4" a="1"/>
  <c r="T259" i="4"/>
  <c r="AC215" i="5"/>
  <c r="U259" i="4" a="1"/>
  <c r="U259" i="4"/>
  <c r="AD215" i="5"/>
  <c r="X259" i="4"/>
  <c r="AI215" i="5"/>
  <c r="Y259" i="4"/>
  <c r="AJ215" i="5"/>
  <c r="Z259" i="4"/>
  <c r="AL215" i="5"/>
  <c r="Z215" i="5"/>
  <c r="AN215" i="5"/>
  <c r="O216" i="5"/>
  <c r="B260" i="4"/>
  <c r="H260" i="4"/>
  <c r="K216" i="5"/>
  <c r="AG216" i="5"/>
  <c r="AF216" i="5"/>
  <c r="C260" i="4"/>
  <c r="C216" i="5"/>
  <c r="D260" i="4"/>
  <c r="E216" i="5"/>
  <c r="E260" i="4"/>
  <c r="F216" i="5"/>
  <c r="F260" i="4"/>
  <c r="H216" i="5"/>
  <c r="I216" i="5"/>
  <c r="L260" i="4"/>
  <c r="Q216" i="5"/>
  <c r="M260" i="4"/>
  <c r="R216" i="5"/>
  <c r="T216" i="5"/>
  <c r="O260" i="4"/>
  <c r="U216" i="5"/>
  <c r="P260" i="4"/>
  <c r="W216" i="5"/>
  <c r="Q260" i="4"/>
  <c r="X216" i="5"/>
  <c r="S260" i="4"/>
  <c r="AA216" i="5"/>
  <c r="AI260" i="4"/>
  <c r="T260" i="4" a="1"/>
  <c r="T260" i="4"/>
  <c r="AC216" i="5"/>
  <c r="U260" i="4" a="1"/>
  <c r="U260" i="4"/>
  <c r="AD216" i="5"/>
  <c r="X260" i="4"/>
  <c r="AI216" i="5"/>
  <c r="Y260" i="4"/>
  <c r="AJ216" i="5"/>
  <c r="Z260" i="4"/>
  <c r="AL216" i="5"/>
  <c r="Z216" i="5"/>
  <c r="AN216" i="5"/>
  <c r="O217" i="5"/>
  <c r="B261" i="4"/>
  <c r="H261" i="4"/>
  <c r="K217" i="5"/>
  <c r="AG217" i="5"/>
  <c r="AF217" i="5"/>
  <c r="C261" i="4"/>
  <c r="C217" i="5"/>
  <c r="D261" i="4"/>
  <c r="E217" i="5"/>
  <c r="E261" i="4"/>
  <c r="F217" i="5"/>
  <c r="F261" i="4"/>
  <c r="H217" i="5"/>
  <c r="I217" i="5"/>
  <c r="I261" i="4"/>
  <c r="L217" i="5"/>
  <c r="J261" i="4"/>
  <c r="N217" i="5"/>
  <c r="L261" i="4"/>
  <c r="Q217" i="5"/>
  <c r="M261" i="4"/>
  <c r="R217" i="5"/>
  <c r="T217" i="5"/>
  <c r="O261" i="4"/>
  <c r="U217" i="5"/>
  <c r="P261" i="4"/>
  <c r="W217" i="5"/>
  <c r="Q261" i="4"/>
  <c r="X217" i="5"/>
  <c r="S261" i="4"/>
  <c r="AA217" i="5"/>
  <c r="AI261" i="4"/>
  <c r="T261" i="4" a="1"/>
  <c r="T261" i="4"/>
  <c r="AC217" i="5"/>
  <c r="U261" i="4" a="1"/>
  <c r="U261" i="4"/>
  <c r="AD217" i="5"/>
  <c r="X261" i="4"/>
  <c r="AI217" i="5"/>
  <c r="Y261" i="4"/>
  <c r="AJ217" i="5"/>
  <c r="Z261" i="4"/>
  <c r="AL217" i="5"/>
  <c r="Z217" i="5"/>
  <c r="AN217" i="5"/>
  <c r="AG218" i="5"/>
  <c r="AF218" i="5"/>
  <c r="B197" i="4"/>
  <c r="C197" i="4"/>
  <c r="C218" i="5"/>
  <c r="D197" i="4"/>
  <c r="E218" i="5"/>
  <c r="H197" i="4"/>
  <c r="K218" i="5"/>
  <c r="L197" i="4"/>
  <c r="Q218" i="5"/>
  <c r="M197" i="4"/>
  <c r="R218" i="5"/>
  <c r="N197" i="4"/>
  <c r="T218" i="5"/>
  <c r="O197" i="4"/>
  <c r="U218" i="5"/>
  <c r="P197" i="4"/>
  <c r="W218" i="5"/>
  <c r="Q197" i="4"/>
  <c r="X218" i="5"/>
  <c r="S197" i="4"/>
  <c r="AA218" i="5"/>
  <c r="AI197" i="4"/>
  <c r="T197" i="4" a="1"/>
  <c r="T197" i="4"/>
  <c r="AC218" i="5"/>
  <c r="U197" i="4" a="1"/>
  <c r="U197" i="4"/>
  <c r="AD218" i="5"/>
  <c r="X197" i="4"/>
  <c r="AI218" i="5"/>
  <c r="Y197" i="4"/>
  <c r="AJ218" i="5"/>
  <c r="Z197" i="4"/>
  <c r="AL218" i="5"/>
  <c r="F218" i="5"/>
  <c r="H218" i="5"/>
  <c r="I218" i="5"/>
  <c r="L218" i="5"/>
  <c r="N218" i="5"/>
  <c r="O218" i="5"/>
  <c r="Z218" i="5"/>
  <c r="AN218" i="5"/>
  <c r="AG219" i="5"/>
  <c r="AF219" i="5"/>
  <c r="C179" i="4"/>
  <c r="C219" i="5"/>
  <c r="D179" i="4"/>
  <c r="E219" i="5"/>
  <c r="E179" i="4"/>
  <c r="F219" i="5"/>
  <c r="F179" i="4"/>
  <c r="H219" i="5"/>
  <c r="I219" i="5"/>
  <c r="H179" i="4"/>
  <c r="K219" i="5"/>
  <c r="L179" i="4"/>
  <c r="Q219" i="5"/>
  <c r="M179" i="4"/>
  <c r="R219" i="5"/>
  <c r="T219" i="5"/>
  <c r="O179" i="4"/>
  <c r="U219" i="5"/>
  <c r="P179" i="4"/>
  <c r="W219" i="5"/>
  <c r="Q179" i="4"/>
  <c r="X219" i="5"/>
  <c r="AA219" i="5"/>
  <c r="AI179" i="4"/>
  <c r="T179" i="4" a="1"/>
  <c r="T179" i="4"/>
  <c r="AC219" i="5"/>
  <c r="U179" i="4" a="1"/>
  <c r="U179" i="4"/>
  <c r="AD219" i="5"/>
  <c r="X179" i="4"/>
  <c r="AI219" i="5"/>
  <c r="L219" i="5"/>
  <c r="N219" i="5"/>
  <c r="O219" i="5"/>
  <c r="Z219" i="5"/>
  <c r="AN219" i="5"/>
  <c r="AG220" i="5"/>
  <c r="AF220" i="5"/>
  <c r="C180" i="4"/>
  <c r="C220" i="5"/>
  <c r="D180" i="4"/>
  <c r="E220" i="5"/>
  <c r="E180" i="4"/>
  <c r="F220" i="5"/>
  <c r="F180" i="4"/>
  <c r="H220" i="5"/>
  <c r="I220" i="5"/>
  <c r="H180" i="4"/>
  <c r="K220" i="5"/>
  <c r="L180" i="4"/>
  <c r="Q220" i="5"/>
  <c r="M180" i="4"/>
  <c r="R220" i="5"/>
  <c r="T220" i="5"/>
  <c r="O180" i="4"/>
  <c r="U220" i="5"/>
  <c r="P180" i="4"/>
  <c r="W220" i="5"/>
  <c r="Q180" i="4"/>
  <c r="X220" i="5"/>
  <c r="S180" i="4"/>
  <c r="AA220" i="5"/>
  <c r="AI180" i="4"/>
  <c r="T180" i="4" a="1"/>
  <c r="T180" i="4"/>
  <c r="AC220" i="5"/>
  <c r="U180" i="4" a="1"/>
  <c r="U180" i="4"/>
  <c r="AD220" i="5"/>
  <c r="X180" i="4"/>
  <c r="AI220" i="5"/>
  <c r="Y180" i="4"/>
  <c r="AJ220" i="5"/>
  <c r="Z180" i="4"/>
  <c r="AL220" i="5"/>
  <c r="L220" i="5"/>
  <c r="N220" i="5"/>
  <c r="O220" i="5"/>
  <c r="Z220" i="5"/>
  <c r="AN220" i="5"/>
  <c r="O221" i="5"/>
  <c r="B198" i="4"/>
  <c r="H198" i="4"/>
  <c r="K221" i="5"/>
  <c r="AG221" i="5"/>
  <c r="AF221" i="5"/>
  <c r="C198" i="4"/>
  <c r="C221" i="5"/>
  <c r="D198" i="4"/>
  <c r="E221" i="5"/>
  <c r="E198" i="4"/>
  <c r="F221" i="5"/>
  <c r="F198" i="4"/>
  <c r="H221" i="5"/>
  <c r="I221" i="5"/>
  <c r="I15" i="2"/>
  <c r="I198" i="4"/>
  <c r="L221" i="5"/>
  <c r="J198" i="4"/>
  <c r="N221" i="5"/>
  <c r="L198" i="4"/>
  <c r="Q221" i="5"/>
  <c r="M198" i="4"/>
  <c r="R221" i="5"/>
  <c r="T221" i="5"/>
  <c r="O198" i="4"/>
  <c r="U221" i="5"/>
  <c r="P198" i="4"/>
  <c r="W221" i="5"/>
  <c r="Q198" i="4"/>
  <c r="X221" i="5"/>
  <c r="S198" i="4"/>
  <c r="AA221" i="5"/>
  <c r="AI198" i="4"/>
  <c r="T198" i="4" a="1"/>
  <c r="T198" i="4"/>
  <c r="AC221" i="5"/>
  <c r="U198" i="4" a="1"/>
  <c r="U198" i="4"/>
  <c r="AD221" i="5"/>
  <c r="X198" i="4"/>
  <c r="AI221" i="5"/>
  <c r="Y198" i="4"/>
  <c r="AJ221" i="5"/>
  <c r="Z198" i="4"/>
  <c r="AL221" i="5"/>
  <c r="Z221" i="5"/>
  <c r="AN221" i="5"/>
  <c r="AG222" i="5"/>
  <c r="AF222" i="5"/>
  <c r="C199" i="4"/>
  <c r="C222" i="5"/>
  <c r="T222" i="5"/>
  <c r="O199" i="4"/>
  <c r="U222" i="5"/>
  <c r="P199" i="4"/>
  <c r="W222" i="5"/>
  <c r="Q199" i="4"/>
  <c r="X222" i="5"/>
  <c r="S199" i="4"/>
  <c r="AA222" i="5"/>
  <c r="AI199" i="4"/>
  <c r="T199" i="4" a="1"/>
  <c r="T199" i="4"/>
  <c r="AC222" i="5"/>
  <c r="U199" i="4" a="1"/>
  <c r="U199" i="4"/>
  <c r="AD222" i="5"/>
  <c r="AI222" i="5"/>
  <c r="Y199" i="4"/>
  <c r="AJ222" i="5"/>
  <c r="Z199" i="4"/>
  <c r="AL222" i="5"/>
  <c r="L222" i="5"/>
  <c r="N222" i="5"/>
  <c r="O222" i="5"/>
  <c r="Z222" i="5"/>
  <c r="AN222" i="5"/>
  <c r="AG223" i="5"/>
  <c r="AF223" i="5"/>
  <c r="B98" i="4"/>
  <c r="C98" i="4"/>
  <c r="C223" i="5"/>
  <c r="E223" i="5"/>
  <c r="K223" i="5"/>
  <c r="L98" i="4"/>
  <c r="Q223" i="5"/>
  <c r="M21" i="2"/>
  <c r="M98" i="4"/>
  <c r="R223" i="5"/>
  <c r="T223" i="5"/>
  <c r="O98" i="4"/>
  <c r="U223" i="5"/>
  <c r="P98" i="4"/>
  <c r="W223" i="5"/>
  <c r="X223" i="5"/>
  <c r="AA223" i="5"/>
  <c r="AI98" i="4"/>
  <c r="T98" i="4" a="1"/>
  <c r="T98" i="4"/>
  <c r="AC223" i="5"/>
  <c r="U98" i="4" a="1"/>
  <c r="U98" i="4"/>
  <c r="AD223" i="5"/>
  <c r="X98" i="4"/>
  <c r="AI223" i="5"/>
  <c r="Y98" i="4"/>
  <c r="AJ223" i="5"/>
  <c r="Z98" i="4"/>
  <c r="AL223" i="5"/>
  <c r="F223" i="5"/>
  <c r="H223" i="5"/>
  <c r="I223" i="5"/>
  <c r="L223" i="5"/>
  <c r="N223" i="5"/>
  <c r="O223" i="5"/>
  <c r="Z223" i="5"/>
  <c r="AN223" i="5"/>
  <c r="O224" i="5"/>
  <c r="B12" i="4"/>
  <c r="H12" i="4"/>
  <c r="K224" i="5"/>
  <c r="AG224" i="5"/>
  <c r="AF224" i="5"/>
  <c r="C12" i="4"/>
  <c r="C224" i="5"/>
  <c r="D12" i="4"/>
  <c r="E224" i="5"/>
  <c r="I12" i="4"/>
  <c r="L224" i="5"/>
  <c r="J12" i="4"/>
  <c r="N224" i="5"/>
  <c r="L12" i="4"/>
  <c r="Q224" i="5"/>
  <c r="M12" i="4"/>
  <c r="R224" i="5"/>
  <c r="T224" i="5"/>
  <c r="O12" i="4"/>
  <c r="U224" i="5"/>
  <c r="P12" i="4"/>
  <c r="W224" i="5"/>
  <c r="Q12" i="4"/>
  <c r="X224" i="5"/>
  <c r="AA224" i="5"/>
  <c r="AI12" i="4"/>
  <c r="T12" i="4" a="1"/>
  <c r="T12" i="4"/>
  <c r="AC224" i="5"/>
  <c r="U12" i="4" a="1"/>
  <c r="U12" i="4"/>
  <c r="AD224" i="5"/>
  <c r="X12" i="4"/>
  <c r="AI224" i="5"/>
  <c r="Y12" i="4"/>
  <c r="AJ224" i="5"/>
  <c r="Z12" i="4"/>
  <c r="AL224" i="5"/>
  <c r="F224" i="5"/>
  <c r="H224" i="5"/>
  <c r="I224" i="5"/>
  <c r="Z224" i="5"/>
  <c r="AN224" i="5"/>
  <c r="AG225" i="5"/>
  <c r="AF225" i="5"/>
  <c r="C293" i="4"/>
  <c r="C225" i="5"/>
  <c r="E29" i="2"/>
  <c r="F29" i="2"/>
  <c r="T225" i="5"/>
  <c r="O293" i="4"/>
  <c r="U225" i="5"/>
  <c r="P293" i="4"/>
  <c r="W225" i="5"/>
  <c r="S293" i="4"/>
  <c r="AA225" i="5"/>
  <c r="AI293" i="4"/>
  <c r="T293" i="4" a="1"/>
  <c r="T293" i="4"/>
  <c r="AC225" i="5"/>
  <c r="U293" i="4" a="1"/>
  <c r="U293" i="4"/>
  <c r="AD225" i="5"/>
  <c r="X293" i="4"/>
  <c r="AI225" i="5"/>
  <c r="Y293" i="4"/>
  <c r="AJ225" i="5"/>
  <c r="Z293" i="4"/>
  <c r="AL225" i="5"/>
  <c r="L225" i="5"/>
  <c r="N225" i="5"/>
  <c r="O225" i="5"/>
  <c r="X225" i="5"/>
  <c r="Z225" i="5"/>
  <c r="AN225" i="5"/>
  <c r="AG226" i="5"/>
  <c r="AF226" i="5"/>
  <c r="C181" i="4"/>
  <c r="C226" i="5"/>
  <c r="T226" i="5"/>
  <c r="U226" i="5"/>
  <c r="P181" i="4"/>
  <c r="W226" i="5"/>
  <c r="Q181" i="4"/>
  <c r="X226" i="5"/>
  <c r="R181" i="4"/>
  <c r="Z226" i="5"/>
  <c r="S181" i="4"/>
  <c r="AA226" i="5"/>
  <c r="AI181" i="4"/>
  <c r="T181" i="4" a="1"/>
  <c r="T181" i="4"/>
  <c r="AC226" i="5"/>
  <c r="U181" i="4" a="1"/>
  <c r="U181" i="4"/>
  <c r="AD226" i="5"/>
  <c r="X181" i="4"/>
  <c r="AI226" i="5"/>
  <c r="Y181" i="4"/>
  <c r="AJ226" i="5"/>
  <c r="Z181" i="4"/>
  <c r="AL226" i="5"/>
  <c r="AN226" i="5"/>
  <c r="AG227" i="5"/>
  <c r="AF227" i="5"/>
  <c r="B114" i="4"/>
  <c r="C114" i="4"/>
  <c r="C227" i="5"/>
  <c r="E227" i="5"/>
  <c r="H114" i="4"/>
  <c r="K227" i="5"/>
  <c r="L114" i="4"/>
  <c r="Q227" i="5"/>
  <c r="M114" i="4"/>
  <c r="R227" i="5"/>
  <c r="T227" i="5"/>
  <c r="O114" i="4"/>
  <c r="U227" i="5"/>
  <c r="P114" i="4"/>
  <c r="W227" i="5"/>
  <c r="X227" i="5"/>
  <c r="AA227" i="5"/>
  <c r="AI114" i="4"/>
  <c r="T114" i="4" a="1"/>
  <c r="T114" i="4"/>
  <c r="AC227" i="5"/>
  <c r="U114" i="4" a="1"/>
  <c r="U114" i="4"/>
  <c r="AD227" i="5"/>
  <c r="AI227" i="5"/>
  <c r="AJ227" i="5"/>
  <c r="Z114" i="4"/>
  <c r="AL227" i="5"/>
  <c r="F227" i="5"/>
  <c r="H227" i="5"/>
  <c r="I227" i="5"/>
  <c r="L227" i="5"/>
  <c r="N227" i="5"/>
  <c r="O227" i="5"/>
  <c r="Z227" i="5"/>
  <c r="AN227" i="5"/>
  <c r="O228" i="5"/>
  <c r="K228" i="5"/>
  <c r="AG228" i="5"/>
  <c r="AF228" i="5"/>
  <c r="B48" i="4"/>
  <c r="C48" i="4"/>
  <c r="C228" i="5"/>
  <c r="D48" i="4"/>
  <c r="E228" i="5"/>
  <c r="E48" i="4"/>
  <c r="F228" i="5"/>
  <c r="F48" i="4"/>
  <c r="H228" i="5"/>
  <c r="I228" i="5"/>
  <c r="I19" i="2"/>
  <c r="I48" i="4"/>
  <c r="L228" i="5"/>
  <c r="J19" i="2"/>
  <c r="J48" i="4"/>
  <c r="N228" i="5"/>
  <c r="L48" i="4"/>
  <c r="Q228" i="5"/>
  <c r="M48" i="4"/>
  <c r="R228" i="5"/>
  <c r="T228" i="5"/>
  <c r="O48" i="4"/>
  <c r="U228" i="5"/>
  <c r="P48" i="4"/>
  <c r="W228" i="5"/>
  <c r="Q48" i="4"/>
  <c r="X228" i="5"/>
  <c r="S48" i="4"/>
  <c r="AA228" i="5"/>
  <c r="AI48" i="4"/>
  <c r="T48" i="4" a="1"/>
  <c r="T48" i="4"/>
  <c r="AC228" i="5"/>
  <c r="U48" i="4" a="1"/>
  <c r="U48" i="4"/>
  <c r="AD228" i="5"/>
  <c r="AI228" i="5"/>
  <c r="Y48" i="4"/>
  <c r="AJ228" i="5"/>
  <c r="Z48" i="4"/>
  <c r="AL228" i="5"/>
  <c r="Z228" i="5"/>
  <c r="AN228" i="5"/>
  <c r="AG229" i="5"/>
  <c r="AF229" i="5"/>
  <c r="B294" i="4"/>
  <c r="C294" i="4"/>
  <c r="C229" i="5"/>
  <c r="D294" i="4"/>
  <c r="E229" i="5"/>
  <c r="E294" i="4"/>
  <c r="F229" i="5"/>
  <c r="F294" i="4"/>
  <c r="H229" i="5"/>
  <c r="I229" i="5"/>
  <c r="H294" i="4"/>
  <c r="K229" i="5"/>
  <c r="L294" i="4"/>
  <c r="Q229" i="5"/>
  <c r="M294" i="4"/>
  <c r="R229" i="5"/>
  <c r="T229" i="5"/>
  <c r="O294" i="4"/>
  <c r="U229" i="5"/>
  <c r="P294" i="4"/>
  <c r="W229" i="5"/>
  <c r="Q294" i="4"/>
  <c r="X229" i="5"/>
  <c r="S294" i="4"/>
  <c r="AA229" i="5"/>
  <c r="AI294" i="4"/>
  <c r="T294" i="4" a="1"/>
  <c r="T294" i="4"/>
  <c r="AC229" i="5"/>
  <c r="U294" i="4" a="1"/>
  <c r="U294" i="4"/>
  <c r="AD229" i="5"/>
  <c r="X294" i="4"/>
  <c r="AI229" i="5"/>
  <c r="Y294" i="4"/>
  <c r="AJ229" i="5"/>
  <c r="Z294" i="4"/>
  <c r="AL229" i="5"/>
  <c r="L229" i="5"/>
  <c r="N229" i="5"/>
  <c r="O229" i="5"/>
  <c r="Z229" i="5"/>
  <c r="AN229" i="5"/>
  <c r="AG230" i="5"/>
  <c r="AF230" i="5"/>
  <c r="C231" i="4"/>
  <c r="C230" i="5"/>
  <c r="E24" i="2"/>
  <c r="F24" i="2"/>
  <c r="T230" i="5"/>
  <c r="U230" i="5"/>
  <c r="P231" i="4"/>
  <c r="W230" i="5"/>
  <c r="Q231" i="4"/>
  <c r="X230" i="5"/>
  <c r="S231" i="4"/>
  <c r="AA230" i="5"/>
  <c r="AI231" i="4"/>
  <c r="T231" i="4" a="1"/>
  <c r="T231" i="4"/>
  <c r="AC230" i="5"/>
  <c r="U231" i="4" a="1"/>
  <c r="U231" i="4"/>
  <c r="AD230" i="5"/>
  <c r="X231" i="4"/>
  <c r="AI230" i="5"/>
  <c r="Y231" i="4"/>
  <c r="AJ230" i="5"/>
  <c r="Z231" i="4"/>
  <c r="AL230" i="5"/>
  <c r="Z230" i="5"/>
  <c r="AN230" i="5"/>
  <c r="AG231" i="5"/>
  <c r="AF231" i="5"/>
  <c r="B209" i="4"/>
  <c r="C209" i="4"/>
  <c r="C231" i="5"/>
  <c r="D209" i="4"/>
  <c r="E231" i="5"/>
  <c r="H209" i="4"/>
  <c r="K231" i="5"/>
  <c r="L209" i="4"/>
  <c r="Q231" i="5"/>
  <c r="M209" i="4"/>
  <c r="R231" i="5"/>
  <c r="T231" i="5"/>
  <c r="O209" i="4"/>
  <c r="U231" i="5"/>
  <c r="P209" i="4"/>
  <c r="W231" i="5"/>
  <c r="Q209" i="4"/>
  <c r="X231" i="5"/>
  <c r="S209" i="4"/>
  <c r="AA231" i="5"/>
  <c r="AI209" i="4"/>
  <c r="T209" i="4" a="1"/>
  <c r="T209" i="4"/>
  <c r="AC231" i="5"/>
  <c r="U209" i="4" a="1"/>
  <c r="U209" i="4"/>
  <c r="AD231" i="5"/>
  <c r="X209" i="4"/>
  <c r="AI231" i="5"/>
  <c r="Y209" i="4"/>
  <c r="AJ231" i="5"/>
  <c r="Z209" i="4"/>
  <c r="AL231" i="5"/>
  <c r="L231" i="5"/>
  <c r="N231" i="5"/>
  <c r="O231" i="5"/>
  <c r="F231" i="5"/>
  <c r="H231" i="5"/>
  <c r="I231" i="5"/>
  <c r="Z231" i="5"/>
  <c r="AN231" i="5"/>
  <c r="AG232" i="5"/>
  <c r="AF232" i="5"/>
  <c r="B284" i="4"/>
  <c r="C284" i="4"/>
  <c r="C232" i="5"/>
  <c r="D284" i="4"/>
  <c r="E232" i="5"/>
  <c r="H284" i="4"/>
  <c r="K232" i="5"/>
  <c r="L284" i="4"/>
  <c r="Q232" i="5"/>
  <c r="M284" i="4"/>
  <c r="R232" i="5"/>
  <c r="T232" i="5"/>
  <c r="O284" i="4"/>
  <c r="U232" i="5"/>
  <c r="P284" i="4"/>
  <c r="W232" i="5"/>
  <c r="Q284" i="4"/>
  <c r="X232" i="5"/>
  <c r="S284" i="4"/>
  <c r="AA232" i="5"/>
  <c r="AI284" i="4"/>
  <c r="T284" i="4" a="1"/>
  <c r="T284" i="4"/>
  <c r="AC232" i="5"/>
  <c r="U284" i="4" a="1"/>
  <c r="U284" i="4"/>
  <c r="AD232" i="5"/>
  <c r="X284" i="4"/>
  <c r="AI232" i="5"/>
  <c r="Y284" i="4"/>
  <c r="AJ232" i="5"/>
  <c r="Z284" i="4"/>
  <c r="AL232" i="5"/>
  <c r="L232" i="5"/>
  <c r="N232" i="5"/>
  <c r="O232" i="5"/>
  <c r="F232" i="5"/>
  <c r="H232" i="5"/>
  <c r="I232" i="5"/>
  <c r="Z232" i="5"/>
  <c r="AN232" i="5"/>
  <c r="S142" i="4"/>
  <c r="AA233" i="5"/>
  <c r="P142" i="4"/>
  <c r="W233" i="5"/>
  <c r="AG233" i="5"/>
  <c r="AF233" i="5"/>
  <c r="C142" i="4"/>
  <c r="C233" i="5"/>
  <c r="D142" i="4"/>
  <c r="E233" i="5"/>
  <c r="K233" i="5"/>
  <c r="L142" i="4"/>
  <c r="Q233" i="5"/>
  <c r="M142" i="4"/>
  <c r="R233" i="5"/>
  <c r="T233" i="5"/>
  <c r="U233" i="5"/>
  <c r="Q142" i="4"/>
  <c r="X233" i="5"/>
  <c r="R142" i="4"/>
  <c r="Z233" i="5"/>
  <c r="AI142" i="4"/>
  <c r="T142" i="4" a="1"/>
  <c r="T142" i="4"/>
  <c r="AC233" i="5"/>
  <c r="U142" i="4" a="1"/>
  <c r="U142" i="4"/>
  <c r="AD233" i="5"/>
  <c r="X142" i="4"/>
  <c r="AI233" i="5"/>
  <c r="Y142" i="4"/>
  <c r="AJ233" i="5"/>
  <c r="Z142" i="4"/>
  <c r="AL233" i="5"/>
  <c r="L233" i="5"/>
  <c r="N233" i="5"/>
  <c r="O233" i="5"/>
  <c r="F233" i="5"/>
  <c r="H233" i="5"/>
  <c r="I233" i="5"/>
  <c r="AN233" i="5"/>
  <c r="AG234" i="5"/>
  <c r="AF234" i="5"/>
  <c r="B27" i="4"/>
  <c r="C27" i="4"/>
  <c r="C234" i="5"/>
  <c r="D27" i="4"/>
  <c r="E234" i="5"/>
  <c r="K234" i="5"/>
  <c r="L27" i="4"/>
  <c r="Q234" i="5"/>
  <c r="M27" i="4"/>
  <c r="R234" i="5"/>
  <c r="T234" i="5"/>
  <c r="U234" i="5"/>
  <c r="P27" i="4"/>
  <c r="W234" i="5"/>
  <c r="Q27" i="4"/>
  <c r="X234" i="5"/>
  <c r="S27" i="4"/>
  <c r="AA234" i="5"/>
  <c r="AI27" i="4"/>
  <c r="T27" i="4" a="1"/>
  <c r="T27" i="4"/>
  <c r="AC234" i="5"/>
  <c r="U27" i="4" a="1"/>
  <c r="U27" i="4"/>
  <c r="AD234" i="5"/>
  <c r="X27" i="4"/>
  <c r="AI234" i="5"/>
  <c r="Y27" i="4"/>
  <c r="AJ234" i="5"/>
  <c r="Z27" i="4"/>
  <c r="AL234" i="5"/>
  <c r="F234" i="5"/>
  <c r="H234" i="5"/>
  <c r="I234" i="5"/>
  <c r="L234" i="5"/>
  <c r="N234" i="5"/>
  <c r="O234" i="5"/>
  <c r="Z234" i="5"/>
  <c r="AN234" i="5"/>
  <c r="AG235" i="5"/>
  <c r="AF235" i="5"/>
  <c r="C143" i="4"/>
  <c r="C235" i="5"/>
  <c r="D143" i="4"/>
  <c r="E235" i="5"/>
  <c r="K235" i="5"/>
  <c r="L143" i="4"/>
  <c r="Q235" i="5"/>
  <c r="M143" i="4"/>
  <c r="R235" i="5"/>
  <c r="T235" i="5"/>
  <c r="U235" i="5"/>
  <c r="P143" i="4"/>
  <c r="W235" i="5"/>
  <c r="Q143" i="4"/>
  <c r="X235" i="5"/>
  <c r="S143" i="4"/>
  <c r="AA235" i="5"/>
  <c r="AI143" i="4"/>
  <c r="T143" i="4" a="1"/>
  <c r="T143" i="4"/>
  <c r="AC235" i="5"/>
  <c r="U143" i="4" a="1"/>
  <c r="U143" i="4"/>
  <c r="AD235" i="5"/>
  <c r="X143" i="4"/>
  <c r="AI235" i="5"/>
  <c r="Y143" i="4"/>
  <c r="AJ235" i="5"/>
  <c r="Z143" i="4"/>
  <c r="AL235" i="5"/>
  <c r="F235" i="5"/>
  <c r="H235" i="5"/>
  <c r="I235" i="5"/>
  <c r="L235" i="5"/>
  <c r="N235" i="5"/>
  <c r="O235" i="5"/>
  <c r="Z235" i="5"/>
  <c r="AN235" i="5"/>
  <c r="AG236" i="5"/>
  <c r="AF236" i="5"/>
  <c r="C144" i="4"/>
  <c r="C236" i="5"/>
  <c r="D144" i="4"/>
  <c r="E236" i="5"/>
  <c r="K236" i="5"/>
  <c r="L144" i="4"/>
  <c r="Q236" i="5"/>
  <c r="M144" i="4"/>
  <c r="R236" i="5"/>
  <c r="T236" i="5"/>
  <c r="U236" i="5"/>
  <c r="P144" i="4"/>
  <c r="W236" i="5"/>
  <c r="Q144" i="4"/>
  <c r="X236" i="5"/>
  <c r="S144" i="4"/>
  <c r="AA236" i="5"/>
  <c r="AI144" i="4"/>
  <c r="T144" i="4" a="1"/>
  <c r="T144" i="4"/>
  <c r="AC236" i="5"/>
  <c r="U144" i="4" a="1"/>
  <c r="U144" i="4"/>
  <c r="AD236" i="5"/>
  <c r="X144" i="4"/>
  <c r="AI236" i="5"/>
  <c r="Y144" i="4"/>
  <c r="AJ236" i="5"/>
  <c r="Z144" i="4"/>
  <c r="AL236" i="5"/>
  <c r="F236" i="5"/>
  <c r="H236" i="5"/>
  <c r="I236" i="5"/>
  <c r="L236" i="5"/>
  <c r="N236" i="5"/>
  <c r="O236" i="5"/>
  <c r="Z236" i="5"/>
  <c r="AN236" i="5"/>
  <c r="AG237" i="5"/>
  <c r="AF237" i="5"/>
  <c r="B28" i="4"/>
  <c r="C28" i="4"/>
  <c r="C237" i="5"/>
  <c r="D28" i="4"/>
  <c r="E237" i="5"/>
  <c r="K237" i="5"/>
  <c r="L28" i="4"/>
  <c r="Q237" i="5"/>
  <c r="M28" i="4"/>
  <c r="R237" i="5"/>
  <c r="T237" i="5"/>
  <c r="U237" i="5"/>
  <c r="P28" i="4"/>
  <c r="W237" i="5"/>
  <c r="Q28" i="4"/>
  <c r="X237" i="5"/>
  <c r="S28" i="4"/>
  <c r="AA237" i="5"/>
  <c r="AI28" i="4"/>
  <c r="T28" i="4" a="1"/>
  <c r="T28" i="4"/>
  <c r="AC237" i="5"/>
  <c r="U28" i="4" a="1"/>
  <c r="U28" i="4"/>
  <c r="AD237" i="5"/>
  <c r="X28" i="4"/>
  <c r="AI237" i="5"/>
  <c r="Y28" i="4"/>
  <c r="AJ237" i="5"/>
  <c r="Z28" i="4"/>
  <c r="AL237" i="5"/>
  <c r="F237" i="5"/>
  <c r="H237" i="5"/>
  <c r="I237" i="5"/>
  <c r="L237" i="5"/>
  <c r="N237" i="5"/>
  <c r="O237" i="5"/>
  <c r="Z237" i="5"/>
  <c r="AN237" i="5"/>
  <c r="AG238" i="5"/>
  <c r="AF238" i="5"/>
  <c r="C145" i="4"/>
  <c r="C238" i="5"/>
  <c r="D145" i="4"/>
  <c r="E238" i="5"/>
  <c r="K238" i="5"/>
  <c r="L145" i="4"/>
  <c r="Q238" i="5"/>
  <c r="M145" i="4"/>
  <c r="R238" i="5"/>
  <c r="T238" i="5"/>
  <c r="U238" i="5"/>
  <c r="P145" i="4"/>
  <c r="W238" i="5"/>
  <c r="Q145" i="4"/>
  <c r="X238" i="5"/>
  <c r="S145" i="4"/>
  <c r="AA238" i="5"/>
  <c r="AI145" i="4"/>
  <c r="T145" i="4" a="1"/>
  <c r="T145" i="4"/>
  <c r="AC238" i="5"/>
  <c r="U145" i="4" a="1"/>
  <c r="U145" i="4"/>
  <c r="AD238" i="5"/>
  <c r="X145" i="4"/>
  <c r="AI238" i="5"/>
  <c r="Y145" i="4"/>
  <c r="AJ238" i="5"/>
  <c r="Z145" i="4"/>
  <c r="AL238" i="5"/>
  <c r="F238" i="5"/>
  <c r="H238" i="5"/>
  <c r="I238" i="5"/>
  <c r="L238" i="5"/>
  <c r="N238" i="5"/>
  <c r="O238" i="5"/>
  <c r="Z238" i="5"/>
  <c r="AN238" i="5"/>
  <c r="AG239" i="5"/>
  <c r="AF239" i="5"/>
  <c r="B285" i="4"/>
  <c r="C285" i="4"/>
  <c r="C239" i="5"/>
  <c r="D285" i="4"/>
  <c r="E239" i="5"/>
  <c r="E285" i="4"/>
  <c r="F239" i="5"/>
  <c r="F285" i="4"/>
  <c r="H239" i="5"/>
  <c r="I239" i="5"/>
  <c r="K239" i="5"/>
  <c r="L285" i="4"/>
  <c r="Q239" i="5"/>
  <c r="M285" i="4"/>
  <c r="R239" i="5"/>
  <c r="T239" i="5"/>
  <c r="O285" i="4"/>
  <c r="U239" i="5"/>
  <c r="P285" i="4"/>
  <c r="W239" i="5"/>
  <c r="Q285" i="4"/>
  <c r="X239" i="5"/>
  <c r="S285" i="4"/>
  <c r="AA239" i="5"/>
  <c r="AI285" i="4"/>
  <c r="T285" i="4" a="1"/>
  <c r="T285" i="4"/>
  <c r="AC239" i="5"/>
  <c r="U285" i="4" a="1"/>
  <c r="U285" i="4"/>
  <c r="AD239" i="5"/>
  <c r="X285" i="4"/>
  <c r="AI239" i="5"/>
  <c r="Y285" i="4"/>
  <c r="AJ239" i="5"/>
  <c r="Z285" i="4"/>
  <c r="AL239" i="5"/>
  <c r="L239" i="5"/>
  <c r="N239" i="5"/>
  <c r="O239" i="5"/>
  <c r="Z239" i="5"/>
  <c r="AN239" i="5"/>
  <c r="AG240" i="5"/>
  <c r="AF240" i="5"/>
  <c r="C286" i="4"/>
  <c r="C240" i="5"/>
  <c r="E21" i="2"/>
  <c r="F21" i="2"/>
  <c r="T240" i="5"/>
  <c r="O286" i="4"/>
  <c r="U240" i="5"/>
  <c r="P286" i="4"/>
  <c r="W240" i="5"/>
  <c r="S286" i="4"/>
  <c r="AA240" i="5"/>
  <c r="AI286" i="4"/>
  <c r="T286" i="4" a="1"/>
  <c r="T286" i="4"/>
  <c r="AC240" i="5"/>
  <c r="U286" i="4" a="1"/>
  <c r="U286" i="4"/>
  <c r="AD240" i="5"/>
  <c r="X286" i="4"/>
  <c r="AI240" i="5"/>
  <c r="Y286" i="4"/>
  <c r="AJ240" i="5"/>
  <c r="Z286" i="4"/>
  <c r="AL240" i="5"/>
  <c r="X240" i="5"/>
  <c r="Z240" i="5"/>
  <c r="AN240" i="5"/>
  <c r="AG241" i="5"/>
  <c r="AF241" i="5"/>
  <c r="B51" i="4"/>
  <c r="C51" i="4"/>
  <c r="C241" i="5"/>
  <c r="D51" i="4"/>
  <c r="E241" i="5"/>
  <c r="H51" i="4"/>
  <c r="K241" i="5"/>
  <c r="L51" i="4"/>
  <c r="Q241" i="5"/>
  <c r="M51" i="4"/>
  <c r="R241" i="5"/>
  <c r="T241" i="5"/>
  <c r="U241" i="5"/>
  <c r="P51" i="4"/>
  <c r="W241" i="5"/>
  <c r="Q51" i="4"/>
  <c r="X241" i="5"/>
  <c r="AA241" i="5"/>
  <c r="AI51" i="4"/>
  <c r="T51" i="4" a="1"/>
  <c r="T51" i="4"/>
  <c r="AC241" i="5"/>
  <c r="U51" i="4" a="1"/>
  <c r="U51" i="4"/>
  <c r="AD241" i="5"/>
  <c r="Y51" i="4"/>
  <c r="AJ241" i="5"/>
  <c r="Z51" i="4"/>
  <c r="AL241" i="5"/>
  <c r="F241" i="5"/>
  <c r="H241" i="5"/>
  <c r="I241" i="5"/>
  <c r="L241" i="5"/>
  <c r="N241" i="5"/>
  <c r="O241" i="5"/>
  <c r="Z241" i="5"/>
  <c r="AN241" i="5"/>
  <c r="AG242" i="5"/>
  <c r="AF242" i="5"/>
  <c r="B52" i="4"/>
  <c r="C52" i="4"/>
  <c r="C242" i="5"/>
  <c r="D52" i="4"/>
  <c r="E242" i="5"/>
  <c r="H52" i="4"/>
  <c r="K242" i="5"/>
  <c r="L52" i="4"/>
  <c r="Q242" i="5"/>
  <c r="M52" i="4"/>
  <c r="R242" i="5"/>
  <c r="T242" i="5"/>
  <c r="O52" i="4"/>
  <c r="U242" i="5"/>
  <c r="P52" i="4"/>
  <c r="W242" i="5"/>
  <c r="Q52" i="4"/>
  <c r="X242" i="5"/>
  <c r="AA242" i="5"/>
  <c r="AI52" i="4"/>
  <c r="T52" i="4" a="1"/>
  <c r="T52" i="4"/>
  <c r="AC242" i="5"/>
  <c r="U52" i="4" a="1"/>
  <c r="U52" i="4"/>
  <c r="AD242" i="5"/>
  <c r="AI242" i="5"/>
  <c r="Y52" i="4"/>
  <c r="AJ242" i="5"/>
  <c r="Z52" i="4"/>
  <c r="AL242" i="5"/>
  <c r="F242" i="5"/>
  <c r="H242" i="5"/>
  <c r="I242" i="5"/>
  <c r="L242" i="5"/>
  <c r="N242" i="5"/>
  <c r="O242" i="5"/>
  <c r="Z242" i="5"/>
  <c r="AN242" i="5"/>
  <c r="AG243" i="5"/>
  <c r="AF243" i="5"/>
  <c r="B53" i="4"/>
  <c r="C53" i="4"/>
  <c r="C243" i="5"/>
  <c r="D53" i="4"/>
  <c r="E243" i="5"/>
  <c r="H53" i="4"/>
  <c r="K243" i="5"/>
  <c r="L53" i="4"/>
  <c r="Q243" i="5"/>
  <c r="M53" i="4"/>
  <c r="R243" i="5"/>
  <c r="T243" i="5"/>
  <c r="O53" i="4"/>
  <c r="U243" i="5"/>
  <c r="P53" i="4"/>
  <c r="W243" i="5"/>
  <c r="Q53" i="4"/>
  <c r="X243" i="5"/>
  <c r="AA243" i="5"/>
  <c r="AI53" i="4"/>
  <c r="T53" i="4" a="1"/>
  <c r="T53" i="4"/>
  <c r="AC243" i="5"/>
  <c r="U53" i="4" a="1"/>
  <c r="U53" i="4"/>
  <c r="AD243" i="5"/>
  <c r="AI243" i="5"/>
  <c r="Y53" i="4"/>
  <c r="AJ243" i="5"/>
  <c r="Z53" i="4"/>
  <c r="AL243" i="5"/>
  <c r="F243" i="5"/>
  <c r="H243" i="5"/>
  <c r="I243" i="5"/>
  <c r="L243" i="5"/>
  <c r="N243" i="5"/>
  <c r="O243" i="5"/>
  <c r="Z243" i="5"/>
  <c r="AN243" i="5"/>
  <c r="AG244" i="5"/>
  <c r="AF244" i="5"/>
  <c r="B54" i="4"/>
  <c r="C54" i="4"/>
  <c r="C244" i="5"/>
  <c r="D54" i="4"/>
  <c r="E244" i="5"/>
  <c r="H54" i="4"/>
  <c r="K244" i="5"/>
  <c r="L54" i="4"/>
  <c r="Q244" i="5"/>
  <c r="M54" i="4"/>
  <c r="R244" i="5"/>
  <c r="T244" i="5"/>
  <c r="U244" i="5"/>
  <c r="P54" i="4"/>
  <c r="W244" i="5"/>
  <c r="Q54" i="4"/>
  <c r="X244" i="5"/>
  <c r="AA244" i="5"/>
  <c r="AI54" i="4"/>
  <c r="T54" i="4" a="1"/>
  <c r="T54" i="4"/>
  <c r="AC244" i="5"/>
  <c r="U54" i="4" a="1"/>
  <c r="U54" i="4"/>
  <c r="AD244" i="5"/>
  <c r="X54" i="4"/>
  <c r="AI244" i="5"/>
  <c r="Y54" i="4"/>
  <c r="AJ244" i="5"/>
  <c r="Z54" i="4"/>
  <c r="AL244" i="5"/>
  <c r="F244" i="5"/>
  <c r="H244" i="5"/>
  <c r="I244" i="5"/>
  <c r="L244" i="5"/>
  <c r="N244" i="5"/>
  <c r="O244" i="5"/>
  <c r="Z244" i="5"/>
  <c r="AN244" i="5"/>
  <c r="AG245" i="5"/>
  <c r="AF245" i="5"/>
  <c r="B55" i="4"/>
  <c r="C55" i="4"/>
  <c r="C245" i="5"/>
  <c r="D55" i="4"/>
  <c r="E245" i="5"/>
  <c r="H55" i="4"/>
  <c r="K245" i="5"/>
  <c r="L55" i="4"/>
  <c r="Q245" i="5"/>
  <c r="M55" i="4"/>
  <c r="R245" i="5"/>
  <c r="T245" i="5"/>
  <c r="U245" i="5"/>
  <c r="P55" i="4"/>
  <c r="W245" i="5"/>
  <c r="Q55" i="4"/>
  <c r="X245" i="5"/>
  <c r="AA245" i="5"/>
  <c r="AI55" i="4"/>
  <c r="T55" i="4" a="1"/>
  <c r="T55" i="4"/>
  <c r="AC245" i="5"/>
  <c r="U55" i="4" a="1"/>
  <c r="U55" i="4"/>
  <c r="AD245" i="5"/>
  <c r="X55" i="4"/>
  <c r="AI245" i="5"/>
  <c r="Y55" i="4"/>
  <c r="AJ245" i="5"/>
  <c r="Z55" i="4"/>
  <c r="AL245" i="5"/>
  <c r="F245" i="5"/>
  <c r="H245" i="5"/>
  <c r="I245" i="5"/>
  <c r="L245" i="5"/>
  <c r="N245" i="5"/>
  <c r="O245" i="5"/>
  <c r="Z245" i="5"/>
  <c r="AN245" i="5"/>
  <c r="AG246" i="5"/>
  <c r="AF246" i="5"/>
  <c r="B56" i="4"/>
  <c r="C56" i="4"/>
  <c r="C246" i="5"/>
  <c r="D56" i="4"/>
  <c r="E246" i="5"/>
  <c r="H56" i="4"/>
  <c r="K246" i="5"/>
  <c r="L56" i="4"/>
  <c r="Q246" i="5"/>
  <c r="M56" i="4"/>
  <c r="R246" i="5"/>
  <c r="T246" i="5"/>
  <c r="U246" i="5"/>
  <c r="P56" i="4"/>
  <c r="W246" i="5"/>
  <c r="Q56" i="4"/>
  <c r="X246" i="5"/>
  <c r="AA246" i="5"/>
  <c r="AI56" i="4"/>
  <c r="T56" i="4" a="1"/>
  <c r="T56" i="4"/>
  <c r="AC246" i="5"/>
  <c r="U56" i="4" a="1"/>
  <c r="U56" i="4"/>
  <c r="AD246" i="5"/>
  <c r="X56" i="4"/>
  <c r="AI246" i="5"/>
  <c r="Y56" i="4"/>
  <c r="AJ246" i="5"/>
  <c r="Z56" i="4"/>
  <c r="AL246" i="5"/>
  <c r="F246" i="5"/>
  <c r="H246" i="5"/>
  <c r="I246" i="5"/>
  <c r="L246" i="5"/>
  <c r="N246" i="5"/>
  <c r="O246" i="5"/>
  <c r="Z246" i="5"/>
  <c r="AN246" i="5"/>
  <c r="AG247" i="5"/>
  <c r="AF247" i="5"/>
  <c r="C57" i="4"/>
  <c r="C247" i="5"/>
  <c r="D57" i="4"/>
  <c r="E247" i="5"/>
  <c r="K247" i="5"/>
  <c r="L57" i="4"/>
  <c r="Q247" i="5"/>
  <c r="M57" i="4"/>
  <c r="R247" i="5"/>
  <c r="T247" i="5"/>
  <c r="U247" i="5"/>
  <c r="P57" i="4"/>
  <c r="W247" i="5"/>
  <c r="Q57" i="4"/>
  <c r="X247" i="5"/>
  <c r="AA247" i="5"/>
  <c r="AI57" i="4"/>
  <c r="T57" i="4" a="1"/>
  <c r="T57" i="4"/>
  <c r="AC247" i="5"/>
  <c r="U57" i="4" a="1"/>
  <c r="U57" i="4"/>
  <c r="AD247" i="5"/>
  <c r="X57" i="4"/>
  <c r="AI247" i="5"/>
  <c r="Y57" i="4"/>
  <c r="AJ247" i="5"/>
  <c r="Z57" i="4"/>
  <c r="AL247" i="5"/>
  <c r="F247" i="5"/>
  <c r="H247" i="5"/>
  <c r="I247" i="5"/>
  <c r="L247" i="5"/>
  <c r="N247" i="5"/>
  <c r="O247" i="5"/>
  <c r="Z247" i="5"/>
  <c r="AN247" i="5"/>
  <c r="AG248" i="5"/>
  <c r="AF248" i="5"/>
  <c r="B99" i="4"/>
  <c r="C99" i="4"/>
  <c r="C248" i="5"/>
  <c r="D99" i="4"/>
  <c r="E248" i="5"/>
  <c r="H33" i="2"/>
  <c r="H99" i="4"/>
  <c r="K248" i="5"/>
  <c r="L99" i="4"/>
  <c r="Q248" i="5"/>
  <c r="M99" i="4"/>
  <c r="R248" i="5"/>
  <c r="T248" i="5"/>
  <c r="O99" i="4"/>
  <c r="U248" i="5"/>
  <c r="P99" i="4"/>
  <c r="W248" i="5"/>
  <c r="Q99" i="4"/>
  <c r="X248" i="5"/>
  <c r="S99" i="4"/>
  <c r="AA248" i="5"/>
  <c r="AI99" i="4"/>
  <c r="T99" i="4" a="1"/>
  <c r="T99" i="4"/>
  <c r="AC248" i="5"/>
  <c r="U99" i="4" a="1"/>
  <c r="U99" i="4"/>
  <c r="AD248" i="5"/>
  <c r="X99" i="4"/>
  <c r="AI248" i="5"/>
  <c r="Y99" i="4"/>
  <c r="AJ248" i="5"/>
  <c r="Z99" i="4"/>
  <c r="AL248" i="5"/>
  <c r="F248" i="5"/>
  <c r="H248" i="5"/>
  <c r="I248" i="5"/>
  <c r="L248" i="5"/>
  <c r="N248" i="5"/>
  <c r="O248" i="5"/>
  <c r="Z248" i="5"/>
  <c r="AN248" i="5"/>
  <c r="AG249" i="5"/>
  <c r="AF249" i="5"/>
  <c r="B100" i="4"/>
  <c r="C100" i="4"/>
  <c r="C249" i="5"/>
  <c r="D100" i="4"/>
  <c r="E249" i="5"/>
  <c r="H100" i="4"/>
  <c r="K249" i="5"/>
  <c r="L100" i="4"/>
  <c r="Q249" i="5"/>
  <c r="M100" i="4"/>
  <c r="R249" i="5"/>
  <c r="T249" i="5"/>
  <c r="O100" i="4"/>
  <c r="U249" i="5"/>
  <c r="P100" i="4"/>
  <c r="W249" i="5"/>
  <c r="Q100" i="4"/>
  <c r="X249" i="5"/>
  <c r="S100" i="4"/>
  <c r="AA249" i="5"/>
  <c r="AI100" i="4"/>
  <c r="T100" i="4" a="1"/>
  <c r="T100" i="4"/>
  <c r="AC249" i="5"/>
  <c r="U100" i="4" a="1"/>
  <c r="U100" i="4"/>
  <c r="AD249" i="5"/>
  <c r="X100" i="4"/>
  <c r="AI249" i="5"/>
  <c r="Y100" i="4"/>
  <c r="AJ249" i="5"/>
  <c r="Z100" i="4"/>
  <c r="AL249" i="5"/>
  <c r="F249" i="5"/>
  <c r="H249" i="5"/>
  <c r="I249" i="5"/>
  <c r="L249" i="5"/>
  <c r="N249" i="5"/>
  <c r="O249" i="5"/>
  <c r="Z249" i="5"/>
  <c r="AN249" i="5"/>
  <c r="AG250" i="5"/>
  <c r="AF250" i="5"/>
  <c r="B101" i="4"/>
  <c r="C101" i="4"/>
  <c r="C250" i="5"/>
  <c r="D101" i="4"/>
  <c r="E250" i="5"/>
  <c r="K250" i="5"/>
  <c r="L101" i="4"/>
  <c r="Q250" i="5"/>
  <c r="M101" i="4"/>
  <c r="R250" i="5"/>
  <c r="T250" i="5"/>
  <c r="O101" i="4"/>
  <c r="U250" i="5"/>
  <c r="P101" i="4"/>
  <c r="W250" i="5"/>
  <c r="Q101" i="4"/>
  <c r="X250" i="5"/>
  <c r="S101" i="4"/>
  <c r="AA250" i="5"/>
  <c r="AI101" i="4"/>
  <c r="T101" i="4" a="1"/>
  <c r="T101" i="4"/>
  <c r="AC250" i="5"/>
  <c r="U101" i="4" a="1"/>
  <c r="U101" i="4"/>
  <c r="AD250" i="5"/>
  <c r="X101" i="4"/>
  <c r="AI250" i="5"/>
  <c r="Y101" i="4"/>
  <c r="AJ250" i="5"/>
  <c r="Z101" i="4"/>
  <c r="AL250" i="5"/>
  <c r="F250" i="5"/>
  <c r="H250" i="5"/>
  <c r="I250" i="5"/>
  <c r="L250" i="5"/>
  <c r="N250" i="5"/>
  <c r="O250" i="5"/>
  <c r="Z250" i="5"/>
  <c r="AN250" i="5"/>
  <c r="AG251" i="5"/>
  <c r="AF251" i="5"/>
  <c r="B263" i="4"/>
  <c r="C263" i="4"/>
  <c r="C251" i="5"/>
  <c r="D263" i="4"/>
  <c r="E251" i="5"/>
  <c r="K251" i="5"/>
  <c r="L263" i="4"/>
  <c r="Q251" i="5"/>
  <c r="M263" i="4"/>
  <c r="R251" i="5"/>
  <c r="T251" i="5"/>
  <c r="U251" i="5"/>
  <c r="P263" i="4"/>
  <c r="W251" i="5"/>
  <c r="Q263" i="4"/>
  <c r="X251" i="5"/>
  <c r="AA251" i="5"/>
  <c r="AI263" i="4"/>
  <c r="T263" i="4" a="1"/>
  <c r="T263" i="4"/>
  <c r="AC251" i="5"/>
  <c r="U263" i="4" a="1"/>
  <c r="U263" i="4"/>
  <c r="AD251" i="5"/>
  <c r="X263" i="4"/>
  <c r="AI251" i="5"/>
  <c r="Y263" i="4"/>
  <c r="AJ251" i="5"/>
  <c r="Z263" i="4"/>
  <c r="AL251" i="5"/>
  <c r="F251" i="5"/>
  <c r="H251" i="5"/>
  <c r="I251" i="5"/>
  <c r="L251" i="5"/>
  <c r="N251" i="5"/>
  <c r="O251" i="5"/>
  <c r="Z251" i="5"/>
  <c r="AN251" i="5"/>
  <c r="O252" i="5"/>
  <c r="K252" i="5"/>
  <c r="AG252" i="5"/>
  <c r="AF252" i="5"/>
  <c r="B245" i="4"/>
  <c r="C245" i="4"/>
  <c r="C252" i="5"/>
  <c r="D245" i="4"/>
  <c r="E252" i="5"/>
  <c r="I245" i="4"/>
  <c r="L252" i="5"/>
  <c r="J245" i="4"/>
  <c r="N252" i="5"/>
  <c r="L245" i="4"/>
  <c r="Q252" i="5"/>
  <c r="M245" i="4"/>
  <c r="R252" i="5"/>
  <c r="T252" i="5"/>
  <c r="U252" i="5"/>
  <c r="P245" i="4"/>
  <c r="W252" i="5"/>
  <c r="Q245" i="4"/>
  <c r="X252" i="5"/>
  <c r="S245" i="4"/>
  <c r="AA252" i="5"/>
  <c r="AI245" i="4"/>
  <c r="T245" i="4" a="1"/>
  <c r="T245" i="4"/>
  <c r="AC252" i="5"/>
  <c r="U245" i="4" a="1"/>
  <c r="U245" i="4"/>
  <c r="AD252" i="5"/>
  <c r="X245" i="4"/>
  <c r="AI252" i="5"/>
  <c r="Y245" i="4"/>
  <c r="AJ252" i="5"/>
  <c r="Z245" i="4"/>
  <c r="AL252" i="5"/>
  <c r="F252" i="5"/>
  <c r="H252" i="5"/>
  <c r="I252" i="5"/>
  <c r="Z252" i="5"/>
  <c r="AN252" i="5"/>
  <c r="AG253" i="5"/>
  <c r="AF253" i="5"/>
  <c r="C41" i="4"/>
  <c r="C253" i="5"/>
  <c r="T253" i="5"/>
  <c r="U253" i="5"/>
  <c r="P41" i="4"/>
  <c r="W253" i="5"/>
  <c r="Q41" i="4"/>
  <c r="X253" i="5"/>
  <c r="AA253" i="5"/>
  <c r="AI41" i="4"/>
  <c r="T41" i="4" a="1"/>
  <c r="T41" i="4"/>
  <c r="AC253" i="5"/>
  <c r="U41" i="4" a="1"/>
  <c r="U41" i="4"/>
  <c r="AD253" i="5"/>
  <c r="X41" i="4"/>
  <c r="AI253" i="5"/>
  <c r="Y41" i="4"/>
  <c r="AJ253" i="5"/>
  <c r="Z41" i="4"/>
  <c r="AL253" i="5"/>
  <c r="Z253" i="5"/>
  <c r="AN253" i="5"/>
  <c r="O254" i="5"/>
  <c r="B76" i="4"/>
  <c r="H76" i="4"/>
  <c r="K254" i="5"/>
  <c r="AG254" i="5"/>
  <c r="AF254" i="5"/>
  <c r="C76" i="4"/>
  <c r="C254" i="5"/>
  <c r="D76" i="4"/>
  <c r="E254" i="5"/>
  <c r="I76" i="4"/>
  <c r="L254" i="5"/>
  <c r="J76" i="4"/>
  <c r="N254" i="5"/>
  <c r="L76" i="4"/>
  <c r="Q254" i="5"/>
  <c r="M76" i="4"/>
  <c r="R254" i="5"/>
  <c r="T254" i="5"/>
  <c r="O76" i="4"/>
  <c r="U254" i="5"/>
  <c r="P76" i="4"/>
  <c r="W254" i="5"/>
  <c r="Q76" i="4"/>
  <c r="X254" i="5"/>
  <c r="AA254" i="5"/>
  <c r="AI76" i="4"/>
  <c r="T76" i="4" a="1"/>
  <c r="T76" i="4"/>
  <c r="AC254" i="5"/>
  <c r="U76" i="4" a="1"/>
  <c r="U76" i="4"/>
  <c r="AD254" i="5"/>
  <c r="X76" i="4"/>
  <c r="AI254" i="5"/>
  <c r="Y76" i="4"/>
  <c r="AJ254" i="5"/>
  <c r="Z76" i="4"/>
  <c r="AL254" i="5"/>
  <c r="F254" i="5"/>
  <c r="H254" i="5"/>
  <c r="I254" i="5"/>
  <c r="Z254" i="5"/>
  <c r="AN254" i="5"/>
  <c r="AG255" i="5"/>
  <c r="AF255" i="5"/>
  <c r="B81" i="4"/>
  <c r="C81" i="4"/>
  <c r="C255" i="5"/>
  <c r="D81" i="4"/>
  <c r="E255" i="5"/>
  <c r="H81" i="4"/>
  <c r="K255" i="5"/>
  <c r="L81" i="4"/>
  <c r="Q255" i="5"/>
  <c r="M81" i="4"/>
  <c r="R255" i="5"/>
  <c r="T255" i="5"/>
  <c r="O81" i="4"/>
  <c r="U255" i="5"/>
  <c r="W255" i="5"/>
  <c r="Q81" i="4"/>
  <c r="X255" i="5"/>
  <c r="AA255" i="5"/>
  <c r="AI81" i="4"/>
  <c r="T81" i="4" a="1"/>
  <c r="T81" i="4"/>
  <c r="AC255" i="5"/>
  <c r="U81" i="4" a="1"/>
  <c r="U81" i="4"/>
  <c r="AD255" i="5"/>
  <c r="X81" i="4"/>
  <c r="AI255" i="5"/>
  <c r="Y81" i="4"/>
  <c r="AJ255" i="5"/>
  <c r="Z81" i="4"/>
  <c r="AL255" i="5"/>
  <c r="F255" i="5"/>
  <c r="H255" i="5"/>
  <c r="I255" i="5"/>
  <c r="L255" i="5"/>
  <c r="N255" i="5"/>
  <c r="O255" i="5"/>
  <c r="Z255" i="5"/>
  <c r="AN255" i="5"/>
  <c r="AG256" i="5"/>
  <c r="AF256" i="5"/>
  <c r="B110" i="4"/>
  <c r="C110" i="4"/>
  <c r="C256" i="5"/>
  <c r="D110" i="4"/>
  <c r="E256" i="5"/>
  <c r="K256" i="5"/>
  <c r="L110" i="4"/>
  <c r="Q256" i="5"/>
  <c r="M110" i="4"/>
  <c r="R256" i="5"/>
  <c r="T256" i="5"/>
  <c r="U256" i="5"/>
  <c r="W256" i="5"/>
  <c r="Q110" i="4"/>
  <c r="X256" i="5"/>
  <c r="AA256" i="5"/>
  <c r="AI110" i="4"/>
  <c r="T110" i="4" a="1"/>
  <c r="T110" i="4"/>
  <c r="AC256" i="5"/>
  <c r="U110" i="4" a="1"/>
  <c r="U110" i="4"/>
  <c r="AD256" i="5"/>
  <c r="X110" i="4"/>
  <c r="AI256" i="5"/>
  <c r="Y110" i="4"/>
  <c r="AJ256" i="5"/>
  <c r="Z110" i="4"/>
  <c r="AL256" i="5"/>
  <c r="F256" i="5"/>
  <c r="H256" i="5"/>
  <c r="I256" i="5"/>
  <c r="L256" i="5"/>
  <c r="N256" i="5"/>
  <c r="O256" i="5"/>
  <c r="Z256" i="5"/>
  <c r="AN256" i="5"/>
  <c r="AG257" i="5"/>
  <c r="AF257" i="5"/>
  <c r="B257" i="4"/>
  <c r="C257" i="4"/>
  <c r="C257" i="5"/>
  <c r="D257" i="4"/>
  <c r="E257" i="5"/>
  <c r="H257" i="4"/>
  <c r="K257" i="5"/>
  <c r="L257" i="4"/>
  <c r="Q257" i="5"/>
  <c r="M257" i="4"/>
  <c r="R257" i="5"/>
  <c r="T257" i="5"/>
  <c r="O257" i="4"/>
  <c r="U257" i="5"/>
  <c r="P257" i="4"/>
  <c r="W257" i="5"/>
  <c r="Q257" i="4"/>
  <c r="X257" i="5"/>
  <c r="S257" i="4"/>
  <c r="AA257" i="5"/>
  <c r="AI257" i="4"/>
  <c r="T257" i="4" a="1"/>
  <c r="T257" i="4"/>
  <c r="AC257" i="5"/>
  <c r="U257" i="4" a="1"/>
  <c r="U257" i="4"/>
  <c r="AD257" i="5"/>
  <c r="X257" i="4"/>
  <c r="AI257" i="5"/>
  <c r="Y257" i="4"/>
  <c r="AJ257" i="5"/>
  <c r="Z257" i="4"/>
  <c r="AL257" i="5"/>
  <c r="F257" i="5"/>
  <c r="H257" i="5"/>
  <c r="I257" i="5"/>
  <c r="L257" i="5"/>
  <c r="N257" i="5"/>
  <c r="O257" i="5"/>
  <c r="Z257" i="5"/>
  <c r="AN257" i="5"/>
  <c r="AG258" i="5"/>
  <c r="AF258" i="5"/>
  <c r="B243" i="4"/>
  <c r="C243" i="4"/>
  <c r="C258" i="5"/>
  <c r="D243" i="4"/>
  <c r="E258" i="5"/>
  <c r="K258" i="5"/>
  <c r="L243" i="4"/>
  <c r="Q258" i="5"/>
  <c r="M243" i="4"/>
  <c r="R258" i="5"/>
  <c r="T258" i="5"/>
  <c r="U258" i="5"/>
  <c r="P243" i="4"/>
  <c r="W258" i="5"/>
  <c r="Q243" i="4"/>
  <c r="X258" i="5"/>
  <c r="S243" i="4"/>
  <c r="AA258" i="5"/>
  <c r="AI243" i="4"/>
  <c r="T243" i="4" a="1"/>
  <c r="T243" i="4"/>
  <c r="AC258" i="5"/>
  <c r="U243" i="4" a="1"/>
  <c r="U243" i="4"/>
  <c r="AD258" i="5"/>
  <c r="X243" i="4"/>
  <c r="AI258" i="5"/>
  <c r="Y243" i="4"/>
  <c r="AJ258" i="5"/>
  <c r="Z243" i="4"/>
  <c r="AL258" i="5"/>
  <c r="F258" i="5"/>
  <c r="H258" i="5"/>
  <c r="I258" i="5"/>
  <c r="L258" i="5"/>
  <c r="N258" i="5"/>
  <c r="O258" i="5"/>
  <c r="Z258" i="5"/>
  <c r="AN258" i="5"/>
  <c r="AG259" i="5"/>
  <c r="AF259" i="5"/>
  <c r="B267" i="4"/>
  <c r="C267" i="4"/>
  <c r="C259" i="5"/>
  <c r="D267" i="4"/>
  <c r="E259" i="5"/>
  <c r="K259" i="5"/>
  <c r="L267" i="4"/>
  <c r="Q259" i="5"/>
  <c r="M267" i="4"/>
  <c r="R259" i="5"/>
  <c r="T259" i="5"/>
  <c r="U259" i="5"/>
  <c r="P267" i="4"/>
  <c r="W259" i="5"/>
  <c r="Q267" i="4"/>
  <c r="X259" i="5"/>
  <c r="S267" i="4"/>
  <c r="AA259" i="5"/>
  <c r="AI267" i="4"/>
  <c r="T267" i="4" a="1"/>
  <c r="T267" i="4"/>
  <c r="AC259" i="5"/>
  <c r="U267" i="4" a="1"/>
  <c r="U267" i="4"/>
  <c r="AD259" i="5"/>
  <c r="X267" i="4"/>
  <c r="AI259" i="5"/>
  <c r="Y267" i="4"/>
  <c r="AJ259" i="5"/>
  <c r="Z267" i="4"/>
  <c r="AL259" i="5"/>
  <c r="F259" i="5"/>
  <c r="H259" i="5"/>
  <c r="I259" i="5"/>
  <c r="L259" i="5"/>
  <c r="N259" i="5"/>
  <c r="O259" i="5"/>
  <c r="Z259" i="5"/>
  <c r="AN259" i="5"/>
  <c r="AG260" i="5"/>
  <c r="AF260" i="5"/>
  <c r="B268" i="4"/>
  <c r="C268" i="4"/>
  <c r="C260" i="5"/>
  <c r="D268" i="4"/>
  <c r="E260" i="5"/>
  <c r="K260" i="5"/>
  <c r="L268" i="4"/>
  <c r="Q260" i="5"/>
  <c r="M268" i="4"/>
  <c r="R260" i="5"/>
  <c r="N268" i="4"/>
  <c r="T260" i="5"/>
  <c r="O2" i="2"/>
  <c r="O268" i="4"/>
  <c r="U260" i="5"/>
  <c r="P268" i="4"/>
  <c r="W260" i="5"/>
  <c r="Q268" i="4"/>
  <c r="X260" i="5"/>
  <c r="S268" i="4"/>
  <c r="AA260" i="5"/>
  <c r="AI268" i="4"/>
  <c r="T268" i="4" a="1"/>
  <c r="T268" i="4"/>
  <c r="AC260" i="5"/>
  <c r="U268" i="4" a="1"/>
  <c r="U268" i="4"/>
  <c r="AD260" i="5"/>
  <c r="X268" i="4"/>
  <c r="AI260" i="5"/>
  <c r="Y268" i="4"/>
  <c r="AJ260" i="5"/>
  <c r="Z268" i="4"/>
  <c r="AL260" i="5"/>
  <c r="F260" i="5"/>
  <c r="H260" i="5"/>
  <c r="I260" i="5"/>
  <c r="L260" i="5"/>
  <c r="N260" i="5"/>
  <c r="O260" i="5"/>
  <c r="Z260" i="5"/>
  <c r="AN260" i="5"/>
  <c r="AG261" i="5"/>
  <c r="AF261" i="5"/>
  <c r="C151" i="4"/>
  <c r="C261" i="5"/>
  <c r="D151" i="4"/>
  <c r="E261" i="5"/>
  <c r="K261" i="5"/>
  <c r="L151" i="4"/>
  <c r="Q261" i="5"/>
  <c r="M151" i="4"/>
  <c r="R261" i="5"/>
  <c r="T261" i="5"/>
  <c r="U261" i="5"/>
  <c r="P151" i="4"/>
  <c r="W261" i="5"/>
  <c r="Q151" i="4"/>
  <c r="X261" i="5"/>
  <c r="S151" i="4"/>
  <c r="AA261" i="5"/>
  <c r="AI151" i="4"/>
  <c r="T151" i="4" a="1"/>
  <c r="T151" i="4"/>
  <c r="AC261" i="5"/>
  <c r="U151" i="4" a="1"/>
  <c r="U151" i="4"/>
  <c r="AD261" i="5"/>
  <c r="X151" i="4"/>
  <c r="AI261" i="5"/>
  <c r="Y151" i="4"/>
  <c r="AJ261" i="5"/>
  <c r="Z151" i="4"/>
  <c r="AL261" i="5"/>
  <c r="F261" i="5"/>
  <c r="H261" i="5"/>
  <c r="I261" i="5"/>
  <c r="L261" i="5"/>
  <c r="N261" i="5"/>
  <c r="O261" i="5"/>
  <c r="Z261" i="5"/>
  <c r="AN261" i="5"/>
  <c r="AG262" i="5"/>
  <c r="AF262" i="5"/>
  <c r="C66" i="4"/>
  <c r="C262" i="5"/>
  <c r="N66" i="4"/>
  <c r="T262" i="5"/>
  <c r="O66" i="4"/>
  <c r="U262" i="5"/>
  <c r="P66" i="4"/>
  <c r="W262" i="5"/>
  <c r="Q66" i="4"/>
  <c r="X262" i="5"/>
  <c r="AA262" i="5"/>
  <c r="AI66" i="4"/>
  <c r="T66" i="4" a="1"/>
  <c r="T66" i="4"/>
  <c r="AC262" i="5"/>
  <c r="U66" i="4" a="1"/>
  <c r="U66" i="4"/>
  <c r="AD262" i="5"/>
  <c r="X66" i="4"/>
  <c r="AI262" i="5"/>
  <c r="Y66" i="4"/>
  <c r="AJ262" i="5"/>
  <c r="Z66" i="4"/>
  <c r="AL262" i="5"/>
  <c r="F262" i="5"/>
  <c r="H262" i="5"/>
  <c r="I262" i="5"/>
  <c r="L262" i="5"/>
  <c r="N262" i="5"/>
  <c r="O262" i="5"/>
  <c r="Z262" i="5"/>
  <c r="AN262" i="5"/>
  <c r="O263" i="5"/>
  <c r="K263" i="5"/>
  <c r="AG263" i="5"/>
  <c r="AF263" i="5"/>
  <c r="B288" i="4"/>
  <c r="C288" i="4"/>
  <c r="C263" i="5"/>
  <c r="D288" i="4"/>
  <c r="E263" i="5"/>
  <c r="E288" i="4"/>
  <c r="F263" i="5"/>
  <c r="F288" i="4"/>
  <c r="H263" i="5"/>
  <c r="I263" i="5"/>
  <c r="I288" i="4"/>
  <c r="L263" i="5"/>
  <c r="J288" i="4"/>
  <c r="N263" i="5"/>
  <c r="L288" i="4"/>
  <c r="Q263" i="5"/>
  <c r="M288" i="4"/>
  <c r="R263" i="5"/>
  <c r="N288" i="4"/>
  <c r="T263" i="5"/>
  <c r="U263" i="5"/>
  <c r="P288" i="4"/>
  <c r="W263" i="5"/>
  <c r="Q288" i="4"/>
  <c r="X263" i="5"/>
  <c r="S288" i="4"/>
  <c r="AA263" i="5"/>
  <c r="AI288" i="4"/>
  <c r="T288" i="4" a="1"/>
  <c r="T288" i="4"/>
  <c r="AC263" i="5"/>
  <c r="U288" i="4" a="1"/>
  <c r="U288" i="4"/>
  <c r="AD263" i="5"/>
  <c r="AI263" i="5"/>
  <c r="Y288" i="4"/>
  <c r="AJ263" i="5"/>
  <c r="Z288" i="4"/>
  <c r="AL263" i="5"/>
  <c r="Z263" i="5"/>
  <c r="AN263" i="5"/>
  <c r="AG264" i="5"/>
  <c r="AF264" i="5"/>
  <c r="B264" i="4"/>
  <c r="C264" i="4"/>
  <c r="C264" i="5"/>
  <c r="D264" i="4"/>
  <c r="E264" i="5"/>
  <c r="H264" i="4"/>
  <c r="K264" i="5"/>
  <c r="I264" i="4"/>
  <c r="L264" i="5"/>
  <c r="J264" i="4"/>
  <c r="N264" i="5"/>
  <c r="O264" i="5"/>
  <c r="L264" i="4"/>
  <c r="Q264" i="5"/>
  <c r="M264" i="4"/>
  <c r="R264" i="5"/>
  <c r="N264" i="4"/>
  <c r="T264" i="5"/>
  <c r="O264" i="4"/>
  <c r="U264" i="5"/>
  <c r="P264" i="4"/>
  <c r="W264" i="5"/>
  <c r="Q264" i="4"/>
  <c r="X264" i="5"/>
  <c r="S264" i="4"/>
  <c r="AA264" i="5"/>
  <c r="AI264" i="4"/>
  <c r="T264" i="4" a="1"/>
  <c r="T264" i="4"/>
  <c r="AC264" i="5"/>
  <c r="U264" i="4" a="1"/>
  <c r="U264" i="4"/>
  <c r="AD264" i="5"/>
  <c r="X264" i="4"/>
  <c r="AI264" i="5"/>
  <c r="Y264" i="4"/>
  <c r="AJ264" i="5"/>
  <c r="Z264" i="4"/>
  <c r="AL264" i="5"/>
  <c r="F264" i="5"/>
  <c r="H264" i="5"/>
  <c r="I264" i="5"/>
  <c r="Z264" i="5"/>
  <c r="AN264" i="5"/>
  <c r="AG265" i="5"/>
  <c r="AF265" i="5"/>
  <c r="B265" i="4"/>
  <c r="C265" i="4"/>
  <c r="C265" i="5"/>
  <c r="D265" i="4"/>
  <c r="E265" i="5"/>
  <c r="K265" i="5"/>
  <c r="I265" i="4"/>
  <c r="L265" i="5"/>
  <c r="J265" i="4"/>
  <c r="N265" i="5"/>
  <c r="O265" i="5"/>
  <c r="L265" i="4"/>
  <c r="Q265" i="5"/>
  <c r="M265" i="4"/>
  <c r="R265" i="5"/>
  <c r="N265" i="4"/>
  <c r="T265" i="5"/>
  <c r="U265" i="5"/>
  <c r="P265" i="4"/>
  <c r="W265" i="5"/>
  <c r="Q265" i="4"/>
  <c r="X265" i="5"/>
  <c r="S265" i="4"/>
  <c r="AA265" i="5"/>
  <c r="AI265" i="4"/>
  <c r="T265" i="4" a="1"/>
  <c r="T265" i="4"/>
  <c r="AC265" i="5"/>
  <c r="U265" i="4" a="1"/>
  <c r="U265" i="4"/>
  <c r="AD265" i="5"/>
  <c r="X265" i="4"/>
  <c r="AI265" i="5"/>
  <c r="Y265" i="4"/>
  <c r="AJ265" i="5"/>
  <c r="Z265" i="4"/>
  <c r="AL265" i="5"/>
  <c r="F265" i="5"/>
  <c r="H265" i="5"/>
  <c r="I265" i="5"/>
  <c r="Z265" i="5"/>
  <c r="AN265" i="5"/>
  <c r="AG266" i="5"/>
  <c r="AF266" i="5"/>
  <c r="B266" i="4"/>
  <c r="C266" i="4"/>
  <c r="C266" i="5"/>
  <c r="D266" i="4"/>
  <c r="E266" i="5"/>
  <c r="K266" i="5"/>
  <c r="L266" i="4"/>
  <c r="Q266" i="5"/>
  <c r="M266" i="4"/>
  <c r="R266" i="5"/>
  <c r="N266" i="4"/>
  <c r="T266" i="5"/>
  <c r="U266" i="5"/>
  <c r="P266" i="4"/>
  <c r="W266" i="5"/>
  <c r="Q266" i="4"/>
  <c r="X266" i="5"/>
  <c r="S266" i="4"/>
  <c r="AA266" i="5"/>
  <c r="AI266" i="4"/>
  <c r="T266" i="4" a="1"/>
  <c r="T266" i="4"/>
  <c r="AC266" i="5"/>
  <c r="U266" i="4" a="1"/>
  <c r="U266" i="4"/>
  <c r="AD266" i="5"/>
  <c r="X266" i="4"/>
  <c r="AI266" i="5"/>
  <c r="Y266" i="4"/>
  <c r="AJ266" i="5"/>
  <c r="Z266" i="4"/>
  <c r="AL266" i="5"/>
  <c r="F266" i="5"/>
  <c r="L266" i="5"/>
  <c r="N266" i="5"/>
  <c r="O266" i="5"/>
  <c r="H266" i="5"/>
  <c r="I266" i="5"/>
  <c r="Z266" i="5"/>
  <c r="AN266" i="5"/>
  <c r="AG267" i="5"/>
  <c r="AF267" i="5"/>
  <c r="B296" i="4"/>
  <c r="C296" i="4"/>
  <c r="C267" i="5"/>
  <c r="D296" i="4"/>
  <c r="E267" i="5"/>
  <c r="E296" i="4"/>
  <c r="F267" i="5"/>
  <c r="F296" i="4"/>
  <c r="H267" i="5"/>
  <c r="I267" i="5"/>
  <c r="H296" i="4"/>
  <c r="K267" i="5"/>
  <c r="L296" i="4"/>
  <c r="Q267" i="5"/>
  <c r="M296" i="4"/>
  <c r="R267" i="5"/>
  <c r="N296" i="4"/>
  <c r="T267" i="5"/>
  <c r="O296" i="4"/>
  <c r="U267" i="5"/>
  <c r="P296" i="4"/>
  <c r="W267" i="5"/>
  <c r="Q296" i="4"/>
  <c r="X267" i="5"/>
  <c r="S296" i="4"/>
  <c r="AA267" i="5"/>
  <c r="AI296" i="4"/>
  <c r="T296" i="4" a="1"/>
  <c r="T296" i="4"/>
  <c r="AC267" i="5"/>
  <c r="U296" i="4" a="1"/>
  <c r="U296" i="4"/>
  <c r="AD267" i="5"/>
  <c r="X296" i="4"/>
  <c r="AI267" i="5"/>
  <c r="Y296" i="4"/>
  <c r="AJ267" i="5"/>
  <c r="Z296" i="4"/>
  <c r="AL267" i="5"/>
  <c r="L267" i="5"/>
  <c r="N267" i="5"/>
  <c r="O267" i="5"/>
  <c r="Z267" i="5"/>
  <c r="AN267" i="5"/>
  <c r="O268" i="5"/>
  <c r="H126" i="4"/>
  <c r="K268" i="5"/>
  <c r="AG268" i="5"/>
  <c r="AF268" i="5"/>
  <c r="C126" i="4"/>
  <c r="C268" i="5"/>
  <c r="D126" i="4"/>
  <c r="E268" i="5"/>
  <c r="I126" i="4"/>
  <c r="L268" i="5"/>
  <c r="J126" i="4"/>
  <c r="N268" i="5"/>
  <c r="L126" i="4"/>
  <c r="Q268" i="5"/>
  <c r="M126" i="4"/>
  <c r="R268" i="5"/>
  <c r="T268" i="5"/>
  <c r="O126" i="4"/>
  <c r="U268" i="5"/>
  <c r="P126" i="4"/>
  <c r="W268" i="5"/>
  <c r="Q126" i="4"/>
  <c r="X268" i="5"/>
  <c r="S126" i="4"/>
  <c r="AA268" i="5"/>
  <c r="AI126" i="4"/>
  <c r="T126" i="4" a="1"/>
  <c r="T126" i="4"/>
  <c r="AC268" i="5"/>
  <c r="U126" i="4" a="1"/>
  <c r="U126" i="4"/>
  <c r="AD268" i="5"/>
  <c r="X126" i="4"/>
  <c r="AI268" i="5"/>
  <c r="Y126" i="4"/>
  <c r="AJ268" i="5"/>
  <c r="Z126" i="4"/>
  <c r="AL268" i="5"/>
  <c r="F268" i="5"/>
  <c r="H268" i="5"/>
  <c r="I268" i="5"/>
  <c r="Z268" i="5"/>
  <c r="AN268" i="5"/>
  <c r="B277" i="4"/>
  <c r="S277" i="4"/>
  <c r="AA269" i="5"/>
  <c r="P277" i="4"/>
  <c r="W269" i="5"/>
  <c r="AG269" i="5"/>
  <c r="AF269" i="5"/>
  <c r="C277" i="4"/>
  <c r="C269" i="5"/>
  <c r="D277" i="4"/>
  <c r="E269" i="5"/>
  <c r="E277" i="4"/>
  <c r="F269" i="5"/>
  <c r="F277" i="4"/>
  <c r="H269" i="5"/>
  <c r="I269" i="5"/>
  <c r="K269" i="5"/>
  <c r="L277" i="4"/>
  <c r="Q269" i="5"/>
  <c r="M277" i="4"/>
  <c r="R269" i="5"/>
  <c r="T269" i="5"/>
  <c r="U269" i="5"/>
  <c r="Q277" i="4"/>
  <c r="X269" i="5"/>
  <c r="R277" i="4"/>
  <c r="Z269" i="5"/>
  <c r="AI277" i="4"/>
  <c r="T277" i="4" a="1"/>
  <c r="T277" i="4"/>
  <c r="AC269" i="5"/>
  <c r="U277" i="4" a="1"/>
  <c r="U277" i="4"/>
  <c r="AD269" i="5"/>
  <c r="X277" i="4"/>
  <c r="AI269" i="5"/>
  <c r="Y277" i="4"/>
  <c r="AJ269" i="5"/>
  <c r="Z277" i="4"/>
  <c r="AL269" i="5"/>
  <c r="L269" i="5"/>
  <c r="N269" i="5"/>
  <c r="O269" i="5"/>
  <c r="AN269" i="5"/>
  <c r="B17" i="4"/>
  <c r="S17" i="4"/>
  <c r="AA270" i="5"/>
  <c r="P17" i="4"/>
  <c r="W270" i="5"/>
  <c r="AG270" i="5"/>
  <c r="AF270" i="5"/>
  <c r="C17" i="4"/>
  <c r="C270" i="5"/>
  <c r="D17" i="4"/>
  <c r="E270" i="5"/>
  <c r="E17" i="4"/>
  <c r="F270" i="5"/>
  <c r="F17" i="4"/>
  <c r="H270" i="5"/>
  <c r="I270" i="5"/>
  <c r="K270" i="5"/>
  <c r="L17" i="4"/>
  <c r="Q270" i="5"/>
  <c r="O17" i="4"/>
  <c r="U270" i="5"/>
  <c r="Q17" i="4"/>
  <c r="X270" i="5"/>
  <c r="R17" i="4"/>
  <c r="Z270" i="5"/>
  <c r="AI17" i="4"/>
  <c r="T17" i="4" a="1"/>
  <c r="T17" i="4"/>
  <c r="AC270" i="5"/>
  <c r="U17" i="4" a="1"/>
  <c r="U17" i="4"/>
  <c r="AD270" i="5"/>
  <c r="X17" i="4"/>
  <c r="AI270" i="5"/>
  <c r="Y17" i="4"/>
  <c r="AJ270" i="5"/>
  <c r="Z17" i="4"/>
  <c r="AL270" i="5"/>
  <c r="L270" i="5"/>
  <c r="N270" i="5"/>
  <c r="O270" i="5"/>
  <c r="R270" i="5"/>
  <c r="AN270" i="5"/>
  <c r="O271" i="5"/>
  <c r="H157" i="4"/>
  <c r="K271" i="5"/>
  <c r="AG271" i="5"/>
  <c r="AF271" i="5"/>
  <c r="C157" i="4"/>
  <c r="C271" i="5"/>
  <c r="D157" i="4"/>
  <c r="E271" i="5"/>
  <c r="E157" i="4"/>
  <c r="F271" i="5"/>
  <c r="F157" i="4"/>
  <c r="H271" i="5"/>
  <c r="I271" i="5"/>
  <c r="I157" i="4"/>
  <c r="L271" i="5"/>
  <c r="J157" i="4"/>
  <c r="N271" i="5"/>
  <c r="L157" i="4"/>
  <c r="Q271" i="5"/>
  <c r="M157" i="4"/>
  <c r="R271" i="5"/>
  <c r="N157" i="4"/>
  <c r="T271" i="5"/>
  <c r="O157" i="4"/>
  <c r="U271" i="5"/>
  <c r="P157" i="4"/>
  <c r="W271" i="5"/>
  <c r="Q157" i="4"/>
  <c r="X271" i="5"/>
  <c r="S157" i="4"/>
  <c r="AA271" i="5"/>
  <c r="AI157" i="4"/>
  <c r="T157" i="4" a="1"/>
  <c r="T157" i="4"/>
  <c r="AC271" i="5"/>
  <c r="U157" i="4" a="1"/>
  <c r="U157" i="4"/>
  <c r="AD271" i="5"/>
  <c r="X157" i="4"/>
  <c r="AI271" i="5"/>
  <c r="Y157" i="4"/>
  <c r="AJ271" i="5"/>
  <c r="Z157" i="4"/>
  <c r="AL271" i="5"/>
  <c r="Z271" i="5"/>
  <c r="AN271" i="5"/>
  <c r="O272" i="5"/>
  <c r="B42" i="4"/>
  <c r="H42" i="4"/>
  <c r="K272" i="5"/>
  <c r="AG272" i="5"/>
  <c r="AF272" i="5"/>
  <c r="C42" i="4"/>
  <c r="C272" i="5"/>
  <c r="D42" i="4"/>
  <c r="E272" i="5"/>
  <c r="E42" i="4"/>
  <c r="F272" i="5"/>
  <c r="F42" i="4"/>
  <c r="H272" i="5"/>
  <c r="I272" i="5"/>
  <c r="I43" i="2"/>
  <c r="I42" i="4"/>
  <c r="L272" i="5"/>
  <c r="J43" i="2"/>
  <c r="J42" i="4"/>
  <c r="N272" i="5"/>
  <c r="L42" i="4"/>
  <c r="Q272" i="5"/>
  <c r="M42" i="4"/>
  <c r="R272" i="5"/>
  <c r="T272" i="5"/>
  <c r="O42" i="4"/>
  <c r="U272" i="5"/>
  <c r="W272" i="5"/>
  <c r="Q42" i="4"/>
  <c r="X272" i="5"/>
  <c r="AA272" i="5"/>
  <c r="AI42" i="4"/>
  <c r="T42" i="4" a="1"/>
  <c r="T42" i="4"/>
  <c r="AC272" i="5"/>
  <c r="U42" i="4" a="1"/>
  <c r="U42" i="4"/>
  <c r="AD272" i="5"/>
  <c r="X42" i="4"/>
  <c r="AI272" i="5"/>
  <c r="Y42" i="4"/>
  <c r="AJ272" i="5"/>
  <c r="Z42" i="4"/>
  <c r="AL272" i="5"/>
  <c r="Z272" i="5"/>
  <c r="AN272" i="5"/>
  <c r="AG273" i="5"/>
  <c r="AF273" i="5"/>
  <c r="B72" i="4"/>
  <c r="C72" i="4"/>
  <c r="C273" i="5"/>
  <c r="D72" i="4"/>
  <c r="E273" i="5"/>
  <c r="H72" i="4"/>
  <c r="K273" i="5"/>
  <c r="L72" i="4"/>
  <c r="Q273" i="5"/>
  <c r="M72" i="4"/>
  <c r="R273" i="5"/>
  <c r="T273" i="5"/>
  <c r="O72" i="4"/>
  <c r="U273" i="5"/>
  <c r="P72" i="4"/>
  <c r="W273" i="5"/>
  <c r="Q72" i="4"/>
  <c r="X273" i="5"/>
  <c r="S72" i="4"/>
  <c r="AA273" i="5"/>
  <c r="AI72" i="4"/>
  <c r="T72" i="4" a="1"/>
  <c r="T72" i="4"/>
  <c r="AC273" i="5"/>
  <c r="U72" i="4" a="1"/>
  <c r="U72" i="4"/>
  <c r="AD273" i="5"/>
  <c r="X72" i="4"/>
  <c r="AI273" i="5"/>
  <c r="Y72" i="4"/>
  <c r="AJ273" i="5"/>
  <c r="Z72" i="4"/>
  <c r="AL273" i="5"/>
  <c r="F273" i="5"/>
  <c r="L273" i="5"/>
  <c r="N273" i="5"/>
  <c r="O273" i="5"/>
  <c r="H273" i="5"/>
  <c r="I273" i="5"/>
  <c r="Z273" i="5"/>
  <c r="AN273" i="5"/>
  <c r="O274" i="5"/>
  <c r="K274" i="5"/>
  <c r="AG274" i="5"/>
  <c r="AF274" i="5"/>
  <c r="C128" i="4"/>
  <c r="C274" i="5"/>
  <c r="D128" i="4"/>
  <c r="E274" i="5"/>
  <c r="L274" i="5"/>
  <c r="N274" i="5"/>
  <c r="L128" i="4"/>
  <c r="Q274" i="5"/>
  <c r="M128" i="4"/>
  <c r="R274" i="5"/>
  <c r="N128" i="4"/>
  <c r="T274" i="5"/>
  <c r="U274" i="5"/>
  <c r="P128" i="4"/>
  <c r="W274" i="5"/>
  <c r="X274" i="5"/>
  <c r="AA274" i="5"/>
  <c r="AI128" i="4"/>
  <c r="T128" i="4" a="1"/>
  <c r="T128" i="4"/>
  <c r="AC274" i="5"/>
  <c r="U128" i="4" a="1"/>
  <c r="U128" i="4"/>
  <c r="AD274" i="5"/>
  <c r="X128" i="4"/>
  <c r="AI274" i="5"/>
  <c r="Y128" i="4"/>
  <c r="AJ274" i="5"/>
  <c r="Z128" i="4"/>
  <c r="AL274" i="5"/>
  <c r="F274" i="5"/>
  <c r="H274" i="5"/>
  <c r="I274" i="5"/>
  <c r="Z274" i="5"/>
  <c r="AN274" i="5"/>
  <c r="AG275" i="5"/>
  <c r="AF275" i="5"/>
  <c r="C159" i="4"/>
  <c r="C275" i="5"/>
  <c r="D159" i="4"/>
  <c r="E275" i="5"/>
  <c r="H159" i="4"/>
  <c r="K275" i="5"/>
  <c r="L159" i="4"/>
  <c r="Q275" i="5"/>
  <c r="M159" i="4"/>
  <c r="R275" i="5"/>
  <c r="N159" i="4"/>
  <c r="T275" i="5"/>
  <c r="U275" i="5"/>
  <c r="P159" i="4"/>
  <c r="W275" i="5"/>
  <c r="Q159" i="4"/>
  <c r="X275" i="5"/>
  <c r="AA275" i="5"/>
  <c r="AI159" i="4"/>
  <c r="T159" i="4" a="1"/>
  <c r="T159" i="4"/>
  <c r="AC275" i="5"/>
  <c r="U159" i="4" a="1"/>
  <c r="U159" i="4"/>
  <c r="AD275" i="5"/>
  <c r="Y159" i="4"/>
  <c r="AJ275" i="5"/>
  <c r="Z159" i="4"/>
  <c r="AL275" i="5"/>
  <c r="F275" i="5"/>
  <c r="L275" i="5"/>
  <c r="N275" i="5"/>
  <c r="O275" i="5"/>
  <c r="H275" i="5"/>
  <c r="I275" i="5"/>
  <c r="Z275" i="5"/>
  <c r="AN275" i="5"/>
  <c r="O276" i="5"/>
  <c r="B3" i="4"/>
  <c r="H3" i="4"/>
  <c r="K276" i="5"/>
  <c r="AG276" i="5"/>
  <c r="AF276" i="5"/>
  <c r="C3" i="4"/>
  <c r="C276" i="5"/>
  <c r="D3" i="4"/>
  <c r="E276" i="5"/>
  <c r="E3" i="4"/>
  <c r="F276" i="5"/>
  <c r="F3" i="4"/>
  <c r="H276" i="5"/>
  <c r="I276" i="5"/>
  <c r="I3" i="4"/>
  <c r="L276" i="5"/>
  <c r="J3" i="4"/>
  <c r="N276" i="5"/>
  <c r="L3" i="4"/>
  <c r="Q276" i="5"/>
  <c r="M3" i="4"/>
  <c r="R276" i="5"/>
  <c r="N3" i="4"/>
  <c r="T276" i="5"/>
  <c r="O3" i="4"/>
  <c r="U276" i="5"/>
  <c r="P3" i="4"/>
  <c r="W276" i="5"/>
  <c r="Q3" i="4"/>
  <c r="X276" i="5"/>
  <c r="AA276" i="5"/>
  <c r="AI3" i="4"/>
  <c r="T3" i="4" a="1"/>
  <c r="T3" i="4"/>
  <c r="AC276" i="5"/>
  <c r="U3" i="4" a="1"/>
  <c r="U3" i="4"/>
  <c r="AD276" i="5"/>
  <c r="X3" i="4"/>
  <c r="AI276" i="5"/>
  <c r="Y3" i="4"/>
  <c r="AJ276" i="5"/>
  <c r="Z3" i="4"/>
  <c r="AL276" i="5"/>
  <c r="Z276" i="5"/>
  <c r="AN276" i="5"/>
  <c r="AG277" i="5"/>
  <c r="AF277" i="5"/>
  <c r="C160" i="4"/>
  <c r="C277" i="5"/>
  <c r="D160" i="4"/>
  <c r="E277" i="5"/>
  <c r="H160" i="4"/>
  <c r="K277" i="5"/>
  <c r="L160" i="4"/>
  <c r="Q277" i="5"/>
  <c r="M160" i="4"/>
  <c r="R277" i="5"/>
  <c r="N160" i="4"/>
  <c r="T277" i="5"/>
  <c r="U277" i="5"/>
  <c r="P160" i="4"/>
  <c r="W277" i="5"/>
  <c r="Q160" i="4"/>
  <c r="X277" i="5"/>
  <c r="AA277" i="5"/>
  <c r="AI160" i="4"/>
  <c r="T160" i="4" a="1"/>
  <c r="T160" i="4"/>
  <c r="AC277" i="5"/>
  <c r="U160" i="4" a="1"/>
  <c r="U160" i="4"/>
  <c r="AD277" i="5"/>
  <c r="X160" i="4"/>
  <c r="AI277" i="5"/>
  <c r="Y160" i="4"/>
  <c r="AJ277" i="5"/>
  <c r="Z160" i="4"/>
  <c r="AL277" i="5"/>
  <c r="L277" i="5"/>
  <c r="N277" i="5"/>
  <c r="O277" i="5"/>
  <c r="F277" i="5"/>
  <c r="H277" i="5"/>
  <c r="I277" i="5"/>
  <c r="Z277" i="5"/>
  <c r="AN277" i="5"/>
  <c r="O278" i="5"/>
  <c r="K278" i="5"/>
  <c r="AG278" i="5"/>
  <c r="AF278" i="5"/>
  <c r="C109" i="4"/>
  <c r="C278" i="5"/>
  <c r="D109" i="4"/>
  <c r="E278" i="5"/>
  <c r="I109" i="4"/>
  <c r="L278" i="5"/>
  <c r="J109" i="4"/>
  <c r="N278" i="5"/>
  <c r="L109" i="4"/>
  <c r="Q278" i="5"/>
  <c r="M109" i="4"/>
  <c r="R278" i="5"/>
  <c r="N109" i="4"/>
  <c r="T278" i="5"/>
  <c r="O109" i="4"/>
  <c r="U278" i="5"/>
  <c r="P109" i="4"/>
  <c r="W278" i="5"/>
  <c r="Q109" i="4"/>
  <c r="X278" i="5"/>
  <c r="S109" i="4"/>
  <c r="AA278" i="5"/>
  <c r="AI109" i="4"/>
  <c r="T109" i="4" a="1"/>
  <c r="T109" i="4"/>
  <c r="AC278" i="5"/>
  <c r="U109" i="4" a="1"/>
  <c r="U109" i="4"/>
  <c r="AD278" i="5"/>
  <c r="AI278" i="5"/>
  <c r="Y109" i="4"/>
  <c r="AJ278" i="5"/>
  <c r="Z109" i="4"/>
  <c r="AL278" i="5"/>
  <c r="F278" i="5"/>
  <c r="H278" i="5"/>
  <c r="I278" i="5"/>
  <c r="Z278" i="5"/>
  <c r="AN278" i="5"/>
  <c r="AG279" i="5"/>
  <c r="AF279" i="5"/>
  <c r="B45" i="4"/>
  <c r="C45" i="4"/>
  <c r="C279" i="5"/>
  <c r="D45" i="4"/>
  <c r="E279" i="5"/>
  <c r="H45" i="4"/>
  <c r="K279" i="5"/>
  <c r="L45" i="4"/>
  <c r="Q279" i="5"/>
  <c r="M45" i="4"/>
  <c r="R279" i="5"/>
  <c r="T279" i="5"/>
  <c r="O45" i="4"/>
  <c r="U279" i="5"/>
  <c r="P45" i="4"/>
  <c r="W279" i="5"/>
  <c r="Q45" i="4"/>
  <c r="X279" i="5"/>
  <c r="S45" i="4"/>
  <c r="AA279" i="5"/>
  <c r="AI45" i="4"/>
  <c r="T45" i="4" a="1"/>
  <c r="T45" i="4"/>
  <c r="AC279" i="5"/>
  <c r="U45" i="4" a="1"/>
  <c r="U45" i="4"/>
  <c r="AD279" i="5"/>
  <c r="X45" i="4"/>
  <c r="AI279" i="5"/>
  <c r="Y45" i="4"/>
  <c r="AJ279" i="5"/>
  <c r="Z45" i="4"/>
  <c r="AL279" i="5"/>
  <c r="F279" i="5"/>
  <c r="H279" i="5"/>
  <c r="I279" i="5"/>
  <c r="L279" i="5"/>
  <c r="N279" i="5"/>
  <c r="O279" i="5"/>
  <c r="Z279" i="5"/>
  <c r="AN279" i="5"/>
  <c r="AG280" i="5"/>
  <c r="AF280" i="5"/>
  <c r="C169" i="4"/>
  <c r="C280" i="5"/>
  <c r="T280" i="5"/>
  <c r="O169" i="4"/>
  <c r="U280" i="5"/>
  <c r="P169" i="4"/>
  <c r="W280" i="5"/>
  <c r="Q169" i="4"/>
  <c r="X280" i="5"/>
  <c r="AA280" i="5"/>
  <c r="AI169" i="4"/>
  <c r="T169" i="4" a="1"/>
  <c r="T169" i="4"/>
  <c r="AC280" i="5"/>
  <c r="U169" i="4" a="1"/>
  <c r="U169" i="4"/>
  <c r="AD280" i="5"/>
  <c r="X169" i="4"/>
  <c r="AI280" i="5"/>
  <c r="Y169" i="4"/>
  <c r="AJ280" i="5"/>
  <c r="Z169" i="4"/>
  <c r="AL280" i="5"/>
  <c r="F280" i="5"/>
  <c r="H280" i="5"/>
  <c r="I280" i="5"/>
  <c r="L280" i="5"/>
  <c r="N280" i="5"/>
  <c r="O280" i="5"/>
  <c r="Z280" i="5"/>
  <c r="AN280" i="5"/>
  <c r="AG281" i="5"/>
  <c r="AF281" i="5"/>
  <c r="C170" i="4"/>
  <c r="C281" i="5"/>
  <c r="D170" i="4"/>
  <c r="E281" i="5"/>
  <c r="H170" i="4"/>
  <c r="K281" i="5"/>
  <c r="L170" i="4"/>
  <c r="Q281" i="5"/>
  <c r="M170" i="4"/>
  <c r="R281" i="5"/>
  <c r="T281" i="5"/>
  <c r="O170" i="4"/>
  <c r="U281" i="5"/>
  <c r="P170" i="4"/>
  <c r="W281" i="5"/>
  <c r="Q170" i="4"/>
  <c r="X281" i="5"/>
  <c r="S170" i="4"/>
  <c r="AA281" i="5"/>
  <c r="AI170" i="4"/>
  <c r="T170" i="4" a="1"/>
  <c r="T170" i="4"/>
  <c r="AC281" i="5"/>
  <c r="U170" i="4" a="1"/>
  <c r="U170" i="4"/>
  <c r="AD281" i="5"/>
  <c r="X170" i="4"/>
  <c r="AI281" i="5"/>
  <c r="Y170" i="4"/>
  <c r="AJ281" i="5"/>
  <c r="Z170" i="4"/>
  <c r="AL281" i="5"/>
  <c r="F281" i="5"/>
  <c r="H281" i="5"/>
  <c r="I281" i="5"/>
  <c r="L281" i="5"/>
  <c r="N281" i="5"/>
  <c r="O281" i="5"/>
  <c r="Z281" i="5"/>
  <c r="AN281" i="5"/>
  <c r="AG282" i="5"/>
  <c r="AF282" i="5"/>
  <c r="C171" i="4"/>
  <c r="C282" i="5"/>
  <c r="D171" i="4"/>
  <c r="E282" i="5"/>
  <c r="H171" i="4"/>
  <c r="K282" i="5"/>
  <c r="L171" i="4"/>
  <c r="Q282" i="5"/>
  <c r="M171" i="4"/>
  <c r="R282" i="5"/>
  <c r="T282" i="5"/>
  <c r="O171" i="4"/>
  <c r="U282" i="5"/>
  <c r="P171" i="4"/>
  <c r="W282" i="5"/>
  <c r="Q171" i="4"/>
  <c r="X282" i="5"/>
  <c r="S171" i="4"/>
  <c r="AA282" i="5"/>
  <c r="AI171" i="4"/>
  <c r="T171" i="4" a="1"/>
  <c r="T171" i="4"/>
  <c r="AC282" i="5"/>
  <c r="U171" i="4" a="1"/>
  <c r="U171" i="4"/>
  <c r="AD282" i="5"/>
  <c r="X171" i="4"/>
  <c r="AI282" i="5"/>
  <c r="Y171" i="4"/>
  <c r="AJ282" i="5"/>
  <c r="Z171" i="4"/>
  <c r="AL282" i="5"/>
  <c r="F282" i="5"/>
  <c r="H282" i="5"/>
  <c r="I282" i="5"/>
  <c r="L282" i="5"/>
  <c r="N282" i="5"/>
  <c r="O282" i="5"/>
  <c r="Z282" i="5"/>
  <c r="AN282" i="5"/>
  <c r="AG283" i="5"/>
  <c r="AF283" i="5"/>
  <c r="C134" i="4"/>
  <c r="C283" i="5"/>
  <c r="D134" i="4"/>
  <c r="E283" i="5"/>
  <c r="K283" i="5"/>
  <c r="L134" i="4"/>
  <c r="Q283" i="5"/>
  <c r="M134" i="4"/>
  <c r="R283" i="5"/>
  <c r="N134" i="4"/>
  <c r="T283" i="5"/>
  <c r="U283" i="5"/>
  <c r="P134" i="4"/>
  <c r="W283" i="5"/>
  <c r="Q134" i="4"/>
  <c r="X283" i="5"/>
  <c r="S134" i="4"/>
  <c r="AA283" i="5"/>
  <c r="AI134" i="4"/>
  <c r="T134" i="4" a="1"/>
  <c r="T134" i="4"/>
  <c r="AC283" i="5"/>
  <c r="U134" i="4" a="1"/>
  <c r="U134" i="4"/>
  <c r="AD283" i="5"/>
  <c r="X134" i="4"/>
  <c r="AI283" i="5"/>
  <c r="Y134" i="4"/>
  <c r="AJ283" i="5"/>
  <c r="Z134" i="4"/>
  <c r="AL283" i="5"/>
  <c r="F283" i="5"/>
  <c r="H283" i="5"/>
  <c r="I283" i="5"/>
  <c r="L283" i="5"/>
  <c r="N283" i="5"/>
  <c r="O283" i="5"/>
  <c r="Z283" i="5"/>
  <c r="AN283" i="5"/>
  <c r="AG284" i="5"/>
  <c r="AF284" i="5"/>
  <c r="C135" i="4"/>
  <c r="C284" i="5"/>
  <c r="D135" i="4"/>
  <c r="E284" i="5"/>
  <c r="K284" i="5"/>
  <c r="L135" i="4"/>
  <c r="Q284" i="5"/>
  <c r="M135" i="4"/>
  <c r="R284" i="5"/>
  <c r="N135" i="4"/>
  <c r="T284" i="5"/>
  <c r="U284" i="5"/>
  <c r="P135" i="4"/>
  <c r="W284" i="5"/>
  <c r="Q135" i="4"/>
  <c r="X284" i="5"/>
  <c r="S135" i="4"/>
  <c r="AA284" i="5"/>
  <c r="AI135" i="4"/>
  <c r="T135" i="4" a="1"/>
  <c r="T135" i="4"/>
  <c r="AC284" i="5"/>
  <c r="U135" i="4" a="1"/>
  <c r="U135" i="4"/>
  <c r="AD284" i="5"/>
  <c r="X135" i="4"/>
  <c r="AI284" i="5"/>
  <c r="Y135" i="4"/>
  <c r="AJ284" i="5"/>
  <c r="Z135" i="4"/>
  <c r="AL284" i="5"/>
  <c r="F284" i="5"/>
  <c r="H284" i="5"/>
  <c r="I284" i="5"/>
  <c r="L284" i="5"/>
  <c r="N284" i="5"/>
  <c r="O284" i="5"/>
  <c r="Z284" i="5"/>
  <c r="AN284" i="5"/>
  <c r="AG285" i="5"/>
  <c r="AF285" i="5"/>
  <c r="B207" i="4"/>
  <c r="C207" i="4"/>
  <c r="C285" i="5"/>
  <c r="D207" i="4"/>
  <c r="E285" i="5"/>
  <c r="H207" i="4"/>
  <c r="K285" i="5"/>
  <c r="L207" i="4"/>
  <c r="Q285" i="5"/>
  <c r="M207" i="4"/>
  <c r="R285" i="5"/>
  <c r="T285" i="5"/>
  <c r="O207" i="4"/>
  <c r="U285" i="5"/>
  <c r="P207" i="4"/>
  <c r="W285" i="5"/>
  <c r="Q207" i="4"/>
  <c r="X285" i="5"/>
  <c r="S207" i="4"/>
  <c r="AA285" i="5"/>
  <c r="AI207" i="4"/>
  <c r="T207" i="4" a="1"/>
  <c r="T207" i="4"/>
  <c r="AC285" i="5"/>
  <c r="U207" i="4" a="1"/>
  <c r="U207" i="4"/>
  <c r="AD285" i="5"/>
  <c r="X207" i="4"/>
  <c r="AI285" i="5"/>
  <c r="Y207" i="4"/>
  <c r="AJ285" i="5"/>
  <c r="Z207" i="4"/>
  <c r="AL285" i="5"/>
  <c r="F285" i="5"/>
  <c r="H285" i="5"/>
  <c r="I285" i="5"/>
  <c r="L285" i="5"/>
  <c r="N285" i="5"/>
  <c r="O285" i="5"/>
  <c r="Z285" i="5"/>
  <c r="AN285" i="5"/>
  <c r="AG286" i="5"/>
  <c r="AF286" i="5"/>
  <c r="B208" i="4"/>
  <c r="C208" i="4"/>
  <c r="C286" i="5"/>
  <c r="D208" i="4"/>
  <c r="E286" i="5"/>
  <c r="H208" i="4"/>
  <c r="K286" i="5"/>
  <c r="L208" i="4"/>
  <c r="Q286" i="5"/>
  <c r="M208" i="4"/>
  <c r="R286" i="5"/>
  <c r="T286" i="5"/>
  <c r="O208" i="4"/>
  <c r="U286" i="5"/>
  <c r="P208" i="4"/>
  <c r="W286" i="5"/>
  <c r="Q208" i="4"/>
  <c r="X286" i="5"/>
  <c r="S208" i="4"/>
  <c r="AA286" i="5"/>
  <c r="AI208" i="4"/>
  <c r="T208" i="4" a="1"/>
  <c r="T208" i="4"/>
  <c r="AC286" i="5"/>
  <c r="U208" i="4" a="1"/>
  <c r="U208" i="4"/>
  <c r="AD286" i="5"/>
  <c r="X208" i="4"/>
  <c r="AI286" i="5"/>
  <c r="Y208" i="4"/>
  <c r="AJ286" i="5"/>
  <c r="Z208" i="4"/>
  <c r="AL286" i="5"/>
  <c r="F286" i="5"/>
  <c r="H286" i="5"/>
  <c r="I286" i="5"/>
  <c r="L286" i="5"/>
  <c r="N286" i="5"/>
  <c r="O286" i="5"/>
  <c r="Z286" i="5"/>
  <c r="AN286" i="5"/>
  <c r="AG287" i="5"/>
  <c r="AF287" i="5"/>
  <c r="C172" i="4"/>
  <c r="C287" i="5"/>
  <c r="T287" i="5"/>
  <c r="O172" i="4"/>
  <c r="U287" i="5"/>
  <c r="P172" i="4"/>
  <c r="W287" i="5"/>
  <c r="Q172" i="4"/>
  <c r="X287" i="5"/>
  <c r="S172" i="4"/>
  <c r="AA287" i="5"/>
  <c r="AI172" i="4"/>
  <c r="T172" i="4" a="1"/>
  <c r="T172" i="4"/>
  <c r="AC287" i="5"/>
  <c r="U172" i="4" a="1"/>
  <c r="U172" i="4"/>
  <c r="AD287" i="5"/>
  <c r="X172" i="4"/>
  <c r="AI287" i="5"/>
  <c r="Y172" i="4"/>
  <c r="AJ287" i="5"/>
  <c r="Z172" i="4"/>
  <c r="AL287" i="5"/>
  <c r="Z287" i="5"/>
  <c r="AN287" i="5"/>
  <c r="AG288" i="5"/>
  <c r="AF288" i="5"/>
  <c r="C173" i="4"/>
  <c r="C288" i="5"/>
  <c r="D173" i="4"/>
  <c r="E288" i="5"/>
  <c r="H173" i="4"/>
  <c r="K288" i="5"/>
  <c r="L173" i="4"/>
  <c r="Q288" i="5"/>
  <c r="M173" i="4"/>
  <c r="R288" i="5"/>
  <c r="T288" i="5"/>
  <c r="O173" i="4"/>
  <c r="U288" i="5"/>
  <c r="P173" i="4"/>
  <c r="W288" i="5"/>
  <c r="Q173" i="4"/>
  <c r="X288" i="5"/>
  <c r="S173" i="4"/>
  <c r="AA288" i="5"/>
  <c r="AI173" i="4"/>
  <c r="T173" i="4" a="1"/>
  <c r="T173" i="4"/>
  <c r="AC288" i="5"/>
  <c r="U173" i="4" a="1"/>
  <c r="U173" i="4"/>
  <c r="AD288" i="5"/>
  <c r="X173" i="4"/>
  <c r="AI288" i="5"/>
  <c r="Y173" i="4"/>
  <c r="AJ288" i="5"/>
  <c r="Z173" i="4"/>
  <c r="AL288" i="5"/>
  <c r="F288" i="5"/>
  <c r="H288" i="5"/>
  <c r="I288" i="5"/>
  <c r="L288" i="5"/>
  <c r="N288" i="5"/>
  <c r="O288" i="5"/>
  <c r="Z288" i="5"/>
  <c r="AN288" i="5"/>
  <c r="AG289" i="5"/>
  <c r="AF289" i="5"/>
  <c r="C174" i="4"/>
  <c r="C289" i="5"/>
  <c r="D174" i="4"/>
  <c r="E289" i="5"/>
  <c r="H174" i="4"/>
  <c r="K289" i="5"/>
  <c r="L174" i="4"/>
  <c r="Q289" i="5"/>
  <c r="M174" i="4"/>
  <c r="R289" i="5"/>
  <c r="T289" i="5"/>
  <c r="O174" i="4"/>
  <c r="U289" i="5"/>
  <c r="P174" i="4"/>
  <c r="W289" i="5"/>
  <c r="Q174" i="4"/>
  <c r="X289" i="5"/>
  <c r="S174" i="4"/>
  <c r="AA289" i="5"/>
  <c r="AI174" i="4"/>
  <c r="T174" i="4" a="1"/>
  <c r="T174" i="4"/>
  <c r="AC289" i="5"/>
  <c r="U174" i="4" a="1"/>
  <c r="U174" i="4"/>
  <c r="AD289" i="5"/>
  <c r="X174" i="4"/>
  <c r="AI289" i="5"/>
  <c r="Y174" i="4"/>
  <c r="AJ289" i="5"/>
  <c r="Z174" i="4"/>
  <c r="AL289" i="5"/>
  <c r="F289" i="5"/>
  <c r="H289" i="5"/>
  <c r="I289" i="5"/>
  <c r="L289" i="5"/>
  <c r="N289" i="5"/>
  <c r="O289" i="5"/>
  <c r="Z289" i="5"/>
  <c r="AN289" i="5"/>
  <c r="AG290" i="5"/>
  <c r="AF290" i="5"/>
  <c r="C175" i="4"/>
  <c r="C290" i="5"/>
  <c r="D175" i="4"/>
  <c r="E290" i="5"/>
  <c r="H175" i="4"/>
  <c r="K290" i="5"/>
  <c r="L175" i="4"/>
  <c r="Q290" i="5"/>
  <c r="M175" i="4"/>
  <c r="R290" i="5"/>
  <c r="T290" i="5"/>
  <c r="O175" i="4"/>
  <c r="U290" i="5"/>
  <c r="P175" i="4"/>
  <c r="W290" i="5"/>
  <c r="Q175" i="4"/>
  <c r="X290" i="5"/>
  <c r="S175" i="4"/>
  <c r="AA290" i="5"/>
  <c r="AI175" i="4"/>
  <c r="T175" i="4" a="1"/>
  <c r="T175" i="4"/>
  <c r="AC290" i="5"/>
  <c r="U175" i="4" a="1"/>
  <c r="U175" i="4"/>
  <c r="AD290" i="5"/>
  <c r="X175" i="4"/>
  <c r="AI290" i="5"/>
  <c r="Y175" i="4"/>
  <c r="AJ290" i="5"/>
  <c r="Z175" i="4"/>
  <c r="AL290" i="5"/>
  <c r="F290" i="5"/>
  <c r="H290" i="5"/>
  <c r="I290" i="5"/>
  <c r="L290" i="5"/>
  <c r="N290" i="5"/>
  <c r="O290" i="5"/>
  <c r="Z290" i="5"/>
  <c r="AN290" i="5"/>
  <c r="B298" i="4"/>
  <c r="S298" i="4"/>
  <c r="AA291" i="5"/>
  <c r="P298" i="4"/>
  <c r="W291" i="5"/>
  <c r="AG291" i="5"/>
  <c r="AF291" i="5"/>
  <c r="C298" i="4"/>
  <c r="C291" i="5"/>
  <c r="D298" i="4"/>
  <c r="E291" i="5"/>
  <c r="H298" i="4"/>
  <c r="K291" i="5"/>
  <c r="L298" i="4"/>
  <c r="Q291" i="5"/>
  <c r="M298" i="4"/>
  <c r="R291" i="5"/>
  <c r="N298" i="4"/>
  <c r="T291" i="5"/>
  <c r="O298" i="4"/>
  <c r="U291" i="5"/>
  <c r="Q298" i="4"/>
  <c r="X291" i="5"/>
  <c r="R39" i="2"/>
  <c r="R298" i="4"/>
  <c r="Z291" i="5"/>
  <c r="AI298" i="4"/>
  <c r="T298" i="4" a="1"/>
  <c r="T298" i="4"/>
  <c r="AC291" i="5"/>
  <c r="U298" i="4" a="1"/>
  <c r="U298" i="4"/>
  <c r="AD291" i="5"/>
  <c r="X298" i="4"/>
  <c r="AI291" i="5"/>
  <c r="Y298" i="4"/>
  <c r="AJ291" i="5"/>
  <c r="Z298" i="4"/>
  <c r="AL291" i="5"/>
  <c r="F291" i="5"/>
  <c r="H291" i="5"/>
  <c r="I291" i="5"/>
  <c r="L291" i="5"/>
  <c r="N291" i="5"/>
  <c r="O291" i="5"/>
  <c r="AN291" i="5"/>
  <c r="AG292" i="5"/>
  <c r="AF292" i="5"/>
  <c r="B88" i="4"/>
  <c r="C88" i="4"/>
  <c r="C292" i="5"/>
  <c r="D88" i="4"/>
  <c r="E292" i="5"/>
  <c r="H88" i="4"/>
  <c r="K292" i="5"/>
  <c r="L88" i="4"/>
  <c r="Q292" i="5"/>
  <c r="M88" i="4"/>
  <c r="R292" i="5"/>
  <c r="N88" i="4"/>
  <c r="T292" i="5"/>
  <c r="O88" i="4"/>
  <c r="U292" i="5"/>
  <c r="P88" i="4"/>
  <c r="W292" i="5"/>
  <c r="Q88" i="4"/>
  <c r="X292" i="5"/>
  <c r="S88" i="4"/>
  <c r="AA292" i="5"/>
  <c r="AI88" i="4"/>
  <c r="T88" i="4" a="1"/>
  <c r="T88" i="4"/>
  <c r="AC292" i="5"/>
  <c r="U88" i="4" a="1"/>
  <c r="U88" i="4"/>
  <c r="AD292" i="5"/>
  <c r="X88" i="4"/>
  <c r="AI292" i="5"/>
  <c r="Y88" i="4"/>
  <c r="AJ292" i="5"/>
  <c r="Z88" i="4"/>
  <c r="AL292" i="5"/>
  <c r="F292" i="5"/>
  <c r="H292" i="5"/>
  <c r="I292" i="5"/>
  <c r="L292" i="5"/>
  <c r="N292" i="5"/>
  <c r="O292" i="5"/>
  <c r="Z292" i="5"/>
  <c r="AN292" i="5"/>
  <c r="AG293" i="5"/>
  <c r="AF293" i="5"/>
  <c r="B97" i="4"/>
  <c r="C97" i="4"/>
  <c r="C293" i="5"/>
  <c r="D97" i="4"/>
  <c r="E293" i="5"/>
  <c r="K293" i="5"/>
  <c r="L97" i="4"/>
  <c r="Q293" i="5"/>
  <c r="M97" i="4"/>
  <c r="R293" i="5"/>
  <c r="T293" i="5"/>
  <c r="U293" i="5"/>
  <c r="P97" i="4"/>
  <c r="W293" i="5"/>
  <c r="Q97" i="4"/>
  <c r="X293" i="5"/>
  <c r="S97" i="4"/>
  <c r="AA293" i="5"/>
  <c r="AI97" i="4"/>
  <c r="T97" i="4" a="1"/>
  <c r="T97" i="4"/>
  <c r="AC293" i="5"/>
  <c r="U97" i="4" a="1"/>
  <c r="U97" i="4"/>
  <c r="AD293" i="5"/>
  <c r="X97" i="4"/>
  <c r="AI293" i="5"/>
  <c r="Y97" i="4"/>
  <c r="AJ293" i="5"/>
  <c r="Z97" i="4"/>
  <c r="AL293" i="5"/>
  <c r="F293" i="5"/>
  <c r="H293" i="5"/>
  <c r="I293" i="5"/>
  <c r="L293" i="5"/>
  <c r="N293" i="5"/>
  <c r="O293" i="5"/>
  <c r="Z293" i="5"/>
  <c r="AN293" i="5"/>
  <c r="AG294" i="5"/>
  <c r="AF294" i="5"/>
  <c r="B200" i="4"/>
  <c r="C200" i="4"/>
  <c r="C294" i="5"/>
  <c r="D200" i="4"/>
  <c r="E294" i="5"/>
  <c r="H200" i="4"/>
  <c r="K294" i="5"/>
  <c r="L200" i="4"/>
  <c r="Q294" i="5"/>
  <c r="M200" i="4"/>
  <c r="R294" i="5"/>
  <c r="T294" i="5"/>
  <c r="O200" i="4"/>
  <c r="U294" i="5"/>
  <c r="P200" i="4"/>
  <c r="W294" i="5"/>
  <c r="Q200" i="4"/>
  <c r="X294" i="5"/>
  <c r="S200" i="4"/>
  <c r="AA294" i="5"/>
  <c r="AI200" i="4"/>
  <c r="T200" i="4" a="1"/>
  <c r="T200" i="4"/>
  <c r="AC294" i="5"/>
  <c r="U200" i="4" a="1"/>
  <c r="U200" i="4"/>
  <c r="AD294" i="5"/>
  <c r="X200" i="4"/>
  <c r="AI294" i="5"/>
  <c r="F294" i="5"/>
  <c r="H294" i="5"/>
  <c r="I294" i="5"/>
  <c r="L294" i="5"/>
  <c r="N294" i="5"/>
  <c r="O294" i="5"/>
  <c r="Z294" i="5"/>
  <c r="AN294" i="5"/>
  <c r="AG295" i="5"/>
  <c r="AF295" i="5"/>
  <c r="B201" i="4"/>
  <c r="C201" i="4"/>
  <c r="C295" i="5"/>
  <c r="D201" i="4"/>
  <c r="E295" i="5"/>
  <c r="H201" i="4"/>
  <c r="K295" i="5"/>
  <c r="L201" i="4"/>
  <c r="Q295" i="5"/>
  <c r="M201" i="4"/>
  <c r="R295" i="5"/>
  <c r="T295" i="5"/>
  <c r="O201" i="4"/>
  <c r="U295" i="5"/>
  <c r="P201" i="4"/>
  <c r="W295" i="5"/>
  <c r="Q201" i="4"/>
  <c r="X295" i="5"/>
  <c r="S201" i="4"/>
  <c r="AA295" i="5"/>
  <c r="AI201" i="4"/>
  <c r="T201" i="4" a="1"/>
  <c r="T201" i="4"/>
  <c r="AC295" i="5"/>
  <c r="U201" i="4" a="1"/>
  <c r="U201" i="4"/>
  <c r="AD295" i="5"/>
  <c r="X201" i="4"/>
  <c r="AI295" i="5"/>
  <c r="F295" i="5"/>
  <c r="H295" i="5"/>
  <c r="I295" i="5"/>
  <c r="L295" i="5"/>
  <c r="N295" i="5"/>
  <c r="O295" i="5"/>
  <c r="Z295" i="5"/>
  <c r="AN295" i="5"/>
  <c r="AG296" i="5"/>
  <c r="AF296" i="5"/>
  <c r="B283" i="4"/>
  <c r="C283" i="4"/>
  <c r="C296" i="5"/>
  <c r="D283" i="4"/>
  <c r="E296" i="5"/>
  <c r="H283" i="4"/>
  <c r="K296" i="5"/>
  <c r="L283" i="4"/>
  <c r="Q296" i="5"/>
  <c r="M283" i="4"/>
  <c r="R296" i="5"/>
  <c r="T296" i="5"/>
  <c r="O283" i="4"/>
  <c r="U296" i="5"/>
  <c r="P283" i="4"/>
  <c r="W296" i="5"/>
  <c r="Q283" i="4"/>
  <c r="X296" i="5"/>
  <c r="S283" i="4"/>
  <c r="AA296" i="5"/>
  <c r="AI283" i="4"/>
  <c r="T283" i="4" a="1"/>
  <c r="T283" i="4"/>
  <c r="AC296" i="5"/>
  <c r="U283" i="4" a="1"/>
  <c r="U283" i="4"/>
  <c r="AD296" i="5"/>
  <c r="X283" i="4"/>
  <c r="AI296" i="5"/>
  <c r="Y283" i="4"/>
  <c r="AJ296" i="5"/>
  <c r="Z283" i="4"/>
  <c r="AL296" i="5"/>
  <c r="F296" i="5"/>
  <c r="H296" i="5"/>
  <c r="I296" i="5"/>
  <c r="L296" i="5"/>
  <c r="N296" i="5"/>
  <c r="O296" i="5"/>
  <c r="Z296" i="5"/>
  <c r="AN296" i="5"/>
  <c r="O297" i="5"/>
  <c r="K297" i="5"/>
  <c r="AG297" i="5"/>
  <c r="AF297" i="5"/>
  <c r="C297" i="5"/>
  <c r="E297" i="5"/>
  <c r="L297" i="5"/>
  <c r="N297" i="5"/>
  <c r="Q297" i="5"/>
  <c r="R297" i="5"/>
  <c r="T297" i="5"/>
  <c r="U297" i="5"/>
  <c r="W297" i="5"/>
  <c r="X297" i="5"/>
  <c r="AA297" i="5"/>
  <c r="AC297" i="5"/>
  <c r="AD297" i="5"/>
  <c r="AI297" i="5"/>
  <c r="AJ297" i="5"/>
  <c r="AL297" i="5"/>
  <c r="F297" i="5"/>
  <c r="H297" i="5"/>
  <c r="I297" i="5"/>
  <c r="Z297" i="5"/>
  <c r="AN297" i="5"/>
  <c r="O299" i="5"/>
  <c r="K299" i="5"/>
  <c r="AG299" i="5"/>
  <c r="V45" i="2"/>
  <c r="B304" i="4"/>
  <c r="V304" i="4"/>
  <c r="AF299" i="5"/>
  <c r="C45" i="2"/>
  <c r="C304" i="4"/>
  <c r="C299" i="5"/>
  <c r="D304" i="4"/>
  <c r="E299" i="5"/>
  <c r="I304" i="4"/>
  <c r="L299" i="5"/>
  <c r="J304" i="4"/>
  <c r="N299" i="5"/>
  <c r="L304" i="4"/>
  <c r="Q299" i="5"/>
  <c r="M304" i="4"/>
  <c r="R299" i="5"/>
  <c r="N45" i="2"/>
  <c r="N304" i="4"/>
  <c r="T299" i="5"/>
  <c r="O45" i="2"/>
  <c r="O304" i="4"/>
  <c r="U299" i="5"/>
  <c r="P45" i="2"/>
  <c r="P304" i="4"/>
  <c r="W299" i="5"/>
  <c r="Q45" i="2"/>
  <c r="Q304" i="4"/>
  <c r="X299" i="5"/>
  <c r="AA299" i="5"/>
  <c r="T45" i="2"/>
  <c r="T304" i="4"/>
  <c r="AC299" i="5"/>
  <c r="U45" i="2"/>
  <c r="U304" i="4"/>
  <c r="AD299" i="5"/>
  <c r="X45" i="2"/>
  <c r="X304" i="4"/>
  <c r="AI299" i="5"/>
  <c r="Y45" i="2"/>
  <c r="Y304" i="4"/>
  <c r="AJ299" i="5"/>
  <c r="Z45" i="2"/>
  <c r="Z304" i="4"/>
  <c r="AL299" i="5"/>
  <c r="F299" i="5"/>
  <c r="H299" i="5"/>
  <c r="I299" i="5"/>
  <c r="Z299" i="5"/>
  <c r="AN299" i="5"/>
  <c r="AG300" i="5"/>
  <c r="V305" i="4"/>
  <c r="AF300" i="5"/>
  <c r="C305" i="4"/>
  <c r="C300" i="5"/>
  <c r="N305" i="4"/>
  <c r="T300" i="5"/>
  <c r="O305" i="4"/>
  <c r="U300" i="5"/>
  <c r="P305" i="4"/>
  <c r="W300" i="5"/>
  <c r="Q305" i="4"/>
  <c r="X300" i="5"/>
  <c r="AA300" i="5"/>
  <c r="T305" i="4"/>
  <c r="AC300" i="5"/>
  <c r="U305" i="4"/>
  <c r="AD300" i="5"/>
  <c r="X305" i="4"/>
  <c r="AI300" i="5"/>
  <c r="Y305" i="4"/>
  <c r="AJ300" i="5"/>
  <c r="Z305" i="4"/>
  <c r="AL300" i="5"/>
  <c r="F300" i="5"/>
  <c r="H300" i="5"/>
  <c r="I300" i="5"/>
  <c r="Z300" i="5"/>
  <c r="AN300" i="5"/>
  <c r="O301" i="5"/>
  <c r="K301" i="5"/>
  <c r="AG301" i="5"/>
  <c r="V46" i="2"/>
  <c r="B306" i="4"/>
  <c r="V306" i="4"/>
  <c r="AF301" i="5"/>
  <c r="C46" i="2"/>
  <c r="C306" i="4"/>
  <c r="C301" i="5"/>
  <c r="D46" i="2"/>
  <c r="D306" i="4"/>
  <c r="E301" i="5"/>
  <c r="I46" i="2"/>
  <c r="I306" i="4"/>
  <c r="L301" i="5"/>
  <c r="J46" i="2"/>
  <c r="J306" i="4"/>
  <c r="N301" i="5"/>
  <c r="L46" i="2"/>
  <c r="L306" i="4"/>
  <c r="Q301" i="5"/>
  <c r="M46" i="2"/>
  <c r="M306" i="4"/>
  <c r="R301" i="5"/>
  <c r="N46" i="2"/>
  <c r="N306" i="4"/>
  <c r="T301" i="5"/>
  <c r="O46" i="2"/>
  <c r="O306" i="4"/>
  <c r="U301" i="5"/>
  <c r="P46" i="2"/>
  <c r="P306" i="4"/>
  <c r="W301" i="5"/>
  <c r="Q46" i="2"/>
  <c r="Q306" i="4"/>
  <c r="X301" i="5"/>
  <c r="AA301" i="5"/>
  <c r="T46" i="2"/>
  <c r="T306" i="4"/>
  <c r="AC301" i="5"/>
  <c r="U46" i="2"/>
  <c r="U306" i="4"/>
  <c r="AD301" i="5"/>
  <c r="X46" i="2"/>
  <c r="X306" i="4"/>
  <c r="AI301" i="5"/>
  <c r="Y46" i="2"/>
  <c r="Y306" i="4"/>
  <c r="AJ301" i="5"/>
  <c r="Z46" i="2"/>
  <c r="Z306" i="4"/>
  <c r="AL301" i="5"/>
  <c r="F301" i="5"/>
  <c r="H301" i="5"/>
  <c r="I301" i="5"/>
  <c r="Z301" i="5"/>
  <c r="AN301" i="5"/>
  <c r="O302" i="5"/>
  <c r="K302" i="5"/>
  <c r="AG302" i="5"/>
  <c r="B307" i="4"/>
  <c r="V307" i="4"/>
  <c r="AF302" i="5"/>
  <c r="C307" i="4"/>
  <c r="C302" i="5"/>
  <c r="D307" i="4"/>
  <c r="E302" i="5"/>
  <c r="I307" i="4"/>
  <c r="L302" i="5"/>
  <c r="J307" i="4"/>
  <c r="N302" i="5"/>
  <c r="L307" i="4"/>
  <c r="Q302" i="5"/>
  <c r="M307" i="4"/>
  <c r="R302" i="5"/>
  <c r="N307" i="4"/>
  <c r="T302" i="5"/>
  <c r="O307" i="4"/>
  <c r="U302" i="5"/>
  <c r="P307" i="4"/>
  <c r="W302" i="5"/>
  <c r="Q307" i="4"/>
  <c r="X302" i="5"/>
  <c r="AA302" i="5"/>
  <c r="T307" i="4"/>
  <c r="AC302" i="5"/>
  <c r="U307" i="4"/>
  <c r="AD302" i="5"/>
  <c r="X307" i="4"/>
  <c r="AI302" i="5"/>
  <c r="Y307" i="4"/>
  <c r="AJ302" i="5"/>
  <c r="Z307" i="4"/>
  <c r="AL302" i="5"/>
  <c r="F302" i="5"/>
  <c r="H302" i="5"/>
  <c r="I302" i="5"/>
  <c r="Z302" i="5"/>
  <c r="AN302" i="5"/>
  <c r="O303" i="5"/>
  <c r="K303" i="5"/>
  <c r="AG303" i="5"/>
  <c r="V49" i="2"/>
  <c r="V309" i="4"/>
  <c r="AF303" i="5"/>
  <c r="C49" i="2"/>
  <c r="C309" i="4"/>
  <c r="C303" i="5"/>
  <c r="D49" i="2"/>
  <c r="D309" i="4"/>
  <c r="E303" i="5"/>
  <c r="I49" i="2"/>
  <c r="I309" i="4"/>
  <c r="L303" i="5"/>
  <c r="J49" i="2"/>
  <c r="J309" i="4"/>
  <c r="N303" i="5"/>
  <c r="L49" i="2"/>
  <c r="L309" i="4"/>
  <c r="Q303" i="5"/>
  <c r="M49" i="2"/>
  <c r="M309" i="4"/>
  <c r="R303" i="5"/>
  <c r="N49" i="2"/>
  <c r="N309" i="4"/>
  <c r="T303" i="5"/>
  <c r="O49" i="2"/>
  <c r="O309" i="4"/>
  <c r="U303" i="5"/>
  <c r="P49" i="2"/>
  <c r="P309" i="4"/>
  <c r="W303" i="5"/>
  <c r="Q49" i="2"/>
  <c r="Q309" i="4"/>
  <c r="X303" i="5"/>
  <c r="AA303" i="5"/>
  <c r="X49" i="2"/>
  <c r="X309" i="4"/>
  <c r="AI303" i="5"/>
  <c r="Y49" i="2"/>
  <c r="Y309" i="4"/>
  <c r="AJ303" i="5"/>
  <c r="Z49" i="2"/>
  <c r="Z309" i="4"/>
  <c r="AL303" i="5"/>
  <c r="F303" i="5"/>
  <c r="H303" i="5"/>
  <c r="I303" i="5"/>
  <c r="Z303" i="5"/>
  <c r="AN303" i="5"/>
  <c r="O304" i="5"/>
  <c r="K304" i="5"/>
  <c r="AG304" i="5"/>
  <c r="V47" i="2"/>
  <c r="B300" i="4"/>
  <c r="V300" i="4"/>
  <c r="AF304" i="5"/>
  <c r="C47" i="2"/>
  <c r="C300" i="4"/>
  <c r="C304" i="5"/>
  <c r="D47" i="2"/>
  <c r="D300" i="4"/>
  <c r="E304" i="5"/>
  <c r="I47" i="2"/>
  <c r="I300" i="4"/>
  <c r="L304" i="5"/>
  <c r="J47" i="2"/>
  <c r="J300" i="4"/>
  <c r="N304" i="5"/>
  <c r="L47" i="2"/>
  <c r="L300" i="4"/>
  <c r="Q304" i="5"/>
  <c r="M47" i="2"/>
  <c r="M300" i="4"/>
  <c r="R304" i="5"/>
  <c r="N47" i="2"/>
  <c r="N300" i="4"/>
  <c r="T304" i="5"/>
  <c r="O47" i="2"/>
  <c r="O300" i="4"/>
  <c r="U304" i="5"/>
  <c r="P47" i="2"/>
  <c r="P300" i="4"/>
  <c r="W304" i="5"/>
  <c r="Q47" i="2"/>
  <c r="Q300" i="4"/>
  <c r="X304" i="5"/>
  <c r="AA304" i="5"/>
  <c r="AC304" i="5"/>
  <c r="AD304" i="5"/>
  <c r="X47" i="2"/>
  <c r="X300" i="4"/>
  <c r="AI304" i="5"/>
  <c r="Y47" i="2"/>
  <c r="Y300" i="4"/>
  <c r="AJ304" i="5"/>
  <c r="Z47" i="2"/>
  <c r="Z300" i="4"/>
  <c r="AL304" i="5"/>
  <c r="F304" i="5"/>
  <c r="H304" i="5"/>
  <c r="I304" i="5"/>
  <c r="Z304" i="5"/>
  <c r="AN304" i="5"/>
  <c r="O305" i="5"/>
  <c r="K305" i="5"/>
  <c r="AG305" i="5"/>
  <c r="B310" i="4"/>
  <c r="V310" i="4"/>
  <c r="AF305" i="5"/>
  <c r="C310" i="4"/>
  <c r="C305" i="5"/>
  <c r="D310" i="4"/>
  <c r="E305" i="5"/>
  <c r="I310" i="4"/>
  <c r="L305" i="5"/>
  <c r="J310" i="4"/>
  <c r="N305" i="5"/>
  <c r="L310" i="4"/>
  <c r="Q305" i="5"/>
  <c r="M310" i="4"/>
  <c r="R305" i="5"/>
  <c r="N310" i="4"/>
  <c r="T305" i="5"/>
  <c r="O310" i="4"/>
  <c r="U305" i="5"/>
  <c r="P310" i="4"/>
  <c r="W305" i="5"/>
  <c r="Q310" i="4"/>
  <c r="X305" i="5"/>
  <c r="AA305" i="5"/>
  <c r="T310" i="4"/>
  <c r="AC305" i="5"/>
  <c r="AD305" i="5"/>
  <c r="X310" i="4"/>
  <c r="AI305" i="5"/>
  <c r="Y310" i="4"/>
  <c r="AJ305" i="5"/>
  <c r="Z310" i="4"/>
  <c r="AL305" i="5"/>
  <c r="F305" i="5"/>
  <c r="H305" i="5"/>
  <c r="I305" i="5"/>
  <c r="Z305" i="5"/>
  <c r="AN305" i="5"/>
  <c r="O306" i="5"/>
  <c r="K306" i="5"/>
  <c r="AG306" i="5"/>
  <c r="V48" i="2"/>
  <c r="V311" i="4"/>
  <c r="AF306" i="5"/>
  <c r="C48" i="2"/>
  <c r="C311" i="4"/>
  <c r="C306" i="5"/>
  <c r="D311" i="4"/>
  <c r="E306" i="5"/>
  <c r="I311" i="4"/>
  <c r="L306" i="5"/>
  <c r="J311" i="4"/>
  <c r="N306" i="5"/>
  <c r="L311" i="4"/>
  <c r="Q306" i="5"/>
  <c r="M311" i="4"/>
  <c r="R306" i="5"/>
  <c r="N48" i="2"/>
  <c r="N311" i="4"/>
  <c r="T306" i="5"/>
  <c r="O48" i="2"/>
  <c r="O311" i="4"/>
  <c r="U306" i="5"/>
  <c r="P48" i="2"/>
  <c r="P311" i="4"/>
  <c r="W306" i="5"/>
  <c r="Q48" i="2"/>
  <c r="Q311" i="4"/>
  <c r="X306" i="5"/>
  <c r="AA306" i="5"/>
  <c r="X48" i="2"/>
  <c r="X311" i="4"/>
  <c r="AI306" i="5"/>
  <c r="Y48" i="2"/>
  <c r="Y311" i="4"/>
  <c r="AJ306" i="5"/>
  <c r="Z48" i="2"/>
  <c r="Z311" i="4"/>
  <c r="AL306" i="5"/>
  <c r="F306" i="5"/>
  <c r="H306" i="5"/>
  <c r="I306" i="5"/>
  <c r="Z306" i="5"/>
  <c r="AN306" i="5"/>
  <c r="O307" i="5"/>
  <c r="K307" i="5"/>
  <c r="AG307" i="5"/>
  <c r="B312" i="4"/>
  <c r="V312" i="4"/>
  <c r="AF307" i="5"/>
  <c r="C312" i="4"/>
  <c r="C307" i="5"/>
  <c r="D312" i="4"/>
  <c r="E307" i="5"/>
  <c r="I312" i="4"/>
  <c r="L307" i="5"/>
  <c r="J312" i="4"/>
  <c r="N307" i="5"/>
  <c r="L312" i="4"/>
  <c r="Q307" i="5"/>
  <c r="M312" i="4"/>
  <c r="R307" i="5"/>
  <c r="N312" i="4"/>
  <c r="T307" i="5"/>
  <c r="O312" i="4"/>
  <c r="U307" i="5"/>
  <c r="P312" i="4"/>
  <c r="W307" i="5"/>
  <c r="Q312" i="4"/>
  <c r="X307" i="5"/>
  <c r="AA307" i="5"/>
  <c r="T312" i="4"/>
  <c r="AC307" i="5"/>
  <c r="AD307" i="5"/>
  <c r="X312" i="4"/>
  <c r="AI307" i="5"/>
  <c r="Y312" i="4"/>
  <c r="AJ307" i="5"/>
  <c r="Z312" i="4"/>
  <c r="AL307" i="5"/>
  <c r="F307" i="5"/>
  <c r="H307" i="5"/>
  <c r="I307" i="5"/>
  <c r="Z307" i="5"/>
  <c r="AN307" i="5"/>
  <c r="O308" i="5"/>
  <c r="K308" i="5"/>
  <c r="AG308" i="5"/>
  <c r="V313" i="4"/>
  <c r="AF308" i="5"/>
  <c r="C313" i="4"/>
  <c r="C308" i="5"/>
  <c r="D313" i="4"/>
  <c r="E308" i="5"/>
  <c r="I313" i="4"/>
  <c r="L308" i="5"/>
  <c r="J313" i="4"/>
  <c r="N308" i="5"/>
  <c r="L313" i="4"/>
  <c r="Q308" i="5"/>
  <c r="M313" i="4"/>
  <c r="R308" i="5"/>
  <c r="N313" i="4"/>
  <c r="T308" i="5"/>
  <c r="O313" i="4"/>
  <c r="U308" i="5"/>
  <c r="P313" i="4"/>
  <c r="W308" i="5"/>
  <c r="Q313" i="4"/>
  <c r="X308" i="5"/>
  <c r="AA308" i="5"/>
  <c r="X313" i="4"/>
  <c r="AI308" i="5"/>
  <c r="Y313" i="4"/>
  <c r="AJ308" i="5"/>
  <c r="Z313" i="4"/>
  <c r="AL308" i="5"/>
  <c r="F308" i="5"/>
  <c r="H308" i="5"/>
  <c r="I308" i="5"/>
  <c r="Z308" i="5"/>
  <c r="AN308" i="5"/>
  <c r="O309" i="5"/>
  <c r="K309" i="5"/>
  <c r="AG309" i="5"/>
  <c r="B301" i="4"/>
  <c r="V301" i="4"/>
  <c r="AF309" i="5"/>
  <c r="C301" i="4"/>
  <c r="C309" i="5"/>
  <c r="D301" i="4"/>
  <c r="E309" i="5"/>
  <c r="I301" i="4"/>
  <c r="L309" i="5"/>
  <c r="J301" i="4"/>
  <c r="N309" i="5"/>
  <c r="L301" i="4"/>
  <c r="Q309" i="5"/>
  <c r="M301" i="4"/>
  <c r="R309" i="5"/>
  <c r="N301" i="4"/>
  <c r="T309" i="5"/>
  <c r="O301" i="4"/>
  <c r="U309" i="5"/>
  <c r="P301" i="4"/>
  <c r="W309" i="5"/>
  <c r="Q301" i="4"/>
  <c r="X309" i="5"/>
  <c r="AA309" i="5"/>
  <c r="AC309" i="5"/>
  <c r="AD309" i="5"/>
  <c r="X301" i="4"/>
  <c r="AI309" i="5"/>
  <c r="Y301" i="4"/>
  <c r="AJ309" i="5"/>
  <c r="Z301" i="4"/>
  <c r="AL309" i="5"/>
  <c r="F309" i="5"/>
  <c r="H309" i="5"/>
  <c r="I309" i="5"/>
  <c r="Z309" i="5"/>
  <c r="AN309" i="5"/>
  <c r="AG310" i="5"/>
  <c r="V314" i="4"/>
  <c r="AF310" i="5"/>
  <c r="C314" i="4"/>
  <c r="C310" i="5"/>
  <c r="N314" i="4"/>
  <c r="T310" i="5"/>
  <c r="O314" i="4"/>
  <c r="U310" i="5"/>
  <c r="P314" i="4"/>
  <c r="W310" i="5"/>
  <c r="Q314" i="4"/>
  <c r="X310" i="5"/>
  <c r="AA310" i="5"/>
  <c r="AC310" i="5"/>
  <c r="AD310" i="5"/>
  <c r="X314" i="4"/>
  <c r="AI310" i="5"/>
  <c r="Y314" i="4"/>
  <c r="AJ310" i="5"/>
  <c r="Z314" i="4"/>
  <c r="AL310" i="5"/>
  <c r="F310" i="5"/>
  <c r="H310" i="5"/>
  <c r="I310" i="5"/>
  <c r="Z310" i="5"/>
  <c r="AN310" i="5"/>
  <c r="O311" i="5"/>
  <c r="K311" i="5"/>
  <c r="AG311" i="5"/>
  <c r="B308" i="4"/>
  <c r="V308" i="4"/>
  <c r="AF311" i="5"/>
  <c r="C308" i="4"/>
  <c r="C311" i="5"/>
  <c r="D308" i="4"/>
  <c r="E311" i="5"/>
  <c r="I308" i="4"/>
  <c r="L311" i="5"/>
  <c r="J308" i="4"/>
  <c r="N311" i="5"/>
  <c r="L308" i="4"/>
  <c r="Q311" i="5"/>
  <c r="M308" i="4"/>
  <c r="R311" i="5"/>
  <c r="N308" i="4"/>
  <c r="T311" i="5"/>
  <c r="O308" i="4"/>
  <c r="U311" i="5"/>
  <c r="P308" i="4"/>
  <c r="W311" i="5"/>
  <c r="Q308" i="4"/>
  <c r="X311" i="5"/>
  <c r="AA311" i="5"/>
  <c r="AC311" i="5"/>
  <c r="AD311" i="5"/>
  <c r="X308" i="4"/>
  <c r="AI311" i="5"/>
  <c r="Y308" i="4"/>
  <c r="AJ311" i="5"/>
  <c r="Z308" i="4"/>
  <c r="AL311" i="5"/>
  <c r="F311" i="5"/>
  <c r="H311" i="5"/>
  <c r="I311" i="5"/>
  <c r="Z311" i="5"/>
  <c r="AN311" i="5"/>
  <c r="O312" i="5"/>
  <c r="K312" i="5"/>
  <c r="AG312" i="5"/>
  <c r="B299" i="4"/>
  <c r="V299" i="4"/>
  <c r="AF312" i="5"/>
  <c r="C299" i="4"/>
  <c r="C312" i="5"/>
  <c r="D299" i="4"/>
  <c r="E312" i="5"/>
  <c r="I299" i="4"/>
  <c r="L312" i="5"/>
  <c r="J299" i="4"/>
  <c r="N312" i="5"/>
  <c r="L299" i="4"/>
  <c r="Q312" i="5"/>
  <c r="M299" i="4"/>
  <c r="R312" i="5"/>
  <c r="N299" i="4"/>
  <c r="T312" i="5"/>
  <c r="O299" i="4"/>
  <c r="U312" i="5"/>
  <c r="P299" i="4"/>
  <c r="W312" i="5"/>
  <c r="Q299" i="4"/>
  <c r="X312" i="5"/>
  <c r="AA312" i="5"/>
  <c r="AC312" i="5"/>
  <c r="AD312" i="5"/>
  <c r="X299" i="4"/>
  <c r="AI312" i="5"/>
  <c r="Y299" i="4"/>
  <c r="AJ312" i="5"/>
  <c r="Z299" i="4"/>
  <c r="AL312" i="5"/>
  <c r="F312" i="5"/>
  <c r="H312" i="5"/>
  <c r="I312" i="5"/>
  <c r="Z312" i="5"/>
  <c r="AN312" i="5"/>
  <c r="O313" i="5"/>
  <c r="K313" i="5"/>
  <c r="AG313" i="5"/>
  <c r="B302" i="4"/>
  <c r="V302" i="4"/>
  <c r="AF313" i="5"/>
  <c r="C302" i="4"/>
  <c r="C313" i="5"/>
  <c r="D302" i="4"/>
  <c r="E313" i="5"/>
  <c r="I302" i="4"/>
  <c r="L313" i="5"/>
  <c r="J302" i="4"/>
  <c r="N313" i="5"/>
  <c r="L302" i="4"/>
  <c r="Q313" i="5"/>
  <c r="M302" i="4"/>
  <c r="R313" i="5"/>
  <c r="N302" i="4"/>
  <c r="T313" i="5"/>
  <c r="O302" i="4"/>
  <c r="U313" i="5"/>
  <c r="P302" i="4"/>
  <c r="W313" i="5"/>
  <c r="Q302" i="4"/>
  <c r="X313" i="5"/>
  <c r="AA313" i="5"/>
  <c r="AC313" i="5"/>
  <c r="AD313" i="5"/>
  <c r="X302" i="4"/>
  <c r="AI313" i="5"/>
  <c r="Y302" i="4"/>
  <c r="AJ313" i="5"/>
  <c r="Z302" i="4"/>
  <c r="AL313" i="5"/>
  <c r="F313" i="5"/>
  <c r="H313" i="5"/>
  <c r="I313" i="5"/>
  <c r="Z313" i="5"/>
  <c r="AN313" i="5"/>
  <c r="O314" i="5"/>
  <c r="K314" i="5"/>
  <c r="AG314" i="5"/>
  <c r="B303" i="4"/>
  <c r="V303" i="4"/>
  <c r="AF314" i="5"/>
  <c r="C303" i="4"/>
  <c r="C314" i="5"/>
  <c r="D303" i="4"/>
  <c r="E314" i="5"/>
  <c r="I303" i="4"/>
  <c r="L314" i="5"/>
  <c r="J303" i="4"/>
  <c r="N314" i="5"/>
  <c r="L303" i="4"/>
  <c r="Q314" i="5"/>
  <c r="M303" i="4"/>
  <c r="R314" i="5"/>
  <c r="N303" i="4"/>
  <c r="T314" i="5"/>
  <c r="O303" i="4"/>
  <c r="U314" i="5"/>
  <c r="P303" i="4"/>
  <c r="W314" i="5"/>
  <c r="Q303" i="4"/>
  <c r="X314" i="5"/>
  <c r="AA314" i="5"/>
  <c r="AC314" i="5"/>
  <c r="AD314" i="5"/>
  <c r="X303" i="4"/>
  <c r="AI314" i="5"/>
  <c r="Y303" i="4"/>
  <c r="AJ314" i="5"/>
  <c r="Z303" i="4"/>
  <c r="AL314" i="5"/>
  <c r="F314" i="5"/>
  <c r="H314" i="5"/>
  <c r="I314" i="5"/>
  <c r="Z314" i="5"/>
  <c r="AN314" i="5"/>
  <c r="O315" i="5"/>
  <c r="K315" i="5"/>
  <c r="AG315" i="5"/>
  <c r="B343" i="4"/>
  <c r="V343" i="4"/>
  <c r="AF315" i="5"/>
  <c r="C315" i="5"/>
  <c r="D343" i="4"/>
  <c r="E315" i="5"/>
  <c r="I315" i="5"/>
  <c r="I343" i="4"/>
  <c r="L315" i="5"/>
  <c r="J343" i="4"/>
  <c r="N315" i="5"/>
  <c r="L343" i="4"/>
  <c r="Q315" i="5"/>
  <c r="M343" i="4"/>
  <c r="R315" i="5"/>
  <c r="N343" i="4"/>
  <c r="T315" i="5"/>
  <c r="O343" i="4"/>
  <c r="U315" i="5"/>
  <c r="P343" i="4"/>
  <c r="W315" i="5"/>
  <c r="Q343" i="4"/>
  <c r="X315" i="5"/>
  <c r="AA315" i="5"/>
  <c r="AC315" i="5"/>
  <c r="AD315" i="5"/>
  <c r="X343" i="4"/>
  <c r="AI315" i="5"/>
  <c r="Y343" i="4"/>
  <c r="AJ315" i="5"/>
  <c r="AL315" i="5"/>
  <c r="Z315" i="5"/>
  <c r="AN315" i="5"/>
  <c r="O316" i="5"/>
  <c r="K316" i="5"/>
  <c r="AG316" i="5"/>
  <c r="B344" i="4"/>
  <c r="V344" i="4"/>
  <c r="AF316" i="5"/>
  <c r="C316" i="5"/>
  <c r="D344" i="4"/>
  <c r="E316" i="5"/>
  <c r="I316" i="5"/>
  <c r="I344" i="4"/>
  <c r="L316" i="5"/>
  <c r="J344" i="4"/>
  <c r="N316" i="5"/>
  <c r="L344" i="4"/>
  <c r="Q316" i="5"/>
  <c r="M344" i="4"/>
  <c r="R316" i="5"/>
  <c r="N344" i="4"/>
  <c r="T316" i="5"/>
  <c r="O344" i="4"/>
  <c r="U316" i="5"/>
  <c r="P344" i="4"/>
  <c r="W316" i="5"/>
  <c r="Q344" i="4"/>
  <c r="X316" i="5"/>
  <c r="AA316" i="5"/>
  <c r="AC316" i="5"/>
  <c r="AD316" i="5"/>
  <c r="X344" i="4"/>
  <c r="AI316" i="5"/>
  <c r="Y344" i="4"/>
  <c r="AJ316" i="5"/>
  <c r="AL316" i="5"/>
  <c r="Z316" i="5"/>
  <c r="AN316" i="5"/>
  <c r="O317" i="5"/>
  <c r="K317" i="5"/>
  <c r="AG317" i="5"/>
  <c r="B345" i="4"/>
  <c r="V345" i="4"/>
  <c r="AF317" i="5"/>
  <c r="C317" i="5"/>
  <c r="D345" i="4"/>
  <c r="E317" i="5"/>
  <c r="I317" i="5"/>
  <c r="I345" i="4"/>
  <c r="L317" i="5"/>
  <c r="J345" i="4"/>
  <c r="N317" i="5"/>
  <c r="L345" i="4"/>
  <c r="Q317" i="5"/>
  <c r="M345" i="4"/>
  <c r="R317" i="5"/>
  <c r="N345" i="4"/>
  <c r="T317" i="5"/>
  <c r="O345" i="4"/>
  <c r="U317" i="5"/>
  <c r="P345" i="4"/>
  <c r="W317" i="5"/>
  <c r="Q345" i="4"/>
  <c r="X317" i="5"/>
  <c r="AA317" i="5"/>
  <c r="AC317" i="5"/>
  <c r="AD317" i="5"/>
  <c r="X345" i="4"/>
  <c r="AI317" i="5"/>
  <c r="Y345" i="4"/>
  <c r="AJ317" i="5"/>
  <c r="AL317" i="5"/>
  <c r="Z317" i="5"/>
  <c r="AN317" i="5"/>
  <c r="O318" i="5"/>
  <c r="K318" i="5"/>
  <c r="AG318" i="5"/>
  <c r="B335" i="4"/>
  <c r="V335" i="4"/>
  <c r="AF318" i="5"/>
  <c r="C318" i="5"/>
  <c r="D335" i="4"/>
  <c r="E318" i="5"/>
  <c r="I318" i="5"/>
  <c r="I335" i="4"/>
  <c r="L318" i="5"/>
  <c r="J335" i="4"/>
  <c r="N318" i="5"/>
  <c r="L335" i="4"/>
  <c r="Q318" i="5"/>
  <c r="M335" i="4"/>
  <c r="R318" i="5"/>
  <c r="N335" i="4"/>
  <c r="T318" i="5"/>
  <c r="O335" i="4"/>
  <c r="U318" i="5"/>
  <c r="P335" i="4"/>
  <c r="W318" i="5"/>
  <c r="Q335" i="4"/>
  <c r="X318" i="5"/>
  <c r="AA318" i="5"/>
  <c r="AC318" i="5"/>
  <c r="AD318" i="5"/>
  <c r="X335" i="4"/>
  <c r="AI318" i="5"/>
  <c r="Y335" i="4"/>
  <c r="AJ318" i="5"/>
  <c r="AL318" i="5"/>
  <c r="Z318" i="5"/>
  <c r="AN318" i="5"/>
  <c r="O319" i="5"/>
  <c r="K319" i="5"/>
  <c r="AG319" i="5"/>
  <c r="B336" i="4"/>
  <c r="V336" i="4"/>
  <c r="AF319" i="5"/>
  <c r="C319" i="5"/>
  <c r="D336" i="4"/>
  <c r="E319" i="5"/>
  <c r="I319" i="5"/>
  <c r="I336" i="4"/>
  <c r="L319" i="5"/>
  <c r="J336" i="4"/>
  <c r="N319" i="5"/>
  <c r="L336" i="4"/>
  <c r="Q319" i="5"/>
  <c r="M336" i="4"/>
  <c r="R319" i="5"/>
  <c r="N336" i="4"/>
  <c r="T319" i="5"/>
  <c r="O336" i="4"/>
  <c r="U319" i="5"/>
  <c r="P336" i="4"/>
  <c r="W319" i="5"/>
  <c r="Q336" i="4"/>
  <c r="X319" i="5"/>
  <c r="AA319" i="5"/>
  <c r="AC319" i="5"/>
  <c r="AD319" i="5"/>
  <c r="X336" i="4"/>
  <c r="AI319" i="5"/>
  <c r="Y336" i="4"/>
  <c r="AJ319" i="5"/>
  <c r="AL319" i="5"/>
  <c r="Z319" i="5"/>
  <c r="AN319" i="5"/>
  <c r="O320" i="5"/>
  <c r="K320" i="5"/>
  <c r="AG320" i="5"/>
  <c r="B318" i="4"/>
  <c r="V318" i="4"/>
  <c r="AF320" i="5"/>
  <c r="C320" i="5"/>
  <c r="D318" i="4"/>
  <c r="E320" i="5"/>
  <c r="I318" i="4"/>
  <c r="L320" i="5"/>
  <c r="J318" i="4"/>
  <c r="N320" i="5"/>
  <c r="L318" i="4"/>
  <c r="Q320" i="5"/>
  <c r="M318" i="4"/>
  <c r="R320" i="5"/>
  <c r="N318" i="4"/>
  <c r="T320" i="5"/>
  <c r="O318" i="4"/>
  <c r="U320" i="5"/>
  <c r="P318" i="4"/>
  <c r="W320" i="5"/>
  <c r="Q318" i="4"/>
  <c r="X320" i="5"/>
  <c r="AA320" i="5"/>
  <c r="AC320" i="5"/>
  <c r="AD320" i="5"/>
  <c r="X318" i="4"/>
  <c r="AI320" i="5"/>
  <c r="Y318" i="4"/>
  <c r="AJ320" i="5"/>
  <c r="AL320" i="5"/>
  <c r="F320" i="5"/>
  <c r="H320" i="5"/>
  <c r="I320" i="5"/>
  <c r="Z320" i="5"/>
  <c r="AN320" i="5"/>
  <c r="O321" i="5"/>
  <c r="K321" i="5"/>
  <c r="AG321" i="5"/>
  <c r="AF321" i="5"/>
  <c r="C321" i="5"/>
  <c r="B315" i="4"/>
  <c r="D315" i="4"/>
  <c r="E321" i="5"/>
  <c r="I321" i="5"/>
  <c r="I315" i="4"/>
  <c r="L321" i="5"/>
  <c r="J315" i="4"/>
  <c r="N321" i="5"/>
  <c r="L315" i="4"/>
  <c r="Q321" i="5"/>
  <c r="M315" i="4"/>
  <c r="R321" i="5"/>
  <c r="N315" i="4"/>
  <c r="T321" i="5"/>
  <c r="O315" i="4"/>
  <c r="U321" i="5"/>
  <c r="P315" i="4"/>
  <c r="W321" i="5"/>
  <c r="Q315" i="4"/>
  <c r="X321" i="5"/>
  <c r="AA321" i="5"/>
  <c r="AC321" i="5"/>
  <c r="AD321" i="5"/>
  <c r="X315" i="4"/>
  <c r="AI321" i="5"/>
  <c r="Y315" i="4"/>
  <c r="AJ321" i="5"/>
  <c r="AL321" i="5"/>
  <c r="Z321" i="5"/>
  <c r="AN321" i="5"/>
  <c r="O322" i="5"/>
  <c r="K322" i="5"/>
  <c r="AG322" i="5"/>
  <c r="B319" i="4"/>
  <c r="V319" i="4"/>
  <c r="AF322" i="5"/>
  <c r="C322" i="5"/>
  <c r="D319" i="4"/>
  <c r="E322" i="5"/>
  <c r="I322" i="5"/>
  <c r="I319" i="4"/>
  <c r="L322" i="5"/>
  <c r="J319" i="4"/>
  <c r="N322" i="5"/>
  <c r="L319" i="4"/>
  <c r="Q322" i="5"/>
  <c r="M319" i="4"/>
  <c r="R322" i="5"/>
  <c r="N319" i="4"/>
  <c r="T322" i="5"/>
  <c r="O319" i="4"/>
  <c r="U322" i="5"/>
  <c r="P319" i="4"/>
  <c r="W322" i="5"/>
  <c r="Q319" i="4"/>
  <c r="X322" i="5"/>
  <c r="AA322" i="5"/>
  <c r="AC322" i="5"/>
  <c r="AD322" i="5"/>
  <c r="X319" i="4"/>
  <c r="AI322" i="5"/>
  <c r="Y319" i="4"/>
  <c r="AJ322" i="5"/>
  <c r="AL322" i="5"/>
  <c r="Z322" i="5"/>
  <c r="AN322" i="5"/>
  <c r="O323" i="5"/>
  <c r="K323" i="5"/>
  <c r="AG323" i="5"/>
  <c r="B320" i="4"/>
  <c r="V320" i="4"/>
  <c r="AF323" i="5"/>
  <c r="C323" i="5"/>
  <c r="D320" i="4"/>
  <c r="E323" i="5"/>
  <c r="I320" i="4"/>
  <c r="L323" i="5"/>
  <c r="J320" i="4"/>
  <c r="N323" i="5"/>
  <c r="L320" i="4"/>
  <c r="Q323" i="5"/>
  <c r="M320" i="4"/>
  <c r="R323" i="5"/>
  <c r="N320" i="4"/>
  <c r="T323" i="5"/>
  <c r="O320" i="4"/>
  <c r="U323" i="5"/>
  <c r="P320" i="4"/>
  <c r="W323" i="5"/>
  <c r="Q320" i="4"/>
  <c r="X323" i="5"/>
  <c r="AA323" i="5"/>
  <c r="AC323" i="5"/>
  <c r="AD323" i="5"/>
  <c r="X320" i="4"/>
  <c r="AI323" i="5"/>
  <c r="Y320" i="4"/>
  <c r="AJ323" i="5"/>
  <c r="AL323" i="5"/>
  <c r="F323" i="5"/>
  <c r="H323" i="5"/>
  <c r="I323" i="5"/>
  <c r="Z323" i="5"/>
  <c r="AN323" i="5"/>
  <c r="O324" i="5"/>
  <c r="K324" i="5"/>
  <c r="AG324" i="5"/>
  <c r="B321" i="4"/>
  <c r="V321" i="4"/>
  <c r="AF324" i="5"/>
  <c r="C324" i="5"/>
  <c r="D321" i="4"/>
  <c r="E324" i="5"/>
  <c r="I321" i="4"/>
  <c r="L324" i="5"/>
  <c r="J321" i="4"/>
  <c r="N324" i="5"/>
  <c r="L321" i="4"/>
  <c r="Q324" i="5"/>
  <c r="M321" i="4"/>
  <c r="R324" i="5"/>
  <c r="N321" i="4"/>
  <c r="T324" i="5"/>
  <c r="O321" i="4"/>
  <c r="U324" i="5"/>
  <c r="P321" i="4"/>
  <c r="W324" i="5"/>
  <c r="Q321" i="4"/>
  <c r="X324" i="5"/>
  <c r="AA324" i="5"/>
  <c r="AC324" i="5"/>
  <c r="AD324" i="5"/>
  <c r="X321" i="4"/>
  <c r="AI324" i="5"/>
  <c r="Y321" i="4"/>
  <c r="AJ324" i="5"/>
  <c r="AL324" i="5"/>
  <c r="F324" i="5"/>
  <c r="H324" i="5"/>
  <c r="I324" i="5"/>
  <c r="Z324" i="5"/>
  <c r="AN324" i="5"/>
  <c r="O325" i="5"/>
  <c r="K325" i="5"/>
  <c r="AG325" i="5"/>
  <c r="B347" i="4"/>
  <c r="V347" i="4"/>
  <c r="AF325" i="5"/>
  <c r="C325" i="5"/>
  <c r="D347" i="4"/>
  <c r="E325" i="5"/>
  <c r="I347" i="4"/>
  <c r="L325" i="5"/>
  <c r="J347" i="4"/>
  <c r="N325" i="5"/>
  <c r="L347" i="4"/>
  <c r="Q325" i="5"/>
  <c r="M347" i="4"/>
  <c r="R325" i="5"/>
  <c r="N347" i="4"/>
  <c r="T325" i="5"/>
  <c r="O347" i="4"/>
  <c r="U325" i="5"/>
  <c r="P347" i="4"/>
  <c r="W325" i="5"/>
  <c r="Q347" i="4"/>
  <c r="X325" i="5"/>
  <c r="AA325" i="5"/>
  <c r="AC325" i="5"/>
  <c r="AD325" i="5"/>
  <c r="X347" i="4"/>
  <c r="AI325" i="5"/>
  <c r="Y347" i="4"/>
  <c r="AJ325" i="5"/>
  <c r="AL325" i="5"/>
  <c r="F325" i="5"/>
  <c r="H325" i="5"/>
  <c r="I325" i="5"/>
  <c r="Z325" i="5"/>
  <c r="AN325" i="5"/>
  <c r="O326" i="5"/>
  <c r="K326" i="5"/>
  <c r="AG326" i="5"/>
  <c r="B337" i="4"/>
  <c r="V337" i="4"/>
  <c r="AF326" i="5"/>
  <c r="C326" i="5"/>
  <c r="D337" i="4"/>
  <c r="E326" i="5"/>
  <c r="I326" i="5"/>
  <c r="I337" i="4"/>
  <c r="L326" i="5"/>
  <c r="J337" i="4"/>
  <c r="N326" i="5"/>
  <c r="L337" i="4"/>
  <c r="Q326" i="5"/>
  <c r="M337" i="4"/>
  <c r="R326" i="5"/>
  <c r="N337" i="4"/>
  <c r="T326" i="5"/>
  <c r="O337" i="4"/>
  <c r="U326" i="5"/>
  <c r="P337" i="4"/>
  <c r="W326" i="5"/>
  <c r="Q337" i="4"/>
  <c r="X326" i="5"/>
  <c r="AA326" i="5"/>
  <c r="AC326" i="5"/>
  <c r="AD326" i="5"/>
  <c r="X337" i="4"/>
  <c r="AI326" i="5"/>
  <c r="Y337" i="4"/>
  <c r="AJ326" i="5"/>
  <c r="AL326" i="5"/>
  <c r="Z326" i="5"/>
  <c r="AN326" i="5"/>
  <c r="O327" i="5"/>
  <c r="K327" i="5"/>
  <c r="AG327" i="5"/>
  <c r="B316" i="4"/>
  <c r="AF327" i="5"/>
  <c r="C327" i="5"/>
  <c r="D316" i="4"/>
  <c r="E327" i="5"/>
  <c r="I327" i="5"/>
  <c r="I316" i="4"/>
  <c r="L327" i="5"/>
  <c r="J316" i="4"/>
  <c r="N327" i="5"/>
  <c r="L316" i="4"/>
  <c r="Q327" i="5"/>
  <c r="M316" i="4"/>
  <c r="R327" i="5"/>
  <c r="N316" i="4"/>
  <c r="T327" i="5"/>
  <c r="O316" i="4"/>
  <c r="U327" i="5"/>
  <c r="P316" i="4"/>
  <c r="W327" i="5"/>
  <c r="Q316" i="4"/>
  <c r="X327" i="5"/>
  <c r="AA327" i="5"/>
  <c r="AC327" i="5"/>
  <c r="AD327" i="5"/>
  <c r="X316" i="4"/>
  <c r="AI327" i="5"/>
  <c r="Z327" i="5"/>
  <c r="AN327" i="5"/>
  <c r="O328" i="5"/>
  <c r="K328" i="5"/>
  <c r="AG328" i="5"/>
  <c r="B338" i="4"/>
  <c r="V338" i="4"/>
  <c r="AF328" i="5"/>
  <c r="C328" i="5"/>
  <c r="D338" i="4"/>
  <c r="E328" i="5"/>
  <c r="I328" i="5"/>
  <c r="I338" i="4"/>
  <c r="L328" i="5"/>
  <c r="J338" i="4"/>
  <c r="N328" i="5"/>
  <c r="L338" i="4"/>
  <c r="Q328" i="5"/>
  <c r="M338" i="4"/>
  <c r="R328" i="5"/>
  <c r="N338" i="4"/>
  <c r="T328" i="5"/>
  <c r="O338" i="4"/>
  <c r="U328" i="5"/>
  <c r="P338" i="4"/>
  <c r="W328" i="5"/>
  <c r="Q338" i="4"/>
  <c r="X328" i="5"/>
  <c r="AA328" i="5"/>
  <c r="AC328" i="5"/>
  <c r="AD328" i="5"/>
  <c r="X338" i="4"/>
  <c r="AI328" i="5"/>
  <c r="Y338" i="4"/>
  <c r="AJ328" i="5"/>
  <c r="AL328" i="5"/>
  <c r="Z328" i="5"/>
  <c r="AN328" i="5"/>
  <c r="O329" i="5"/>
  <c r="K329" i="5"/>
  <c r="AG329" i="5"/>
  <c r="B339" i="4"/>
  <c r="V339" i="4"/>
  <c r="AF329" i="5"/>
  <c r="C329" i="5"/>
  <c r="D339" i="4"/>
  <c r="E329" i="5"/>
  <c r="I329" i="5"/>
  <c r="I339" i="4"/>
  <c r="L329" i="5"/>
  <c r="J339" i="4"/>
  <c r="N329" i="5"/>
  <c r="L339" i="4"/>
  <c r="Q329" i="5"/>
  <c r="M339" i="4"/>
  <c r="R329" i="5"/>
  <c r="N339" i="4"/>
  <c r="T329" i="5"/>
  <c r="O339" i="4"/>
  <c r="U329" i="5"/>
  <c r="P339" i="4"/>
  <c r="W329" i="5"/>
  <c r="Q339" i="4"/>
  <c r="X329" i="5"/>
  <c r="AA329" i="5"/>
  <c r="AC329" i="5"/>
  <c r="AD329" i="5"/>
  <c r="X339" i="4"/>
  <c r="AI329" i="5"/>
  <c r="Y339" i="4"/>
  <c r="AJ329" i="5"/>
  <c r="AL329" i="5"/>
  <c r="Z329" i="5"/>
  <c r="AN329" i="5"/>
  <c r="O330" i="5"/>
  <c r="K330" i="5"/>
  <c r="AG330" i="5"/>
  <c r="B340" i="4"/>
  <c r="V340" i="4"/>
  <c r="AF330" i="5"/>
  <c r="C330" i="5"/>
  <c r="D340" i="4"/>
  <c r="E330" i="5"/>
  <c r="I340" i="4"/>
  <c r="L330" i="5"/>
  <c r="J340" i="4"/>
  <c r="N330" i="5"/>
  <c r="L340" i="4"/>
  <c r="Q330" i="5"/>
  <c r="M340" i="4"/>
  <c r="R330" i="5"/>
  <c r="N340" i="4"/>
  <c r="T330" i="5"/>
  <c r="O340" i="4"/>
  <c r="U330" i="5"/>
  <c r="P340" i="4"/>
  <c r="W330" i="5"/>
  <c r="Q340" i="4"/>
  <c r="X330" i="5"/>
  <c r="AA330" i="5"/>
  <c r="AC330" i="5"/>
  <c r="AD330" i="5"/>
  <c r="X340" i="4"/>
  <c r="AI330" i="5"/>
  <c r="Y340" i="4"/>
  <c r="AJ330" i="5"/>
  <c r="AL330" i="5"/>
  <c r="F330" i="5"/>
  <c r="H330" i="5"/>
  <c r="I330" i="5"/>
  <c r="Z330" i="5"/>
  <c r="AN330" i="5"/>
  <c r="O331" i="5"/>
  <c r="K331" i="5"/>
  <c r="AG331" i="5"/>
  <c r="B342" i="4"/>
  <c r="V342" i="4"/>
  <c r="AF331" i="5"/>
  <c r="C331" i="5"/>
  <c r="D342" i="4"/>
  <c r="E331" i="5"/>
  <c r="I342" i="4"/>
  <c r="L331" i="5"/>
  <c r="J342" i="4"/>
  <c r="N331" i="5"/>
  <c r="L342" i="4"/>
  <c r="Q331" i="5"/>
  <c r="M342" i="4"/>
  <c r="R331" i="5"/>
  <c r="N342" i="4"/>
  <c r="T331" i="5"/>
  <c r="O342" i="4"/>
  <c r="U331" i="5"/>
  <c r="P342" i="4"/>
  <c r="W331" i="5"/>
  <c r="Q342" i="4"/>
  <c r="X331" i="5"/>
  <c r="AA331" i="5"/>
  <c r="AC331" i="5"/>
  <c r="AD331" i="5"/>
  <c r="X342" i="4"/>
  <c r="AI331" i="5"/>
  <c r="Y342" i="4"/>
  <c r="AJ331" i="5"/>
  <c r="AL331" i="5"/>
  <c r="F331" i="5"/>
  <c r="H331" i="5"/>
  <c r="I331" i="5"/>
  <c r="Z331" i="5"/>
  <c r="AN331" i="5"/>
  <c r="O332" i="5"/>
  <c r="K332" i="5"/>
  <c r="AG332" i="5"/>
  <c r="B322" i="4"/>
  <c r="V322" i="4"/>
  <c r="AF332" i="5"/>
  <c r="C332" i="5"/>
  <c r="D322" i="4"/>
  <c r="E332" i="5"/>
  <c r="I332" i="5"/>
  <c r="I322" i="4"/>
  <c r="L332" i="5"/>
  <c r="J322" i="4"/>
  <c r="N332" i="5"/>
  <c r="L322" i="4"/>
  <c r="Q332" i="5"/>
  <c r="M322" i="4"/>
  <c r="R332" i="5"/>
  <c r="N322" i="4"/>
  <c r="T332" i="5"/>
  <c r="O322" i="4"/>
  <c r="U332" i="5"/>
  <c r="P322" i="4"/>
  <c r="W332" i="5"/>
  <c r="Q322" i="4"/>
  <c r="X332" i="5"/>
  <c r="AA332" i="5"/>
  <c r="AC332" i="5"/>
  <c r="AD332" i="5"/>
  <c r="X322" i="4"/>
  <c r="AI332" i="5"/>
  <c r="Y322" i="4"/>
  <c r="AJ332" i="5"/>
  <c r="AL332" i="5"/>
  <c r="Z332" i="5"/>
  <c r="AN332" i="5"/>
  <c r="O333" i="5"/>
  <c r="K333" i="5"/>
  <c r="AG333" i="5"/>
  <c r="AF333" i="5"/>
  <c r="C333" i="5"/>
  <c r="B317" i="4"/>
  <c r="D317" i="4"/>
  <c r="E333" i="5"/>
  <c r="I333" i="5"/>
  <c r="I317" i="4"/>
  <c r="L333" i="5"/>
  <c r="J317" i="4"/>
  <c r="N333" i="5"/>
  <c r="L317" i="4"/>
  <c r="Q333" i="5"/>
  <c r="M317" i="4"/>
  <c r="R333" i="5"/>
  <c r="N317" i="4"/>
  <c r="T333" i="5"/>
  <c r="O317" i="4"/>
  <c r="U333" i="5"/>
  <c r="P317" i="4"/>
  <c r="W333" i="5"/>
  <c r="Q317" i="4"/>
  <c r="X333" i="5"/>
  <c r="AA333" i="5"/>
  <c r="AC333" i="5"/>
  <c r="AD333" i="5"/>
  <c r="X317" i="4"/>
  <c r="AI333" i="5"/>
  <c r="Y317" i="4"/>
  <c r="AJ333" i="5"/>
  <c r="AL333" i="5"/>
  <c r="Z333" i="5"/>
  <c r="AN333" i="5"/>
  <c r="O334" i="5"/>
  <c r="K334" i="5"/>
  <c r="AG334" i="5"/>
  <c r="B323" i="4"/>
  <c r="V323" i="4"/>
  <c r="AF334" i="5"/>
  <c r="C334" i="5"/>
  <c r="D323" i="4"/>
  <c r="E334" i="5"/>
  <c r="I334" i="5"/>
  <c r="I323" i="4"/>
  <c r="L334" i="5"/>
  <c r="J323" i="4"/>
  <c r="N334" i="5"/>
  <c r="L323" i="4"/>
  <c r="Q334" i="5"/>
  <c r="M323" i="4"/>
  <c r="R334" i="5"/>
  <c r="N323" i="4"/>
  <c r="T334" i="5"/>
  <c r="O323" i="4"/>
  <c r="U334" i="5"/>
  <c r="P323" i="4"/>
  <c r="W334" i="5"/>
  <c r="Q323" i="4"/>
  <c r="X334" i="5"/>
  <c r="AA334" i="5"/>
  <c r="AC334" i="5"/>
  <c r="AD334" i="5"/>
  <c r="X323" i="4"/>
  <c r="AI334" i="5"/>
  <c r="Y323" i="4"/>
  <c r="AJ334" i="5"/>
  <c r="AL334" i="5"/>
  <c r="Z334" i="5"/>
  <c r="AN334" i="5"/>
  <c r="O335" i="5"/>
  <c r="K335" i="5"/>
  <c r="AG335" i="5"/>
  <c r="B324" i="4"/>
  <c r="V324" i="4"/>
  <c r="AF335" i="5"/>
  <c r="C335" i="5"/>
  <c r="D324" i="4"/>
  <c r="E335" i="5"/>
  <c r="I335" i="5"/>
  <c r="I324" i="4"/>
  <c r="L335" i="5"/>
  <c r="J324" i="4"/>
  <c r="N335" i="5"/>
  <c r="L324" i="4"/>
  <c r="Q335" i="5"/>
  <c r="M324" i="4"/>
  <c r="R335" i="5"/>
  <c r="N324" i="4"/>
  <c r="T335" i="5"/>
  <c r="O324" i="4"/>
  <c r="U335" i="5"/>
  <c r="P324" i="4"/>
  <c r="W335" i="5"/>
  <c r="Q324" i="4"/>
  <c r="X335" i="5"/>
  <c r="AA335" i="5"/>
  <c r="AC335" i="5"/>
  <c r="AD335" i="5"/>
  <c r="X324" i="4"/>
  <c r="AI335" i="5"/>
  <c r="Y324" i="4"/>
  <c r="AJ335" i="5"/>
  <c r="AL335" i="5"/>
  <c r="Z335" i="5"/>
  <c r="AN335" i="5"/>
  <c r="O336" i="5"/>
  <c r="K336" i="5"/>
  <c r="AG336" i="5"/>
  <c r="B325" i="4"/>
  <c r="V325" i="4"/>
  <c r="AF336" i="5"/>
  <c r="C336" i="5"/>
  <c r="D325" i="4"/>
  <c r="E336" i="5"/>
  <c r="I325" i="4"/>
  <c r="L336" i="5"/>
  <c r="J325" i="4"/>
  <c r="N336" i="5"/>
  <c r="L325" i="4"/>
  <c r="Q336" i="5"/>
  <c r="M325" i="4"/>
  <c r="R336" i="5"/>
  <c r="N325" i="4"/>
  <c r="T336" i="5"/>
  <c r="O325" i="4"/>
  <c r="U336" i="5"/>
  <c r="P325" i="4"/>
  <c r="W336" i="5"/>
  <c r="Q325" i="4"/>
  <c r="X336" i="5"/>
  <c r="AA336" i="5"/>
  <c r="AC336" i="5"/>
  <c r="AD336" i="5"/>
  <c r="X325" i="4"/>
  <c r="AI336" i="5"/>
  <c r="Y325" i="4"/>
  <c r="AJ336" i="5"/>
  <c r="AL336" i="5"/>
  <c r="F336" i="5"/>
  <c r="H336" i="5"/>
  <c r="I336" i="5"/>
  <c r="Z336" i="5"/>
  <c r="AN336" i="5"/>
  <c r="O337" i="5"/>
  <c r="K337" i="5"/>
  <c r="AG337" i="5"/>
  <c r="B346" i="4"/>
  <c r="V346" i="4"/>
  <c r="AF337" i="5"/>
  <c r="C337" i="5"/>
  <c r="D346" i="4"/>
  <c r="E337" i="5"/>
  <c r="I337" i="5"/>
  <c r="I346" i="4"/>
  <c r="L337" i="5"/>
  <c r="J346" i="4"/>
  <c r="N337" i="5"/>
  <c r="L346" i="4"/>
  <c r="Q337" i="5"/>
  <c r="M346" i="4"/>
  <c r="R337" i="5"/>
  <c r="N346" i="4"/>
  <c r="T337" i="5"/>
  <c r="O346" i="4"/>
  <c r="U337" i="5"/>
  <c r="P346" i="4"/>
  <c r="W337" i="5"/>
  <c r="Q346" i="4"/>
  <c r="X337" i="5"/>
  <c r="AA337" i="5"/>
  <c r="AC337" i="5"/>
  <c r="AD337" i="5"/>
  <c r="X346" i="4"/>
  <c r="AI337" i="5"/>
  <c r="Y346" i="4"/>
  <c r="AJ337" i="5"/>
  <c r="AL337" i="5"/>
  <c r="Z337" i="5"/>
  <c r="AN337" i="5"/>
  <c r="O338" i="5"/>
  <c r="K338" i="5"/>
  <c r="AG338" i="5"/>
  <c r="B326" i="4"/>
  <c r="V326" i="4"/>
  <c r="AF338" i="5"/>
  <c r="C338" i="5"/>
  <c r="D326" i="4"/>
  <c r="E338" i="5"/>
  <c r="I326" i="4"/>
  <c r="L338" i="5"/>
  <c r="J326" i="4"/>
  <c r="N338" i="5"/>
  <c r="L326" i="4"/>
  <c r="Q338" i="5"/>
  <c r="M326" i="4"/>
  <c r="R338" i="5"/>
  <c r="N326" i="4"/>
  <c r="T338" i="5"/>
  <c r="O326" i="4"/>
  <c r="U338" i="5"/>
  <c r="P326" i="4"/>
  <c r="W338" i="5"/>
  <c r="Q326" i="4"/>
  <c r="X338" i="5"/>
  <c r="AA338" i="5"/>
  <c r="AC338" i="5"/>
  <c r="AD338" i="5"/>
  <c r="X326" i="4"/>
  <c r="AI338" i="5"/>
  <c r="Y326" i="4"/>
  <c r="AJ338" i="5"/>
  <c r="AL338" i="5"/>
  <c r="F338" i="5"/>
  <c r="H338" i="5"/>
  <c r="I338" i="5"/>
  <c r="Z338" i="5"/>
  <c r="AN338" i="5"/>
  <c r="O339" i="5"/>
  <c r="K339" i="5"/>
  <c r="AG339" i="5"/>
  <c r="B327" i="4"/>
  <c r="V327" i="4"/>
  <c r="AF339" i="5"/>
  <c r="C339" i="5"/>
  <c r="D327" i="4"/>
  <c r="E339" i="5"/>
  <c r="I339" i="5"/>
  <c r="I327" i="4"/>
  <c r="L339" i="5"/>
  <c r="J327" i="4"/>
  <c r="N339" i="5"/>
  <c r="L327" i="4"/>
  <c r="Q339" i="5"/>
  <c r="M327" i="4"/>
  <c r="R339" i="5"/>
  <c r="N327" i="4"/>
  <c r="T339" i="5"/>
  <c r="O327" i="4"/>
  <c r="U339" i="5"/>
  <c r="P327" i="4"/>
  <c r="W339" i="5"/>
  <c r="Q327" i="4"/>
  <c r="X339" i="5"/>
  <c r="AA339" i="5"/>
  <c r="AC339" i="5"/>
  <c r="AD339" i="5"/>
  <c r="X327" i="4"/>
  <c r="AI339" i="5"/>
  <c r="Y327" i="4"/>
  <c r="AJ339" i="5"/>
  <c r="AL339" i="5"/>
  <c r="Z339" i="5"/>
  <c r="AN339" i="5"/>
  <c r="O340" i="5"/>
  <c r="K340" i="5"/>
  <c r="AG340" i="5"/>
  <c r="B328" i="4"/>
  <c r="V328" i="4"/>
  <c r="AF340" i="5"/>
  <c r="C340" i="5"/>
  <c r="D328" i="4"/>
  <c r="E340" i="5"/>
  <c r="I328" i="4"/>
  <c r="L340" i="5"/>
  <c r="J328" i="4"/>
  <c r="N340" i="5"/>
  <c r="L328" i="4"/>
  <c r="Q340" i="5"/>
  <c r="M328" i="4"/>
  <c r="R340" i="5"/>
  <c r="N328" i="4"/>
  <c r="T340" i="5"/>
  <c r="O328" i="4"/>
  <c r="U340" i="5"/>
  <c r="P328" i="4"/>
  <c r="W340" i="5"/>
  <c r="Q328" i="4"/>
  <c r="X340" i="5"/>
  <c r="AA340" i="5"/>
  <c r="AC340" i="5"/>
  <c r="AD340" i="5"/>
  <c r="X328" i="4"/>
  <c r="AI340" i="5"/>
  <c r="Y328" i="4"/>
  <c r="AJ340" i="5"/>
  <c r="AL340" i="5"/>
  <c r="F340" i="5"/>
  <c r="H340" i="5"/>
  <c r="I340" i="5"/>
  <c r="Z340" i="5"/>
  <c r="AN340" i="5"/>
  <c r="O341" i="5"/>
  <c r="K341" i="5"/>
  <c r="AG341" i="5"/>
  <c r="B329" i="4"/>
  <c r="V329" i="4"/>
  <c r="AF341" i="5"/>
  <c r="C341" i="5"/>
  <c r="D329" i="4"/>
  <c r="E341" i="5"/>
  <c r="I341" i="5"/>
  <c r="I329" i="4"/>
  <c r="L341" i="5"/>
  <c r="J329" i="4"/>
  <c r="N341" i="5"/>
  <c r="L329" i="4"/>
  <c r="Q341" i="5"/>
  <c r="M329" i="4"/>
  <c r="R341" i="5"/>
  <c r="N329" i="4"/>
  <c r="T341" i="5"/>
  <c r="O329" i="4"/>
  <c r="U341" i="5"/>
  <c r="P329" i="4"/>
  <c r="W341" i="5"/>
  <c r="Q329" i="4"/>
  <c r="X341" i="5"/>
  <c r="AA341" i="5"/>
  <c r="AC341" i="5"/>
  <c r="AD341" i="5"/>
  <c r="X329" i="4"/>
  <c r="AI341" i="5"/>
  <c r="Y329" i="4"/>
  <c r="AJ341" i="5"/>
  <c r="AL341" i="5"/>
  <c r="Z341" i="5"/>
  <c r="AN341" i="5"/>
  <c r="O342" i="5"/>
  <c r="K342" i="5"/>
  <c r="AG342" i="5"/>
  <c r="B341" i="4"/>
  <c r="V341" i="4"/>
  <c r="AF342" i="5"/>
  <c r="C342" i="5"/>
  <c r="D341" i="4"/>
  <c r="E342" i="5"/>
  <c r="I342" i="5"/>
  <c r="I341" i="4"/>
  <c r="L342" i="5"/>
  <c r="J341" i="4"/>
  <c r="N342" i="5"/>
  <c r="L341" i="4"/>
  <c r="Q342" i="5"/>
  <c r="M341" i="4"/>
  <c r="R342" i="5"/>
  <c r="N341" i="4"/>
  <c r="T342" i="5"/>
  <c r="O341" i="4"/>
  <c r="U342" i="5"/>
  <c r="P341" i="4"/>
  <c r="W342" i="5"/>
  <c r="Q341" i="4"/>
  <c r="X342" i="5"/>
  <c r="AA342" i="5"/>
  <c r="AC342" i="5"/>
  <c r="AD342" i="5"/>
  <c r="X341" i="4"/>
  <c r="AI342" i="5"/>
  <c r="Y341" i="4"/>
  <c r="AJ342" i="5"/>
  <c r="AL342" i="5"/>
  <c r="Z342" i="5"/>
  <c r="AN342" i="5"/>
  <c r="O343" i="5"/>
  <c r="K343" i="5"/>
  <c r="AG343" i="5"/>
  <c r="B330" i="4"/>
  <c r="V330" i="4"/>
  <c r="AF343" i="5"/>
  <c r="C343" i="5"/>
  <c r="D330" i="4"/>
  <c r="E343" i="5"/>
  <c r="I343" i="5"/>
  <c r="I330" i="4"/>
  <c r="L343" i="5"/>
  <c r="J330" i="4"/>
  <c r="N343" i="5"/>
  <c r="L330" i="4"/>
  <c r="Q343" i="5"/>
  <c r="M330" i="4"/>
  <c r="R343" i="5"/>
  <c r="N330" i="4"/>
  <c r="T343" i="5"/>
  <c r="O330" i="4"/>
  <c r="U343" i="5"/>
  <c r="P330" i="4"/>
  <c r="W343" i="5"/>
  <c r="Q330" i="4"/>
  <c r="X343" i="5"/>
  <c r="AA343" i="5"/>
  <c r="AC343" i="5"/>
  <c r="AD343" i="5"/>
  <c r="X330" i="4"/>
  <c r="AI343" i="5"/>
  <c r="Y330" i="4"/>
  <c r="AJ343" i="5"/>
  <c r="AL343" i="5"/>
  <c r="Z343" i="5"/>
  <c r="AN343" i="5"/>
  <c r="O344" i="5"/>
  <c r="K344" i="5"/>
  <c r="AG344" i="5"/>
  <c r="B331" i="4"/>
  <c r="V331" i="4"/>
  <c r="AF344" i="5"/>
  <c r="C344" i="5"/>
  <c r="D331" i="4"/>
  <c r="E344" i="5"/>
  <c r="I331" i="4"/>
  <c r="L344" i="5"/>
  <c r="J331" i="4"/>
  <c r="N344" i="5"/>
  <c r="L331" i="4"/>
  <c r="Q344" i="5"/>
  <c r="M331" i="4"/>
  <c r="R344" i="5"/>
  <c r="N331" i="4"/>
  <c r="T344" i="5"/>
  <c r="O331" i="4"/>
  <c r="U344" i="5"/>
  <c r="P331" i="4"/>
  <c r="W344" i="5"/>
  <c r="Q331" i="4"/>
  <c r="X344" i="5"/>
  <c r="AA344" i="5"/>
  <c r="AC344" i="5"/>
  <c r="AD344" i="5"/>
  <c r="X331" i="4"/>
  <c r="AI344" i="5"/>
  <c r="Y331" i="4"/>
  <c r="AJ344" i="5"/>
  <c r="AL344" i="5"/>
  <c r="F344" i="5"/>
  <c r="H344" i="5"/>
  <c r="I344" i="5"/>
  <c r="Z344" i="5"/>
  <c r="AN344" i="5"/>
  <c r="O345" i="5"/>
  <c r="K345" i="5"/>
  <c r="AG345" i="5"/>
  <c r="B332" i="4"/>
  <c r="V332" i="4"/>
  <c r="AF345" i="5"/>
  <c r="C345" i="5"/>
  <c r="D332" i="4"/>
  <c r="E345" i="5"/>
  <c r="I332" i="4"/>
  <c r="L345" i="5"/>
  <c r="J332" i="4"/>
  <c r="N345" i="5"/>
  <c r="L332" i="4"/>
  <c r="Q345" i="5"/>
  <c r="M332" i="4"/>
  <c r="R345" i="5"/>
  <c r="N332" i="4"/>
  <c r="T345" i="5"/>
  <c r="O332" i="4"/>
  <c r="U345" i="5"/>
  <c r="P332" i="4"/>
  <c r="W345" i="5"/>
  <c r="Q332" i="4"/>
  <c r="X345" i="5"/>
  <c r="AA345" i="5"/>
  <c r="AC345" i="5"/>
  <c r="AD345" i="5"/>
  <c r="X332" i="4"/>
  <c r="AI345" i="5"/>
  <c r="Y332" i="4"/>
  <c r="AJ345" i="5"/>
  <c r="AL345" i="5"/>
  <c r="F345" i="5"/>
  <c r="H345" i="5"/>
  <c r="I345" i="5"/>
  <c r="Z345" i="5"/>
  <c r="AN345" i="5"/>
  <c r="O346" i="5"/>
  <c r="K346" i="5"/>
  <c r="AG346" i="5"/>
  <c r="B333" i="4"/>
  <c r="V333" i="4"/>
  <c r="AF346" i="5"/>
  <c r="C346" i="5"/>
  <c r="D333" i="4"/>
  <c r="E346" i="5"/>
  <c r="I333" i="4"/>
  <c r="L346" i="5"/>
  <c r="J333" i="4"/>
  <c r="N346" i="5"/>
  <c r="L333" i="4"/>
  <c r="Q346" i="5"/>
  <c r="M333" i="4"/>
  <c r="R346" i="5"/>
  <c r="N333" i="4"/>
  <c r="T346" i="5"/>
  <c r="O333" i="4"/>
  <c r="U346" i="5"/>
  <c r="P333" i="4"/>
  <c r="W346" i="5"/>
  <c r="Q333" i="4"/>
  <c r="X346" i="5"/>
  <c r="AA346" i="5"/>
  <c r="AC346" i="5"/>
  <c r="AD346" i="5"/>
  <c r="X333" i="4"/>
  <c r="AI346" i="5"/>
  <c r="Y333" i="4"/>
  <c r="AJ346" i="5"/>
  <c r="AL346" i="5"/>
  <c r="F346" i="5"/>
  <c r="H346" i="5"/>
  <c r="I346" i="5"/>
  <c r="Z346" i="5"/>
  <c r="AN346" i="5"/>
  <c r="O347" i="5"/>
  <c r="K347" i="5"/>
  <c r="AG347" i="5"/>
  <c r="B334" i="4"/>
  <c r="V334" i="4"/>
  <c r="AF347" i="5"/>
  <c r="C347" i="5"/>
  <c r="D334" i="4"/>
  <c r="E347" i="5"/>
  <c r="I347" i="5"/>
  <c r="I334" i="4"/>
  <c r="L347" i="5"/>
  <c r="J334" i="4"/>
  <c r="N347" i="5"/>
  <c r="L334" i="4"/>
  <c r="Q347" i="5"/>
  <c r="M334" i="4"/>
  <c r="R347" i="5"/>
  <c r="N334" i="4"/>
  <c r="T347" i="5"/>
  <c r="O334" i="4"/>
  <c r="U347" i="5"/>
  <c r="P334" i="4"/>
  <c r="W347" i="5"/>
  <c r="Q334" i="4"/>
  <c r="X347" i="5"/>
  <c r="AA347" i="5"/>
  <c r="AC347" i="5"/>
  <c r="AD347" i="5"/>
  <c r="X334" i="4"/>
  <c r="AI347" i="5"/>
  <c r="Y334" i="4"/>
  <c r="AJ347" i="5"/>
  <c r="AL347" i="5"/>
  <c r="Z347" i="5"/>
  <c r="AN347" i="5"/>
  <c r="K50" i="2"/>
  <c r="B350" i="4"/>
  <c r="K350" i="4"/>
  <c r="O348" i="5"/>
  <c r="H50" i="2"/>
  <c r="H350" i="4"/>
  <c r="K348" i="5"/>
  <c r="W50" i="2"/>
  <c r="W350" i="4"/>
  <c r="AG348" i="5"/>
  <c r="V50" i="2"/>
  <c r="V350" i="4"/>
  <c r="AF348" i="5"/>
  <c r="C50" i="2"/>
  <c r="C350" i="4"/>
  <c r="C348" i="5"/>
  <c r="D50" i="2"/>
  <c r="D350" i="4"/>
  <c r="E348" i="5"/>
  <c r="I50" i="2"/>
  <c r="I350" i="4"/>
  <c r="L348" i="5"/>
  <c r="J50" i="2"/>
  <c r="J350" i="4"/>
  <c r="N348" i="5"/>
  <c r="L50" i="2"/>
  <c r="L350" i="4"/>
  <c r="Q348" i="5"/>
  <c r="M50" i="2"/>
  <c r="M350" i="4"/>
  <c r="R348" i="5"/>
  <c r="N50" i="2"/>
  <c r="N350" i="4"/>
  <c r="T348" i="5"/>
  <c r="O50" i="2"/>
  <c r="O350" i="4"/>
  <c r="U348" i="5"/>
  <c r="P50" i="2"/>
  <c r="P350" i="4"/>
  <c r="W348" i="5"/>
  <c r="Q50" i="2"/>
  <c r="Q350" i="4"/>
  <c r="X348" i="5"/>
  <c r="S50" i="2"/>
  <c r="S350" i="4"/>
  <c r="AA348" i="5"/>
  <c r="T50" i="2"/>
  <c r="T350" i="4"/>
  <c r="AC348" i="5"/>
  <c r="U50" i="2"/>
  <c r="U350" i="4"/>
  <c r="AD348" i="5"/>
  <c r="X50" i="2"/>
  <c r="X350" i="4"/>
  <c r="AI348" i="5"/>
  <c r="Y50" i="2"/>
  <c r="Y350" i="4"/>
  <c r="AJ348" i="5"/>
  <c r="Z50" i="2"/>
  <c r="Z350" i="4"/>
  <c r="AL348" i="5"/>
  <c r="F348" i="5"/>
  <c r="H348" i="5"/>
  <c r="I348" i="5"/>
  <c r="Z348" i="5"/>
  <c r="AN348" i="5"/>
  <c r="B356" i="4"/>
  <c r="K51" i="2"/>
  <c r="K356" i="4"/>
  <c r="O349" i="5"/>
  <c r="H51" i="2"/>
  <c r="H356" i="4"/>
  <c r="K349" i="5"/>
  <c r="W51" i="2"/>
  <c r="W356" i="4"/>
  <c r="AG349" i="5"/>
  <c r="V51" i="2"/>
  <c r="V356" i="4"/>
  <c r="AF349" i="5"/>
  <c r="C51" i="2"/>
  <c r="C356" i="4"/>
  <c r="C349" i="5"/>
  <c r="D51" i="2"/>
  <c r="D356" i="4"/>
  <c r="E349" i="5"/>
  <c r="I51" i="2"/>
  <c r="I356" i="4"/>
  <c r="L349" i="5"/>
  <c r="J51" i="2"/>
  <c r="J356" i="4"/>
  <c r="N349" i="5"/>
  <c r="L51" i="2"/>
  <c r="L356" i="4"/>
  <c r="Q349" i="5"/>
  <c r="M51" i="2"/>
  <c r="M356" i="4"/>
  <c r="R349" i="5"/>
  <c r="N51" i="2"/>
  <c r="N356" i="4"/>
  <c r="T349" i="5"/>
  <c r="O51" i="2"/>
  <c r="O356" i="4"/>
  <c r="U349" i="5"/>
  <c r="P51" i="2"/>
  <c r="P356" i="4"/>
  <c r="W349" i="5"/>
  <c r="Q51" i="2"/>
  <c r="Q356" i="4"/>
  <c r="X349" i="5"/>
  <c r="S356" i="4"/>
  <c r="AA349" i="5"/>
  <c r="T51" i="2"/>
  <c r="T356" i="4"/>
  <c r="AC349" i="5"/>
  <c r="U51" i="2"/>
  <c r="U356" i="4"/>
  <c r="AD349" i="5"/>
  <c r="X51" i="2"/>
  <c r="X356" i="4"/>
  <c r="AI349" i="5"/>
  <c r="Y356" i="4"/>
  <c r="AJ349" i="5"/>
  <c r="Z51" i="2"/>
  <c r="Z356" i="4"/>
  <c r="AL349" i="5"/>
  <c r="F349" i="5"/>
  <c r="H349" i="5"/>
  <c r="I349" i="5"/>
  <c r="Z349" i="5"/>
  <c r="AN349" i="5"/>
  <c r="B357" i="4"/>
  <c r="K357" i="4"/>
  <c r="O350" i="5"/>
  <c r="H357" i="4"/>
  <c r="K350" i="5"/>
  <c r="W357" i="4"/>
  <c r="AG350" i="5"/>
  <c r="V357" i="4"/>
  <c r="AF350" i="5"/>
  <c r="C357" i="4"/>
  <c r="C350" i="5"/>
  <c r="D357" i="4"/>
  <c r="E350" i="5"/>
  <c r="I357" i="4"/>
  <c r="L350" i="5"/>
  <c r="J357" i="4"/>
  <c r="N350" i="5"/>
  <c r="L357" i="4"/>
  <c r="Q350" i="5"/>
  <c r="M357" i="4"/>
  <c r="R350" i="5"/>
  <c r="N357" i="4"/>
  <c r="T350" i="5"/>
  <c r="O357" i="4"/>
  <c r="U350" i="5"/>
  <c r="P357" i="4"/>
  <c r="W350" i="5"/>
  <c r="Q357" i="4"/>
  <c r="X350" i="5"/>
  <c r="S357" i="4"/>
  <c r="AA350" i="5"/>
  <c r="T357" i="4"/>
  <c r="AC350" i="5"/>
  <c r="U357" i="4"/>
  <c r="AD350" i="5"/>
  <c r="X357" i="4"/>
  <c r="AI350" i="5"/>
  <c r="Y357" i="4"/>
  <c r="AJ350" i="5"/>
  <c r="Z357" i="4"/>
  <c r="AL350" i="5"/>
  <c r="F350" i="5"/>
  <c r="H350" i="5"/>
  <c r="I350" i="5"/>
  <c r="Z350" i="5"/>
  <c r="AN350" i="5"/>
  <c r="B355" i="4"/>
  <c r="S355" i="4"/>
  <c r="AA351" i="5"/>
  <c r="P355" i="4"/>
  <c r="W351" i="5"/>
  <c r="K355" i="4"/>
  <c r="O351" i="5"/>
  <c r="H355" i="4"/>
  <c r="K351" i="5"/>
  <c r="W355" i="4"/>
  <c r="AG351" i="5"/>
  <c r="V355" i="4"/>
  <c r="AF351" i="5"/>
  <c r="C355" i="4"/>
  <c r="C351" i="5"/>
  <c r="D355" i="4"/>
  <c r="E351" i="5"/>
  <c r="I355" i="4"/>
  <c r="L351" i="5"/>
  <c r="J355" i="4"/>
  <c r="N351" i="5"/>
  <c r="L355" i="4"/>
  <c r="Q351" i="5"/>
  <c r="M355" i="4"/>
  <c r="R351" i="5"/>
  <c r="N355" i="4"/>
  <c r="T351" i="5"/>
  <c r="O355" i="4"/>
  <c r="U351" i="5"/>
  <c r="Q355" i="4"/>
  <c r="X351" i="5"/>
  <c r="R51" i="2"/>
  <c r="R355" i="4"/>
  <c r="Z351" i="5"/>
  <c r="T355" i="4"/>
  <c r="AC351" i="5"/>
  <c r="U355" i="4"/>
  <c r="AD351" i="5"/>
  <c r="X355" i="4"/>
  <c r="AI351" i="5"/>
  <c r="Y355" i="4"/>
  <c r="AJ351" i="5"/>
  <c r="Z355" i="4"/>
  <c r="AL351" i="5"/>
  <c r="F351" i="5"/>
  <c r="H351" i="5"/>
  <c r="I351" i="5"/>
  <c r="AN351" i="5"/>
  <c r="K361" i="4"/>
  <c r="O352" i="5"/>
  <c r="H361" i="4"/>
  <c r="K352" i="5"/>
  <c r="W361" i="4"/>
  <c r="AG352" i="5"/>
  <c r="V361" i="4"/>
  <c r="AF352" i="5"/>
  <c r="C361" i="4"/>
  <c r="C352" i="5"/>
  <c r="D361" i="4"/>
  <c r="E352" i="5"/>
  <c r="I361" i="4"/>
  <c r="L352" i="5"/>
  <c r="J361" i="4"/>
  <c r="N352" i="5"/>
  <c r="L361" i="4"/>
  <c r="Q352" i="5"/>
  <c r="M361" i="4"/>
  <c r="R352" i="5"/>
  <c r="N361" i="4"/>
  <c r="T352" i="5"/>
  <c r="O361" i="4"/>
  <c r="U352" i="5"/>
  <c r="P361" i="4"/>
  <c r="W352" i="5"/>
  <c r="Q361" i="4"/>
  <c r="X352" i="5"/>
  <c r="T361" i="4"/>
  <c r="AC352" i="5"/>
  <c r="U361" i="4"/>
  <c r="AD352" i="5"/>
  <c r="X361" i="4"/>
  <c r="AI352" i="5"/>
  <c r="Y361" i="4"/>
  <c r="AJ352" i="5"/>
  <c r="Z361" i="4"/>
  <c r="AL352" i="5"/>
  <c r="Z352" i="5"/>
  <c r="F352" i="5"/>
  <c r="H352" i="5"/>
  <c r="I352" i="5"/>
  <c r="AN352" i="5"/>
  <c r="B362" i="4"/>
  <c r="K362" i="4"/>
  <c r="O353" i="5"/>
  <c r="H362" i="4"/>
  <c r="K353" i="5"/>
  <c r="W362" i="4"/>
  <c r="AG353" i="5"/>
  <c r="V362" i="4"/>
  <c r="AF353" i="5"/>
  <c r="C362" i="4"/>
  <c r="C353" i="5"/>
  <c r="D362" i="4"/>
  <c r="E353" i="5"/>
  <c r="I362" i="4"/>
  <c r="L353" i="5"/>
  <c r="J362" i="4"/>
  <c r="N353" i="5"/>
  <c r="L362" i="4"/>
  <c r="Q353" i="5"/>
  <c r="M362" i="4"/>
  <c r="R353" i="5"/>
  <c r="N362" i="4"/>
  <c r="T353" i="5"/>
  <c r="O362" i="4"/>
  <c r="U353" i="5"/>
  <c r="P362" i="4"/>
  <c r="W353" i="5"/>
  <c r="Q362" i="4"/>
  <c r="X353" i="5"/>
  <c r="S362" i="4"/>
  <c r="T362" i="4"/>
  <c r="AC353" i="5"/>
  <c r="U362" i="4"/>
  <c r="AD353" i="5"/>
  <c r="X362" i="4"/>
  <c r="AI353" i="5"/>
  <c r="Y362" i="4"/>
  <c r="AJ353" i="5"/>
  <c r="Z362" i="4"/>
  <c r="AL353" i="5"/>
  <c r="Z353" i="5"/>
  <c r="F353" i="5"/>
  <c r="H353" i="5"/>
  <c r="I353" i="5"/>
  <c r="AN353" i="5"/>
  <c r="B368" i="4"/>
  <c r="K368" i="4"/>
  <c r="O354" i="5"/>
  <c r="H368" i="4"/>
  <c r="K354" i="5"/>
  <c r="W368" i="4"/>
  <c r="AG354" i="5"/>
  <c r="V368" i="4"/>
  <c r="AF354" i="5"/>
  <c r="C368" i="4"/>
  <c r="C354" i="5"/>
  <c r="D368" i="4"/>
  <c r="E354" i="5"/>
  <c r="I368" i="4"/>
  <c r="L354" i="5"/>
  <c r="J368" i="4"/>
  <c r="N354" i="5"/>
  <c r="L368" i="4"/>
  <c r="Q354" i="5"/>
  <c r="M368" i="4"/>
  <c r="R354" i="5"/>
  <c r="N368" i="4"/>
  <c r="T354" i="5"/>
  <c r="O368" i="4"/>
  <c r="U354" i="5"/>
  <c r="P368" i="4"/>
  <c r="W354" i="5"/>
  <c r="Q368" i="4"/>
  <c r="X354" i="5"/>
  <c r="S368" i="4"/>
  <c r="AA354" i="5"/>
  <c r="T368" i="4"/>
  <c r="AC354" i="5"/>
  <c r="U368" i="4"/>
  <c r="AD354" i="5"/>
  <c r="X368" i="4"/>
  <c r="AI354" i="5"/>
  <c r="Y368" i="4"/>
  <c r="AJ354" i="5"/>
  <c r="Z368" i="4"/>
  <c r="AL354" i="5"/>
  <c r="Z354" i="5"/>
  <c r="F354" i="5"/>
  <c r="H354" i="5"/>
  <c r="I354" i="5"/>
  <c r="AN354" i="5"/>
  <c r="B363" i="4"/>
  <c r="K363" i="4"/>
  <c r="O355" i="5"/>
  <c r="H363" i="4"/>
  <c r="K355" i="5"/>
  <c r="W363" i="4"/>
  <c r="AG355" i="5"/>
  <c r="V363" i="4"/>
  <c r="AF355" i="5"/>
  <c r="C363" i="4"/>
  <c r="C355" i="5"/>
  <c r="D363" i="4"/>
  <c r="E355" i="5"/>
  <c r="I363" i="4"/>
  <c r="L355" i="5"/>
  <c r="J363" i="4"/>
  <c r="N355" i="5"/>
  <c r="L363" i="4"/>
  <c r="Q355" i="5"/>
  <c r="M363" i="4"/>
  <c r="R355" i="5"/>
  <c r="N363" i="4"/>
  <c r="T355" i="5"/>
  <c r="O363" i="4"/>
  <c r="U355" i="5"/>
  <c r="P363" i="4"/>
  <c r="W355" i="5"/>
  <c r="Q363" i="4"/>
  <c r="X355" i="5"/>
  <c r="S363" i="4"/>
  <c r="AA355" i="5"/>
  <c r="T363" i="4"/>
  <c r="AC355" i="5"/>
  <c r="U363" i="4"/>
  <c r="AD355" i="5"/>
  <c r="X363" i="4"/>
  <c r="AI355" i="5"/>
  <c r="Y363" i="4"/>
  <c r="AJ355" i="5"/>
  <c r="Z355" i="5"/>
  <c r="F355" i="5"/>
  <c r="H355" i="5"/>
  <c r="I355" i="5"/>
  <c r="AN355" i="5"/>
  <c r="S369" i="4"/>
  <c r="P369" i="4"/>
  <c r="W356" i="5"/>
  <c r="K369" i="4"/>
  <c r="O356" i="5"/>
  <c r="H369" i="4"/>
  <c r="K356" i="5"/>
  <c r="W369" i="4"/>
  <c r="AG356" i="5"/>
  <c r="V369" i="4"/>
  <c r="AF356" i="5"/>
  <c r="C369" i="4"/>
  <c r="C356" i="5"/>
  <c r="D369" i="4"/>
  <c r="E356" i="5"/>
  <c r="I369" i="4"/>
  <c r="L356" i="5"/>
  <c r="J369" i="4"/>
  <c r="N356" i="5"/>
  <c r="L369" i="4"/>
  <c r="Q356" i="5"/>
  <c r="M369" i="4"/>
  <c r="R356" i="5"/>
  <c r="N369" i="4"/>
  <c r="T356" i="5"/>
  <c r="O369" i="4"/>
  <c r="U356" i="5"/>
  <c r="Q369" i="4"/>
  <c r="X356" i="5"/>
  <c r="R369" i="4"/>
  <c r="Z356" i="5"/>
  <c r="T369" i="4"/>
  <c r="AC356" i="5"/>
  <c r="U369" i="4"/>
  <c r="AD356" i="5"/>
  <c r="X369" i="4"/>
  <c r="AI356" i="5"/>
  <c r="F356" i="5"/>
  <c r="H356" i="5"/>
  <c r="I356" i="5"/>
  <c r="AN356" i="5"/>
  <c r="B351" i="4"/>
  <c r="K351" i="4"/>
  <c r="O357" i="5"/>
  <c r="H351" i="4"/>
  <c r="K357" i="5"/>
  <c r="W351" i="4"/>
  <c r="AG357" i="5"/>
  <c r="V351" i="4"/>
  <c r="AF357" i="5"/>
  <c r="C351" i="4"/>
  <c r="C357" i="5"/>
  <c r="D351" i="4"/>
  <c r="E357" i="5"/>
  <c r="I351" i="4"/>
  <c r="L357" i="5"/>
  <c r="J351" i="4"/>
  <c r="N357" i="5"/>
  <c r="L351" i="4"/>
  <c r="Q357" i="5"/>
  <c r="M351" i="4"/>
  <c r="R357" i="5"/>
  <c r="N351" i="4"/>
  <c r="T357" i="5"/>
  <c r="O351" i="4"/>
  <c r="U357" i="5"/>
  <c r="P351" i="4"/>
  <c r="W357" i="5"/>
  <c r="Q351" i="4"/>
  <c r="X357" i="5"/>
  <c r="S351" i="4"/>
  <c r="AA357" i="5"/>
  <c r="T351" i="4"/>
  <c r="AC357" i="5"/>
  <c r="U351" i="4"/>
  <c r="AD357" i="5"/>
  <c r="X351" i="4"/>
  <c r="AI357" i="5"/>
  <c r="Y351" i="4"/>
  <c r="AJ357" i="5"/>
  <c r="Z351" i="4"/>
  <c r="AL357" i="5"/>
  <c r="F357" i="5"/>
  <c r="H357" i="5"/>
  <c r="I357" i="5"/>
  <c r="Z357" i="5"/>
  <c r="AN357" i="5"/>
  <c r="B348" i="4"/>
  <c r="K348" i="4"/>
  <c r="O358" i="5"/>
  <c r="H348" i="4"/>
  <c r="K358" i="5"/>
  <c r="W348" i="4"/>
  <c r="AG358" i="5"/>
  <c r="V348" i="4"/>
  <c r="AF358" i="5"/>
  <c r="C348" i="4"/>
  <c r="C358" i="5"/>
  <c r="D348" i="4"/>
  <c r="E358" i="5"/>
  <c r="I348" i="4"/>
  <c r="L358" i="5"/>
  <c r="J348" i="4"/>
  <c r="N358" i="5"/>
  <c r="L348" i="4"/>
  <c r="Q358" i="5"/>
  <c r="M348" i="4"/>
  <c r="R358" i="5"/>
  <c r="N348" i="4"/>
  <c r="T358" i="5"/>
  <c r="O348" i="4"/>
  <c r="U358" i="5"/>
  <c r="P348" i="4"/>
  <c r="W358" i="5"/>
  <c r="Q348" i="4"/>
  <c r="X358" i="5"/>
  <c r="S348" i="4"/>
  <c r="AA358" i="5"/>
  <c r="T348" i="4"/>
  <c r="AC358" i="5"/>
  <c r="U348" i="4"/>
  <c r="AD358" i="5"/>
  <c r="X348" i="4"/>
  <c r="AI358" i="5"/>
  <c r="Y348" i="4"/>
  <c r="AJ358" i="5"/>
  <c r="Z348" i="4"/>
  <c r="AL358" i="5"/>
  <c r="F358" i="5"/>
  <c r="H358" i="5"/>
  <c r="I358" i="5"/>
  <c r="Z358" i="5"/>
  <c r="AN358" i="5"/>
  <c r="B358" i="4"/>
  <c r="K358" i="4"/>
  <c r="O359" i="5"/>
  <c r="H358" i="4"/>
  <c r="K359" i="5"/>
  <c r="W358" i="4"/>
  <c r="AG359" i="5"/>
  <c r="V358" i="4"/>
  <c r="AF359" i="5"/>
  <c r="C358" i="4"/>
  <c r="C359" i="5"/>
  <c r="D358" i="4"/>
  <c r="E359" i="5"/>
  <c r="I358" i="4"/>
  <c r="L359" i="5"/>
  <c r="J358" i="4"/>
  <c r="N359" i="5"/>
  <c r="L358" i="4"/>
  <c r="Q359" i="5"/>
  <c r="M358" i="4"/>
  <c r="R359" i="5"/>
  <c r="N358" i="4"/>
  <c r="T359" i="5"/>
  <c r="O358" i="4"/>
  <c r="U359" i="5"/>
  <c r="P358" i="4"/>
  <c r="W359" i="5"/>
  <c r="Q358" i="4"/>
  <c r="X359" i="5"/>
  <c r="S358" i="4"/>
  <c r="AA359" i="5"/>
  <c r="T358" i="4"/>
  <c r="AC359" i="5"/>
  <c r="U358" i="4"/>
  <c r="AD359" i="5"/>
  <c r="X358" i="4"/>
  <c r="AI359" i="5"/>
  <c r="Y358" i="4"/>
  <c r="AJ359" i="5"/>
  <c r="Z358" i="4"/>
  <c r="AL359" i="5"/>
  <c r="F359" i="5"/>
  <c r="H359" i="5"/>
  <c r="I359" i="5"/>
  <c r="Z359" i="5"/>
  <c r="AN359" i="5"/>
  <c r="B359" i="4"/>
  <c r="K359" i="4"/>
  <c r="O360" i="5"/>
  <c r="H359" i="4"/>
  <c r="K360" i="5"/>
  <c r="W359" i="4"/>
  <c r="AG360" i="5"/>
  <c r="V359" i="4"/>
  <c r="AF360" i="5"/>
  <c r="C359" i="4"/>
  <c r="C360" i="5"/>
  <c r="D359" i="4"/>
  <c r="E360" i="5"/>
  <c r="I359" i="4"/>
  <c r="L360" i="5"/>
  <c r="J359" i="4"/>
  <c r="N360" i="5"/>
  <c r="L359" i="4"/>
  <c r="Q360" i="5"/>
  <c r="M359" i="4"/>
  <c r="R360" i="5"/>
  <c r="N359" i="4"/>
  <c r="T360" i="5"/>
  <c r="O359" i="4"/>
  <c r="U360" i="5"/>
  <c r="P359" i="4"/>
  <c r="W360" i="5"/>
  <c r="Q359" i="4"/>
  <c r="X360" i="5"/>
  <c r="S359" i="4"/>
  <c r="AA360" i="5"/>
  <c r="T359" i="4"/>
  <c r="AC360" i="5"/>
  <c r="U359" i="4"/>
  <c r="AD360" i="5"/>
  <c r="X359" i="4"/>
  <c r="AI360" i="5"/>
  <c r="Y359" i="4"/>
  <c r="AJ360" i="5"/>
  <c r="Z359" i="4"/>
  <c r="AL360" i="5"/>
  <c r="F360" i="5"/>
  <c r="H360" i="5"/>
  <c r="I360" i="5"/>
  <c r="Z360" i="5"/>
  <c r="AN360" i="5"/>
  <c r="B364" i="4"/>
  <c r="K364" i="4"/>
  <c r="O361" i="5"/>
  <c r="H364" i="4"/>
  <c r="K361" i="5"/>
  <c r="W364" i="4"/>
  <c r="AG361" i="5"/>
  <c r="V364" i="4"/>
  <c r="AF361" i="5"/>
  <c r="C364" i="4"/>
  <c r="C361" i="5"/>
  <c r="D364" i="4"/>
  <c r="E361" i="5"/>
  <c r="I364" i="4"/>
  <c r="L361" i="5"/>
  <c r="J364" i="4"/>
  <c r="N361" i="5"/>
  <c r="L364" i="4"/>
  <c r="Q361" i="5"/>
  <c r="M364" i="4"/>
  <c r="R361" i="5"/>
  <c r="N364" i="4"/>
  <c r="T361" i="5"/>
  <c r="O364" i="4"/>
  <c r="U361" i="5"/>
  <c r="P364" i="4"/>
  <c r="W361" i="5"/>
  <c r="Q364" i="4"/>
  <c r="X361" i="5"/>
  <c r="S364" i="4"/>
  <c r="AA361" i="5"/>
  <c r="T364" i="4"/>
  <c r="AC361" i="5"/>
  <c r="U364" i="4"/>
  <c r="AD361" i="5"/>
  <c r="X364" i="4"/>
  <c r="AI361" i="5"/>
  <c r="Y364" i="4"/>
  <c r="AJ361" i="5"/>
  <c r="Z364" i="4"/>
  <c r="AL361" i="5"/>
  <c r="F361" i="5"/>
  <c r="H361" i="5"/>
  <c r="I361" i="5"/>
  <c r="Z361" i="5"/>
  <c r="AN361" i="5"/>
  <c r="B349" i="4"/>
  <c r="K349" i="4"/>
  <c r="O362" i="5"/>
  <c r="H349" i="4"/>
  <c r="K362" i="5"/>
  <c r="W349" i="4"/>
  <c r="AG362" i="5"/>
  <c r="V349" i="4"/>
  <c r="AF362" i="5"/>
  <c r="C349" i="4"/>
  <c r="C362" i="5"/>
  <c r="D349" i="4"/>
  <c r="E362" i="5"/>
  <c r="I349" i="4"/>
  <c r="L362" i="5"/>
  <c r="J349" i="4"/>
  <c r="N362" i="5"/>
  <c r="L349" i="4"/>
  <c r="Q362" i="5"/>
  <c r="M349" i="4"/>
  <c r="R362" i="5"/>
  <c r="N349" i="4"/>
  <c r="T362" i="5"/>
  <c r="O349" i="4"/>
  <c r="U362" i="5"/>
  <c r="P349" i="4"/>
  <c r="W362" i="5"/>
  <c r="Q349" i="4"/>
  <c r="X362" i="5"/>
  <c r="S349" i="4"/>
  <c r="AA362" i="5"/>
  <c r="T349" i="4"/>
  <c r="AC362" i="5"/>
  <c r="U349" i="4"/>
  <c r="AD362" i="5"/>
  <c r="X349" i="4"/>
  <c r="AI362" i="5"/>
  <c r="Y349" i="4"/>
  <c r="AJ362" i="5"/>
  <c r="Z349" i="4"/>
  <c r="AL362" i="5"/>
  <c r="F362" i="5"/>
  <c r="H362" i="5"/>
  <c r="I362" i="5"/>
  <c r="Z362" i="5"/>
  <c r="AN362" i="5"/>
  <c r="B365" i="4"/>
  <c r="K365" i="4"/>
  <c r="O363" i="5"/>
  <c r="H365" i="4"/>
  <c r="K363" i="5"/>
  <c r="W365" i="4"/>
  <c r="AG363" i="5"/>
  <c r="V365" i="4"/>
  <c r="AF363" i="5"/>
  <c r="C365" i="4"/>
  <c r="C363" i="5"/>
  <c r="D365" i="4"/>
  <c r="E363" i="5"/>
  <c r="I365" i="4"/>
  <c r="L363" i="5"/>
  <c r="J365" i="4"/>
  <c r="N363" i="5"/>
  <c r="L365" i="4"/>
  <c r="Q363" i="5"/>
  <c r="M365" i="4"/>
  <c r="R363" i="5"/>
  <c r="N365" i="4"/>
  <c r="T363" i="5"/>
  <c r="O365" i="4"/>
  <c r="U363" i="5"/>
  <c r="P365" i="4"/>
  <c r="W363" i="5"/>
  <c r="Q365" i="4"/>
  <c r="X363" i="5"/>
  <c r="S365" i="4"/>
  <c r="AA363" i="5"/>
  <c r="T365" i="4"/>
  <c r="AC363" i="5"/>
  <c r="U365" i="4"/>
  <c r="AD363" i="5"/>
  <c r="X365" i="4"/>
  <c r="AI363" i="5"/>
  <c r="Y365" i="4"/>
  <c r="AJ363" i="5"/>
  <c r="Z365" i="4"/>
  <c r="AL363" i="5"/>
  <c r="F363" i="5"/>
  <c r="H363" i="5"/>
  <c r="I363" i="5"/>
  <c r="Z363" i="5"/>
  <c r="AN363" i="5"/>
  <c r="B366" i="4"/>
  <c r="K366" i="4"/>
  <c r="O364" i="5"/>
  <c r="H366" i="4"/>
  <c r="K364" i="5"/>
  <c r="W366" i="4"/>
  <c r="AG364" i="5"/>
  <c r="V366" i="4"/>
  <c r="AF364" i="5"/>
  <c r="C366" i="4"/>
  <c r="C364" i="5"/>
  <c r="D366" i="4"/>
  <c r="E364" i="5"/>
  <c r="I366" i="4"/>
  <c r="L364" i="5"/>
  <c r="J366" i="4"/>
  <c r="N364" i="5"/>
  <c r="L366" i="4"/>
  <c r="Q364" i="5"/>
  <c r="M366" i="4"/>
  <c r="R364" i="5"/>
  <c r="N366" i="4"/>
  <c r="T364" i="5"/>
  <c r="O366" i="4"/>
  <c r="U364" i="5"/>
  <c r="P366" i="4"/>
  <c r="W364" i="5"/>
  <c r="Q366" i="4"/>
  <c r="X364" i="5"/>
  <c r="S366" i="4"/>
  <c r="AA364" i="5"/>
  <c r="T366" i="4"/>
  <c r="AC364" i="5"/>
  <c r="U366" i="4"/>
  <c r="AD364" i="5"/>
  <c r="X366" i="4"/>
  <c r="AI364" i="5"/>
  <c r="Y366" i="4"/>
  <c r="AJ364" i="5"/>
  <c r="Z366" i="4"/>
  <c r="AL364" i="5"/>
  <c r="F364" i="5"/>
  <c r="H364" i="5"/>
  <c r="I364" i="5"/>
  <c r="Z364" i="5"/>
  <c r="AN364" i="5"/>
  <c r="B367" i="4"/>
  <c r="K367" i="4"/>
  <c r="O365" i="5"/>
  <c r="H367" i="4"/>
  <c r="K365" i="5"/>
  <c r="W367" i="4"/>
  <c r="AG365" i="5"/>
  <c r="V367" i="4"/>
  <c r="AF365" i="5"/>
  <c r="C367" i="4"/>
  <c r="C365" i="5"/>
  <c r="D367" i="4"/>
  <c r="E365" i="5"/>
  <c r="I367" i="4"/>
  <c r="L365" i="5"/>
  <c r="J367" i="4"/>
  <c r="N365" i="5"/>
  <c r="L367" i="4"/>
  <c r="Q365" i="5"/>
  <c r="M367" i="4"/>
  <c r="R365" i="5"/>
  <c r="N367" i="4"/>
  <c r="T365" i="5"/>
  <c r="O367" i="4"/>
  <c r="U365" i="5"/>
  <c r="P367" i="4"/>
  <c r="W365" i="5"/>
  <c r="Q367" i="4"/>
  <c r="X365" i="5"/>
  <c r="S367" i="4"/>
  <c r="AA365" i="5"/>
  <c r="T367" i="4"/>
  <c r="AC365" i="5"/>
  <c r="U367" i="4"/>
  <c r="AD365" i="5"/>
  <c r="X367" i="4"/>
  <c r="AI365" i="5"/>
  <c r="Y367" i="4"/>
  <c r="AJ365" i="5"/>
  <c r="Z367" i="4"/>
  <c r="AL365" i="5"/>
  <c r="F365" i="5"/>
  <c r="H365" i="5"/>
  <c r="I365" i="5"/>
  <c r="Z365" i="5"/>
  <c r="AN365" i="5"/>
  <c r="B360" i="4"/>
  <c r="S360" i="4"/>
  <c r="AA366" i="5"/>
  <c r="P360" i="4"/>
  <c r="W366" i="5"/>
  <c r="K360" i="4"/>
  <c r="O366" i="5"/>
  <c r="H360" i="4"/>
  <c r="K366" i="5"/>
  <c r="W360" i="4"/>
  <c r="AG366" i="5"/>
  <c r="V360" i="4"/>
  <c r="AF366" i="5"/>
  <c r="C360" i="4"/>
  <c r="C366" i="5"/>
  <c r="D360" i="4"/>
  <c r="E366" i="5"/>
  <c r="I360" i="4"/>
  <c r="L366" i="5"/>
  <c r="J360" i="4"/>
  <c r="N366" i="5"/>
  <c r="L360" i="4"/>
  <c r="Q366" i="5"/>
  <c r="M360" i="4"/>
  <c r="R366" i="5"/>
  <c r="N360" i="4"/>
  <c r="T366" i="5"/>
  <c r="O360" i="4"/>
  <c r="U366" i="5"/>
  <c r="Q360" i="4"/>
  <c r="X366" i="5"/>
  <c r="R360" i="4"/>
  <c r="Z366" i="5"/>
  <c r="T360" i="4"/>
  <c r="AC366" i="5"/>
  <c r="U360" i="4"/>
  <c r="AD366" i="5"/>
  <c r="X360" i="4"/>
  <c r="AI366" i="5"/>
  <c r="F366" i="5"/>
  <c r="H366" i="5"/>
  <c r="I366" i="5"/>
  <c r="AN366" i="5"/>
  <c r="B352" i="4"/>
  <c r="K352" i="4"/>
  <c r="O367" i="5"/>
  <c r="H352" i="4"/>
  <c r="K367" i="5"/>
  <c r="W352" i="4"/>
  <c r="AG367" i="5"/>
  <c r="V352" i="4"/>
  <c r="AF367" i="5"/>
  <c r="C352" i="4"/>
  <c r="C367" i="5"/>
  <c r="D352" i="4"/>
  <c r="E367" i="5"/>
  <c r="I352" i="4"/>
  <c r="L367" i="5"/>
  <c r="J352" i="4"/>
  <c r="N367" i="5"/>
  <c r="L352" i="4"/>
  <c r="Q367" i="5"/>
  <c r="M352" i="4"/>
  <c r="R367" i="5"/>
  <c r="N352" i="4"/>
  <c r="T367" i="5"/>
  <c r="O352" i="4"/>
  <c r="U367" i="5"/>
  <c r="P352" i="4"/>
  <c r="W367" i="5"/>
  <c r="Q352" i="4"/>
  <c r="X367" i="5"/>
  <c r="S352" i="4"/>
  <c r="AA367" i="5"/>
  <c r="T352" i="4"/>
  <c r="AC367" i="5"/>
  <c r="U352" i="4"/>
  <c r="AD367" i="5"/>
  <c r="X352" i="4"/>
  <c r="AI367" i="5"/>
  <c r="Y352" i="4"/>
  <c r="AJ367" i="5"/>
  <c r="Z352" i="4"/>
  <c r="AL367" i="5"/>
  <c r="F367" i="5"/>
  <c r="H367" i="5"/>
  <c r="I367" i="5"/>
  <c r="Z367" i="5"/>
  <c r="AN367" i="5"/>
  <c r="B353" i="4"/>
  <c r="K353" i="4"/>
  <c r="O368" i="5"/>
  <c r="H353" i="4"/>
  <c r="K368" i="5"/>
  <c r="W353" i="4"/>
  <c r="AG368" i="5"/>
  <c r="V353" i="4"/>
  <c r="AF368" i="5"/>
  <c r="C353" i="4"/>
  <c r="C368" i="5"/>
  <c r="D353" i="4"/>
  <c r="E368" i="5"/>
  <c r="I353" i="4"/>
  <c r="L368" i="5"/>
  <c r="J353" i="4"/>
  <c r="N368" i="5"/>
  <c r="L353" i="4"/>
  <c r="Q368" i="5"/>
  <c r="M353" i="4"/>
  <c r="R368" i="5"/>
  <c r="N353" i="4"/>
  <c r="T368" i="5"/>
  <c r="O353" i="4"/>
  <c r="U368" i="5"/>
  <c r="P353" i="4"/>
  <c r="W368" i="5"/>
  <c r="Q353" i="4"/>
  <c r="X368" i="5"/>
  <c r="S353" i="4"/>
  <c r="AA368" i="5"/>
  <c r="T353" i="4"/>
  <c r="AC368" i="5"/>
  <c r="U353" i="4"/>
  <c r="AD368" i="5"/>
  <c r="X353" i="4"/>
  <c r="AI368" i="5"/>
  <c r="Y353" i="4"/>
  <c r="AJ368" i="5"/>
  <c r="Z353" i="4"/>
  <c r="AL368" i="5"/>
  <c r="F368" i="5"/>
  <c r="H368" i="5"/>
  <c r="I368" i="5"/>
  <c r="Z368" i="5"/>
  <c r="AN368" i="5"/>
  <c r="B354" i="4"/>
  <c r="K354" i="4"/>
  <c r="O369" i="5"/>
  <c r="H354" i="4"/>
  <c r="K369" i="5"/>
  <c r="W354" i="4"/>
  <c r="AG369" i="5"/>
  <c r="V354" i="4"/>
  <c r="AF369" i="5"/>
  <c r="C354" i="4"/>
  <c r="C369" i="5"/>
  <c r="D354" i="4"/>
  <c r="E369" i="5"/>
  <c r="I354" i="4"/>
  <c r="L369" i="5"/>
  <c r="J354" i="4"/>
  <c r="N369" i="5"/>
  <c r="L354" i="4"/>
  <c r="Q369" i="5"/>
  <c r="M354" i="4"/>
  <c r="R369" i="5"/>
  <c r="N354" i="4"/>
  <c r="T369" i="5"/>
  <c r="O354" i="4"/>
  <c r="U369" i="5"/>
  <c r="P354" i="4"/>
  <c r="W369" i="5"/>
  <c r="Q354" i="4"/>
  <c r="X369" i="5"/>
  <c r="S354" i="4"/>
  <c r="AA369" i="5"/>
  <c r="T354" i="4"/>
  <c r="AC369" i="5"/>
  <c r="U354" i="4"/>
  <c r="AD369" i="5"/>
  <c r="X354" i="4"/>
  <c r="AI369" i="5"/>
  <c r="Y354" i="4"/>
  <c r="AJ369" i="5"/>
  <c r="Z354" i="4"/>
  <c r="AL369" i="5"/>
  <c r="F369" i="5"/>
  <c r="H369" i="5"/>
  <c r="I369" i="5"/>
  <c r="Z369" i="5"/>
  <c r="AN369" i="5"/>
  <c r="B379" i="4"/>
  <c r="K379" i="4"/>
  <c r="O370" i="5"/>
  <c r="H379" i="4"/>
  <c r="K370" i="5"/>
  <c r="W379" i="4"/>
  <c r="AG370" i="5"/>
  <c r="AF370" i="5"/>
  <c r="C379" i="4"/>
  <c r="C370" i="5"/>
  <c r="D379" i="4"/>
  <c r="E370" i="5"/>
  <c r="I379" i="4"/>
  <c r="L370" i="5"/>
  <c r="J379" i="4"/>
  <c r="N370" i="5"/>
  <c r="L379" i="4"/>
  <c r="Q370" i="5"/>
  <c r="M379" i="4"/>
  <c r="R370" i="5"/>
  <c r="N379" i="4"/>
  <c r="T370" i="5"/>
  <c r="O379" i="4"/>
  <c r="U370" i="5"/>
  <c r="P379" i="4"/>
  <c r="W370" i="5"/>
  <c r="Q379" i="4"/>
  <c r="X370" i="5"/>
  <c r="S379" i="4"/>
  <c r="AA370" i="5"/>
  <c r="T379" i="4"/>
  <c r="AC370" i="5"/>
  <c r="U379" i="4"/>
  <c r="AD370" i="5"/>
  <c r="X379" i="4"/>
  <c r="AI370" i="5"/>
  <c r="Y379" i="4"/>
  <c r="AJ370" i="5"/>
  <c r="Z379" i="4"/>
  <c r="AL370" i="5"/>
  <c r="F370" i="5"/>
  <c r="H370" i="5"/>
  <c r="I370" i="5"/>
  <c r="Z370" i="5"/>
  <c r="AN370" i="5"/>
  <c r="B377" i="4"/>
  <c r="K377" i="4"/>
  <c r="O371" i="5"/>
  <c r="H377" i="4"/>
  <c r="K371" i="5"/>
  <c r="W377" i="4"/>
  <c r="AG371" i="5"/>
  <c r="AF371" i="5"/>
  <c r="C377" i="4"/>
  <c r="C371" i="5"/>
  <c r="D377" i="4"/>
  <c r="E371" i="5"/>
  <c r="I377" i="4"/>
  <c r="L371" i="5"/>
  <c r="J377" i="4"/>
  <c r="N371" i="5"/>
  <c r="L377" i="4"/>
  <c r="Q371" i="5"/>
  <c r="M377" i="4"/>
  <c r="R371" i="5"/>
  <c r="N377" i="4"/>
  <c r="T371" i="5"/>
  <c r="O377" i="4"/>
  <c r="U371" i="5"/>
  <c r="P377" i="4"/>
  <c r="W371" i="5"/>
  <c r="Q377" i="4"/>
  <c r="X371" i="5"/>
  <c r="S377" i="4"/>
  <c r="AA371" i="5"/>
  <c r="T377" i="4"/>
  <c r="AC371" i="5"/>
  <c r="U377" i="4"/>
  <c r="AD371" i="5"/>
  <c r="X377" i="4"/>
  <c r="AI371" i="5"/>
  <c r="Y377" i="4"/>
  <c r="AJ371" i="5"/>
  <c r="Z377" i="4"/>
  <c r="AL371" i="5"/>
  <c r="F371" i="5"/>
  <c r="H371" i="5"/>
  <c r="I371" i="5"/>
  <c r="Z371" i="5"/>
  <c r="AN371" i="5"/>
  <c r="B373" i="4"/>
  <c r="K373" i="4"/>
  <c r="O372" i="5"/>
  <c r="H373" i="4"/>
  <c r="K372" i="5"/>
  <c r="W373" i="4"/>
  <c r="AG372" i="5"/>
  <c r="AF372" i="5"/>
  <c r="C373" i="4"/>
  <c r="C372" i="5"/>
  <c r="D373" i="4"/>
  <c r="E372" i="5"/>
  <c r="I373" i="4"/>
  <c r="L372" i="5"/>
  <c r="J373" i="4"/>
  <c r="N372" i="5"/>
  <c r="L373" i="4"/>
  <c r="Q372" i="5"/>
  <c r="M373" i="4"/>
  <c r="R372" i="5"/>
  <c r="N373" i="4"/>
  <c r="T372" i="5"/>
  <c r="O373" i="4"/>
  <c r="U372" i="5"/>
  <c r="P373" i="4"/>
  <c r="W372" i="5"/>
  <c r="Q373" i="4"/>
  <c r="X372" i="5"/>
  <c r="S373" i="4"/>
  <c r="AA372" i="5"/>
  <c r="T373" i="4"/>
  <c r="AC372" i="5"/>
  <c r="U373" i="4"/>
  <c r="AD372" i="5"/>
  <c r="X373" i="4"/>
  <c r="AI372" i="5"/>
  <c r="Y373" i="4"/>
  <c r="AJ372" i="5"/>
  <c r="Z373" i="4"/>
  <c r="AL372" i="5"/>
  <c r="F372" i="5"/>
  <c r="H372" i="5"/>
  <c r="I372" i="5"/>
  <c r="Z372" i="5"/>
  <c r="AN372" i="5"/>
  <c r="B374" i="4"/>
  <c r="K374" i="4"/>
  <c r="O373" i="5"/>
  <c r="H374" i="4"/>
  <c r="K373" i="5"/>
  <c r="W374" i="4"/>
  <c r="AG373" i="5"/>
  <c r="AF373" i="5"/>
  <c r="C374" i="4"/>
  <c r="C373" i="5"/>
  <c r="D374" i="4"/>
  <c r="E373" i="5"/>
  <c r="I374" i="4"/>
  <c r="L373" i="5"/>
  <c r="J374" i="4"/>
  <c r="N373" i="5"/>
  <c r="L374" i="4"/>
  <c r="Q373" i="5"/>
  <c r="M374" i="4"/>
  <c r="R373" i="5"/>
  <c r="N374" i="4"/>
  <c r="T373" i="5"/>
  <c r="O374" i="4"/>
  <c r="U373" i="5"/>
  <c r="P374" i="4"/>
  <c r="W373" i="5"/>
  <c r="Q374" i="4"/>
  <c r="X373" i="5"/>
  <c r="S374" i="4"/>
  <c r="AA373" i="5"/>
  <c r="T374" i="4"/>
  <c r="AC373" i="5"/>
  <c r="U374" i="4"/>
  <c r="AD373" i="5"/>
  <c r="X374" i="4"/>
  <c r="AI373" i="5"/>
  <c r="Y374" i="4"/>
  <c r="AJ373" i="5"/>
  <c r="Z374" i="4"/>
  <c r="AL373" i="5"/>
  <c r="F373" i="5"/>
  <c r="H373" i="5"/>
  <c r="I373" i="5"/>
  <c r="Z373" i="5"/>
  <c r="AN373" i="5"/>
  <c r="W370" i="4"/>
  <c r="AG374" i="5"/>
  <c r="AF374" i="5"/>
  <c r="C370" i="4"/>
  <c r="C374" i="5"/>
  <c r="N370" i="4"/>
  <c r="T374" i="5"/>
  <c r="O370" i="4"/>
  <c r="U374" i="5"/>
  <c r="P370" i="4"/>
  <c r="W374" i="5"/>
  <c r="Q370" i="4"/>
  <c r="X374" i="5"/>
  <c r="S370" i="4"/>
  <c r="AA374" i="5"/>
  <c r="T370" i="4"/>
  <c r="AC374" i="5"/>
  <c r="U370" i="4"/>
  <c r="AD374" i="5"/>
  <c r="X370" i="4"/>
  <c r="AI374" i="5"/>
  <c r="Y370" i="4"/>
  <c r="AJ374" i="5"/>
  <c r="Z370" i="4"/>
  <c r="AL374" i="5"/>
  <c r="F374" i="5"/>
  <c r="H374" i="5"/>
  <c r="I374" i="5"/>
  <c r="Z374" i="5"/>
  <c r="AN374" i="5"/>
  <c r="B371" i="4"/>
  <c r="K371" i="4"/>
  <c r="O375" i="5"/>
  <c r="H371" i="4"/>
  <c r="K375" i="5"/>
  <c r="W371" i="4"/>
  <c r="AG375" i="5"/>
  <c r="AF375" i="5"/>
  <c r="C371" i="4"/>
  <c r="C375" i="5"/>
  <c r="D371" i="4"/>
  <c r="E375" i="5"/>
  <c r="I371" i="4"/>
  <c r="L375" i="5"/>
  <c r="J371" i="4"/>
  <c r="N375" i="5"/>
  <c r="L371" i="4"/>
  <c r="Q375" i="5"/>
  <c r="M371" i="4"/>
  <c r="R375" i="5"/>
  <c r="N371" i="4"/>
  <c r="T375" i="5"/>
  <c r="O371" i="4"/>
  <c r="U375" i="5"/>
  <c r="P371" i="4"/>
  <c r="W375" i="5"/>
  <c r="Q371" i="4"/>
  <c r="X375" i="5"/>
  <c r="S371" i="4"/>
  <c r="AA375" i="5"/>
  <c r="T371" i="4"/>
  <c r="AC375" i="5"/>
  <c r="U371" i="4"/>
  <c r="AD375" i="5"/>
  <c r="X371" i="4"/>
  <c r="AI375" i="5"/>
  <c r="Y371" i="4"/>
  <c r="AJ375" i="5"/>
  <c r="Z371" i="4"/>
  <c r="AL375" i="5"/>
  <c r="F375" i="5"/>
  <c r="H375" i="5"/>
  <c r="I375" i="5"/>
  <c r="Z375" i="5"/>
  <c r="AN375" i="5"/>
  <c r="B375" i="4"/>
  <c r="K375" i="4"/>
  <c r="O376" i="5"/>
  <c r="H375" i="4"/>
  <c r="K376" i="5"/>
  <c r="W375" i="4"/>
  <c r="AG376" i="5"/>
  <c r="AF376" i="5"/>
  <c r="C375" i="4"/>
  <c r="C376" i="5"/>
  <c r="D375" i="4"/>
  <c r="E376" i="5"/>
  <c r="I375" i="4"/>
  <c r="L376" i="5"/>
  <c r="J375" i="4"/>
  <c r="N376" i="5"/>
  <c r="L375" i="4"/>
  <c r="Q376" i="5"/>
  <c r="M375" i="4"/>
  <c r="R376" i="5"/>
  <c r="N375" i="4"/>
  <c r="T376" i="5"/>
  <c r="O375" i="4"/>
  <c r="U376" i="5"/>
  <c r="P375" i="4"/>
  <c r="W376" i="5"/>
  <c r="Q375" i="4"/>
  <c r="X376" i="5"/>
  <c r="S375" i="4"/>
  <c r="AA376" i="5"/>
  <c r="T375" i="4"/>
  <c r="AC376" i="5"/>
  <c r="U375" i="4"/>
  <c r="AD376" i="5"/>
  <c r="X375" i="4"/>
  <c r="AI376" i="5"/>
  <c r="Y375" i="4"/>
  <c r="AJ376" i="5"/>
  <c r="Z375" i="4"/>
  <c r="AL376" i="5"/>
  <c r="F376" i="5"/>
  <c r="H376" i="5"/>
  <c r="I376" i="5"/>
  <c r="Z376" i="5"/>
  <c r="AN376" i="5"/>
  <c r="B376" i="4"/>
  <c r="K376" i="4"/>
  <c r="O377" i="5"/>
  <c r="H376" i="4"/>
  <c r="K377" i="5"/>
  <c r="W376" i="4"/>
  <c r="AG377" i="5"/>
  <c r="AF377" i="5"/>
  <c r="C376" i="4"/>
  <c r="C377" i="5"/>
  <c r="D376" i="4"/>
  <c r="E377" i="5"/>
  <c r="I376" i="4"/>
  <c r="L377" i="5"/>
  <c r="J376" i="4"/>
  <c r="N377" i="5"/>
  <c r="L376" i="4"/>
  <c r="Q377" i="5"/>
  <c r="M376" i="4"/>
  <c r="R377" i="5"/>
  <c r="N376" i="4"/>
  <c r="T377" i="5"/>
  <c r="O376" i="4"/>
  <c r="U377" i="5"/>
  <c r="P376" i="4"/>
  <c r="W377" i="5"/>
  <c r="Q376" i="4"/>
  <c r="X377" i="5"/>
  <c r="S376" i="4"/>
  <c r="AA377" i="5"/>
  <c r="T376" i="4"/>
  <c r="AC377" i="5"/>
  <c r="U376" i="4"/>
  <c r="AD377" i="5"/>
  <c r="X376" i="4"/>
  <c r="AI377" i="5"/>
  <c r="Y376" i="4"/>
  <c r="AJ377" i="5"/>
  <c r="Z376" i="4"/>
  <c r="AL377" i="5"/>
  <c r="F377" i="5"/>
  <c r="H377" i="5"/>
  <c r="I377" i="5"/>
  <c r="Z377" i="5"/>
  <c r="AN377" i="5"/>
  <c r="B372" i="4"/>
  <c r="K372" i="4"/>
  <c r="O378" i="5"/>
  <c r="H372" i="4"/>
  <c r="K378" i="5"/>
  <c r="W372" i="4"/>
  <c r="AG378" i="5"/>
  <c r="AF378" i="5"/>
  <c r="C372" i="4"/>
  <c r="C378" i="5"/>
  <c r="D372" i="4"/>
  <c r="E378" i="5"/>
  <c r="I372" i="4"/>
  <c r="L378" i="5"/>
  <c r="J372" i="4"/>
  <c r="N378" i="5"/>
  <c r="L372" i="4"/>
  <c r="Q378" i="5"/>
  <c r="M372" i="4"/>
  <c r="R378" i="5"/>
  <c r="N372" i="4"/>
  <c r="T378" i="5"/>
  <c r="O372" i="4"/>
  <c r="U378" i="5"/>
  <c r="P372" i="4"/>
  <c r="W378" i="5"/>
  <c r="Q372" i="4"/>
  <c r="X378" i="5"/>
  <c r="S372" i="4"/>
  <c r="AA378" i="5"/>
  <c r="T372" i="4"/>
  <c r="AC378" i="5"/>
  <c r="U372" i="4"/>
  <c r="AD378" i="5"/>
  <c r="X372" i="4"/>
  <c r="AI378" i="5"/>
  <c r="Y372" i="4"/>
  <c r="AJ378" i="5"/>
  <c r="Z372" i="4"/>
  <c r="AL378" i="5"/>
  <c r="F378" i="5"/>
  <c r="H378" i="5"/>
  <c r="I378" i="5"/>
  <c r="Z378" i="5"/>
  <c r="AN378" i="5"/>
  <c r="B378" i="4"/>
  <c r="K378" i="4"/>
  <c r="O379" i="5"/>
  <c r="H378" i="4"/>
  <c r="K379" i="5"/>
  <c r="W378" i="4"/>
  <c r="AG379" i="5"/>
  <c r="AF379" i="5"/>
  <c r="C378" i="4"/>
  <c r="C379" i="5"/>
  <c r="D378" i="4"/>
  <c r="E379" i="5"/>
  <c r="I378" i="4"/>
  <c r="L379" i="5"/>
  <c r="J378" i="4"/>
  <c r="N379" i="5"/>
  <c r="L378" i="4"/>
  <c r="Q379" i="5"/>
  <c r="M378" i="4"/>
  <c r="R379" i="5"/>
  <c r="N378" i="4"/>
  <c r="T379" i="5"/>
  <c r="O378" i="4"/>
  <c r="U379" i="5"/>
  <c r="P378" i="4"/>
  <c r="W379" i="5"/>
  <c r="Q378" i="4"/>
  <c r="X379" i="5"/>
  <c r="S378" i="4"/>
  <c r="AA379" i="5"/>
  <c r="T378" i="4"/>
  <c r="AC379" i="5"/>
  <c r="U378" i="4"/>
  <c r="AD379" i="5"/>
  <c r="X378" i="4"/>
  <c r="AI379" i="5"/>
  <c r="Y378" i="4"/>
  <c r="AJ379" i="5"/>
  <c r="Z378" i="4"/>
  <c r="AL379" i="5"/>
  <c r="F379" i="5"/>
  <c r="H379" i="5"/>
  <c r="I379" i="5"/>
  <c r="Z379" i="5"/>
  <c r="AN379" i="5"/>
  <c r="AG380" i="5"/>
  <c r="AF380" i="5"/>
  <c r="C380" i="5"/>
  <c r="T380" i="5"/>
  <c r="U380" i="5"/>
  <c r="W380" i="5"/>
  <c r="X380" i="5"/>
  <c r="AA380" i="5"/>
  <c r="AI380" i="5"/>
  <c r="AJ380" i="5"/>
  <c r="AL380" i="5"/>
  <c r="F380" i="5"/>
  <c r="H380" i="5"/>
  <c r="I380" i="5"/>
  <c r="Z380" i="5"/>
  <c r="AN380" i="5"/>
  <c r="AA382" i="5"/>
  <c r="B382" i="4"/>
  <c r="P382" i="4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J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J384" i="5"/>
  <c r="AL384" i="5"/>
  <c r="AN384" i="5"/>
  <c r="AA385" i="5"/>
  <c r="W385" i="5"/>
  <c r="O385" i="5"/>
  <c r="K385" i="5"/>
  <c r="AG385" i="5"/>
  <c r="AF385" i="5"/>
  <c r="B385" i="4"/>
  <c r="C385" i="4"/>
  <c r="C385" i="5"/>
  <c r="E385" i="5"/>
  <c r="F385" i="5"/>
  <c r="H385" i="5"/>
  <c r="I385" i="5"/>
  <c r="L385" i="5"/>
  <c r="N385" i="5"/>
  <c r="Q385" i="5"/>
  <c r="R385" i="5"/>
  <c r="T385" i="5"/>
  <c r="U385" i="5"/>
  <c r="X385" i="5"/>
  <c r="Z385" i="5"/>
  <c r="AC385" i="5"/>
  <c r="AD385" i="5"/>
  <c r="AI385" i="5"/>
  <c r="AL385" i="5"/>
  <c r="AN385" i="5"/>
  <c r="AA386" i="5"/>
  <c r="W386" i="5"/>
  <c r="O386" i="5"/>
  <c r="K386" i="5"/>
  <c r="AG386" i="5"/>
  <c r="AF386" i="5"/>
  <c r="E386" i="5"/>
  <c r="F386" i="5"/>
  <c r="H386" i="5"/>
  <c r="I386" i="5"/>
  <c r="L386" i="5"/>
  <c r="N386" i="5"/>
  <c r="Q386" i="5"/>
  <c r="R386" i="5"/>
  <c r="T386" i="5"/>
  <c r="U386" i="5"/>
  <c r="X386" i="5"/>
  <c r="Z386" i="5"/>
  <c r="AC386" i="5"/>
  <c r="AD386" i="5"/>
  <c r="AI386" i="5"/>
  <c r="AL386" i="5"/>
  <c r="AN386" i="5"/>
  <c r="AA387" i="5"/>
  <c r="B396" i="4"/>
  <c r="P396" i="4"/>
  <c r="W387" i="5"/>
  <c r="O387" i="5"/>
  <c r="K387" i="5"/>
  <c r="AG387" i="5"/>
  <c r="AF387" i="5"/>
  <c r="C387" i="5"/>
  <c r="L387" i="5"/>
  <c r="N387" i="5"/>
  <c r="L396" i="4"/>
  <c r="Q387" i="5"/>
  <c r="U387" i="5"/>
  <c r="Q396" i="4"/>
  <c r="X387" i="5"/>
  <c r="R15" i="2"/>
  <c r="R396" i="4"/>
  <c r="Z387" i="5"/>
  <c r="AC387" i="5"/>
  <c r="AD387" i="5"/>
  <c r="X396" i="4"/>
  <c r="AI387" i="5"/>
  <c r="Y396" i="4"/>
  <c r="AJ387" i="5"/>
  <c r="AL387" i="5"/>
  <c r="F387" i="5"/>
  <c r="E387" i="5"/>
  <c r="H387" i="5"/>
  <c r="I387" i="5"/>
  <c r="R387" i="5"/>
  <c r="T387" i="5"/>
  <c r="AN387" i="5"/>
  <c r="AA388" i="5"/>
  <c r="B388" i="4"/>
  <c r="P388" i="4"/>
  <c r="W388" i="5"/>
  <c r="O388" i="5"/>
  <c r="K388" i="5"/>
  <c r="AG388" i="5"/>
  <c r="AF388" i="5"/>
  <c r="C388" i="5"/>
  <c r="L388" i="5"/>
  <c r="N388" i="5"/>
  <c r="L388" i="4"/>
  <c r="Q388" i="5"/>
  <c r="U388" i="5"/>
  <c r="Q388" i="4"/>
  <c r="X388" i="5"/>
  <c r="R388" i="4"/>
  <c r="Z388" i="5"/>
  <c r="AC388" i="5"/>
  <c r="AD388" i="5"/>
  <c r="X388" i="4"/>
  <c r="AI388" i="5"/>
  <c r="Y388" i="4"/>
  <c r="AJ388" i="5"/>
  <c r="AL388" i="5"/>
  <c r="F388" i="5"/>
  <c r="E388" i="5"/>
  <c r="H388" i="5"/>
  <c r="I388" i="5"/>
  <c r="R388" i="5"/>
  <c r="T388" i="5"/>
  <c r="AN388" i="5"/>
  <c r="AA389" i="5"/>
  <c r="B389" i="4"/>
  <c r="P389" i="4"/>
  <c r="W389" i="5"/>
  <c r="O389" i="5"/>
  <c r="K389" i="5"/>
  <c r="AG389" i="5"/>
  <c r="AF389" i="5"/>
  <c r="C389" i="5"/>
  <c r="L389" i="5"/>
  <c r="N389" i="5"/>
  <c r="L389" i="4"/>
  <c r="Q389" i="5"/>
  <c r="U389" i="5"/>
  <c r="Q389" i="4"/>
  <c r="X389" i="5"/>
  <c r="R389" i="4"/>
  <c r="Z389" i="5"/>
  <c r="AC389" i="5"/>
  <c r="AD389" i="5"/>
  <c r="X389" i="4"/>
  <c r="AI389" i="5"/>
  <c r="Y389" i="4"/>
  <c r="AJ389" i="5"/>
  <c r="AL389" i="5"/>
  <c r="F389" i="5"/>
  <c r="E389" i="5"/>
  <c r="H389" i="5"/>
  <c r="I389" i="5"/>
  <c r="R389" i="5"/>
  <c r="T389" i="5"/>
  <c r="AN389" i="5"/>
  <c r="AA390" i="5"/>
  <c r="B390" i="4"/>
  <c r="P390" i="4"/>
  <c r="W390" i="5"/>
  <c r="O390" i="5"/>
  <c r="K390" i="5"/>
  <c r="AG390" i="5"/>
  <c r="AF390" i="5"/>
  <c r="C390" i="5"/>
  <c r="L390" i="5"/>
  <c r="N390" i="5"/>
  <c r="L390" i="4"/>
  <c r="Q390" i="5"/>
  <c r="U390" i="5"/>
  <c r="Q390" i="4"/>
  <c r="X390" i="5"/>
  <c r="R390" i="4"/>
  <c r="Z390" i="5"/>
  <c r="AC390" i="5"/>
  <c r="AD390" i="5"/>
  <c r="X390" i="4"/>
  <c r="AI390" i="5"/>
  <c r="Y390" i="4"/>
  <c r="AJ390" i="5"/>
  <c r="F390" i="5"/>
  <c r="E390" i="5"/>
  <c r="H390" i="5"/>
  <c r="I390" i="5"/>
  <c r="R390" i="5"/>
  <c r="T390" i="5"/>
  <c r="AN390" i="5"/>
  <c r="AA391" i="5"/>
  <c r="B397" i="4"/>
  <c r="P397" i="4"/>
  <c r="W391" i="5"/>
  <c r="O391" i="5"/>
  <c r="K391" i="5"/>
  <c r="AG391" i="5"/>
  <c r="AF391" i="5"/>
  <c r="C391" i="5"/>
  <c r="L391" i="5"/>
  <c r="N391" i="5"/>
  <c r="L397" i="4"/>
  <c r="Q391" i="5"/>
  <c r="U391" i="5"/>
  <c r="Q397" i="4"/>
  <c r="X391" i="5"/>
  <c r="R13" i="2"/>
  <c r="R397" i="4"/>
  <c r="Z391" i="5"/>
  <c r="AC391" i="5"/>
  <c r="AD391" i="5"/>
  <c r="X397" i="4"/>
  <c r="AI391" i="5"/>
  <c r="Y397" i="4"/>
  <c r="AJ391" i="5"/>
  <c r="AL391" i="5"/>
  <c r="F391" i="5"/>
  <c r="E391" i="5"/>
  <c r="H391" i="5"/>
  <c r="I391" i="5"/>
  <c r="R391" i="5"/>
  <c r="T391" i="5"/>
  <c r="AN391" i="5"/>
  <c r="AA392" i="5"/>
  <c r="B398" i="4"/>
  <c r="P398" i="4"/>
  <c r="W392" i="5"/>
  <c r="O392" i="5"/>
  <c r="K392" i="5"/>
  <c r="AG392" i="5"/>
  <c r="AF392" i="5"/>
  <c r="C392" i="5"/>
  <c r="L392" i="5"/>
  <c r="N392" i="5"/>
  <c r="L398" i="4"/>
  <c r="Q392" i="5"/>
  <c r="U392" i="5"/>
  <c r="Q398" i="4"/>
  <c r="X392" i="5"/>
  <c r="R398" i="4"/>
  <c r="Z392" i="5"/>
  <c r="AC392" i="5"/>
  <c r="AD392" i="5"/>
  <c r="X398" i="4"/>
  <c r="AI392" i="5"/>
  <c r="Y398" i="4"/>
  <c r="AJ392" i="5"/>
  <c r="AL392" i="5"/>
  <c r="F392" i="5"/>
  <c r="E392" i="5"/>
  <c r="H392" i="5"/>
  <c r="I392" i="5"/>
  <c r="R392" i="5"/>
  <c r="T392" i="5"/>
  <c r="AN392" i="5"/>
  <c r="AA393" i="5"/>
  <c r="B399" i="4"/>
  <c r="P399" i="4"/>
  <c r="W393" i="5"/>
  <c r="O393" i="5"/>
  <c r="K393" i="5"/>
  <c r="AG393" i="5"/>
  <c r="AF393" i="5"/>
  <c r="C393" i="5"/>
  <c r="L393" i="5"/>
  <c r="N393" i="5"/>
  <c r="L399" i="4"/>
  <c r="Q393" i="5"/>
  <c r="U393" i="5"/>
  <c r="Q399" i="4"/>
  <c r="X393" i="5"/>
  <c r="R399" i="4"/>
  <c r="Z393" i="5"/>
  <c r="AC393" i="5"/>
  <c r="AD393" i="5"/>
  <c r="X399" i="4"/>
  <c r="AI393" i="5"/>
  <c r="Y399" i="4"/>
  <c r="AJ393" i="5"/>
  <c r="AL393" i="5"/>
  <c r="F393" i="5"/>
  <c r="E393" i="5"/>
  <c r="H393" i="5"/>
  <c r="I393" i="5"/>
  <c r="R393" i="5"/>
  <c r="T393" i="5"/>
  <c r="AN393" i="5"/>
  <c r="AA394" i="5"/>
  <c r="B400" i="4"/>
  <c r="P400" i="4"/>
  <c r="W394" i="5"/>
  <c r="O394" i="5"/>
  <c r="K394" i="5"/>
  <c r="AG394" i="5"/>
  <c r="AF394" i="5"/>
  <c r="C394" i="5"/>
  <c r="L394" i="5"/>
  <c r="N394" i="5"/>
  <c r="L400" i="4"/>
  <c r="Q394" i="5"/>
  <c r="U394" i="5"/>
  <c r="Q400" i="4"/>
  <c r="X394" i="5"/>
  <c r="R400" i="4"/>
  <c r="Z394" i="5"/>
  <c r="AC394" i="5"/>
  <c r="AD394" i="5"/>
  <c r="X400" i="4"/>
  <c r="AI394" i="5"/>
  <c r="Y400" i="4"/>
  <c r="AJ394" i="5"/>
  <c r="AL394" i="5"/>
  <c r="F394" i="5"/>
  <c r="E394" i="5"/>
  <c r="H394" i="5"/>
  <c r="I394" i="5"/>
  <c r="R394" i="5"/>
  <c r="T394" i="5"/>
  <c r="AN394" i="5"/>
  <c r="AA395" i="5"/>
  <c r="B401" i="4"/>
  <c r="P401" i="4"/>
  <c r="W395" i="5"/>
  <c r="O395" i="5"/>
  <c r="K395" i="5"/>
  <c r="AG395" i="5"/>
  <c r="AF395" i="5"/>
  <c r="C395" i="5"/>
  <c r="L395" i="5"/>
  <c r="N395" i="5"/>
  <c r="L401" i="4"/>
  <c r="Q395" i="5"/>
  <c r="U395" i="5"/>
  <c r="Q401" i="4"/>
  <c r="X395" i="5"/>
  <c r="R401" i="4"/>
  <c r="Z395" i="5"/>
  <c r="AC395" i="5"/>
  <c r="AD395" i="5"/>
  <c r="X401" i="4"/>
  <c r="AI395" i="5"/>
  <c r="Y401" i="4"/>
  <c r="AJ395" i="5"/>
  <c r="AL395" i="5"/>
  <c r="F395" i="5"/>
  <c r="E395" i="5"/>
  <c r="H395" i="5"/>
  <c r="I395" i="5"/>
  <c r="R395" i="5"/>
  <c r="T395" i="5"/>
  <c r="AN395" i="5"/>
  <c r="AA396" i="5"/>
  <c r="B391" i="4"/>
  <c r="P391" i="4"/>
  <c r="W396" i="5"/>
  <c r="O396" i="5"/>
  <c r="K396" i="5"/>
  <c r="AG396" i="5"/>
  <c r="AF396" i="5"/>
  <c r="C396" i="5"/>
  <c r="L396" i="5"/>
  <c r="N396" i="5"/>
  <c r="L391" i="4"/>
  <c r="Q396" i="5"/>
  <c r="U396" i="5"/>
  <c r="Q391" i="4"/>
  <c r="X396" i="5"/>
  <c r="R391" i="4"/>
  <c r="Z396" i="5"/>
  <c r="AC396" i="5"/>
  <c r="AD396" i="5"/>
  <c r="X391" i="4"/>
  <c r="AI396" i="5"/>
  <c r="Y391" i="4"/>
  <c r="AJ396" i="5"/>
  <c r="AL396" i="5"/>
  <c r="F396" i="5"/>
  <c r="E396" i="5"/>
  <c r="H396" i="5"/>
  <c r="I396" i="5"/>
  <c r="R396" i="5"/>
  <c r="T396" i="5"/>
  <c r="AN396" i="5"/>
  <c r="AA397" i="5"/>
  <c r="B392" i="4"/>
  <c r="P392" i="4"/>
  <c r="W397" i="5"/>
  <c r="O397" i="5"/>
  <c r="K397" i="5"/>
  <c r="AG397" i="5"/>
  <c r="AF397" i="5"/>
  <c r="C397" i="5"/>
  <c r="L397" i="5"/>
  <c r="N397" i="5"/>
  <c r="L392" i="4"/>
  <c r="Q397" i="5"/>
  <c r="U397" i="5"/>
  <c r="Q392" i="4"/>
  <c r="X397" i="5"/>
  <c r="R392" i="4"/>
  <c r="Z397" i="5"/>
  <c r="AC397" i="5"/>
  <c r="AD397" i="5"/>
  <c r="X392" i="4"/>
  <c r="AI397" i="5"/>
  <c r="Y392" i="4"/>
  <c r="AJ397" i="5"/>
  <c r="AL397" i="5"/>
  <c r="F397" i="5"/>
  <c r="E397" i="5"/>
  <c r="H397" i="5"/>
  <c r="I397" i="5"/>
  <c r="R397" i="5"/>
  <c r="T397" i="5"/>
  <c r="AN397" i="5"/>
  <c r="AA398" i="5"/>
  <c r="B393" i="4"/>
  <c r="P393" i="4"/>
  <c r="W398" i="5"/>
  <c r="O398" i="5"/>
  <c r="K398" i="5"/>
  <c r="AG398" i="5"/>
  <c r="AF398" i="5"/>
  <c r="C398" i="5"/>
  <c r="L398" i="5"/>
  <c r="N398" i="5"/>
  <c r="L393" i="4"/>
  <c r="Q398" i="5"/>
  <c r="U398" i="5"/>
  <c r="Q393" i="4"/>
  <c r="X398" i="5"/>
  <c r="R27" i="2"/>
  <c r="R393" i="4"/>
  <c r="Z398" i="5"/>
  <c r="AC398" i="5"/>
  <c r="AD398" i="5"/>
  <c r="X393" i="4"/>
  <c r="AI398" i="5"/>
  <c r="Y393" i="4"/>
  <c r="AJ398" i="5"/>
  <c r="AL398" i="5"/>
  <c r="F398" i="5"/>
  <c r="E398" i="5"/>
  <c r="H398" i="5"/>
  <c r="I398" i="5"/>
  <c r="R398" i="5"/>
  <c r="T398" i="5"/>
  <c r="AN398" i="5"/>
  <c r="AA399" i="5"/>
  <c r="B402" i="4"/>
  <c r="P402" i="4"/>
  <c r="W399" i="5"/>
  <c r="O399" i="5"/>
  <c r="K399" i="5"/>
  <c r="AG399" i="5"/>
  <c r="AF399" i="5"/>
  <c r="C399" i="5"/>
  <c r="L399" i="5"/>
  <c r="N399" i="5"/>
  <c r="L402" i="4"/>
  <c r="Q399" i="5"/>
  <c r="U399" i="5"/>
  <c r="Q402" i="4"/>
  <c r="X399" i="5"/>
  <c r="R402" i="4"/>
  <c r="Z399" i="5"/>
  <c r="AC399" i="5"/>
  <c r="AD399" i="5"/>
  <c r="X402" i="4"/>
  <c r="AI399" i="5"/>
  <c r="Y402" i="4"/>
  <c r="AJ399" i="5"/>
  <c r="AL399" i="5"/>
  <c r="F399" i="5"/>
  <c r="E399" i="5"/>
  <c r="H399" i="5"/>
  <c r="I399" i="5"/>
  <c r="R399" i="5"/>
  <c r="T399" i="5"/>
  <c r="AN399" i="5"/>
  <c r="AA400" i="5"/>
  <c r="B403" i="4"/>
  <c r="P403" i="4"/>
  <c r="W400" i="5"/>
  <c r="O400" i="5"/>
  <c r="K400" i="5"/>
  <c r="AG400" i="5"/>
  <c r="AF400" i="5"/>
  <c r="C400" i="5"/>
  <c r="L400" i="5"/>
  <c r="N400" i="5"/>
  <c r="L403" i="4"/>
  <c r="Q400" i="5"/>
  <c r="U400" i="5"/>
  <c r="Q403" i="4"/>
  <c r="X400" i="5"/>
  <c r="R403" i="4"/>
  <c r="Z400" i="5"/>
  <c r="AC400" i="5"/>
  <c r="AD400" i="5"/>
  <c r="X403" i="4"/>
  <c r="AI400" i="5"/>
  <c r="Y403" i="4"/>
  <c r="AJ400" i="5"/>
  <c r="AL400" i="5"/>
  <c r="F400" i="5"/>
  <c r="E400" i="5"/>
  <c r="H400" i="5"/>
  <c r="I400" i="5"/>
  <c r="R400" i="5"/>
  <c r="T400" i="5"/>
  <c r="AN400" i="5"/>
  <c r="AA401" i="5"/>
  <c r="B387" i="4"/>
  <c r="P387" i="4"/>
  <c r="W401" i="5"/>
  <c r="O401" i="5"/>
  <c r="K401" i="5"/>
  <c r="AG401" i="5"/>
  <c r="AF401" i="5"/>
  <c r="C401" i="5"/>
  <c r="L401" i="5"/>
  <c r="N401" i="5"/>
  <c r="L387" i="4"/>
  <c r="Q401" i="5"/>
  <c r="U401" i="5"/>
  <c r="Q387" i="4"/>
  <c r="X401" i="5"/>
  <c r="R387" i="4"/>
  <c r="Z401" i="5"/>
  <c r="AC401" i="5"/>
  <c r="AD401" i="5"/>
  <c r="X387" i="4"/>
  <c r="AI401" i="5"/>
  <c r="Y387" i="4"/>
  <c r="AJ401" i="5"/>
  <c r="AL401" i="5"/>
  <c r="F401" i="5"/>
  <c r="E401" i="5"/>
  <c r="H401" i="5"/>
  <c r="I401" i="5"/>
  <c r="R401" i="5"/>
  <c r="T401" i="5"/>
  <c r="AN401" i="5"/>
  <c r="AA402" i="5"/>
  <c r="B404" i="4"/>
  <c r="P404" i="4"/>
  <c r="W402" i="5"/>
  <c r="O402" i="5"/>
  <c r="K402" i="5"/>
  <c r="AG402" i="5"/>
  <c r="AF402" i="5"/>
  <c r="C402" i="5"/>
  <c r="L402" i="5"/>
  <c r="N402" i="5"/>
  <c r="L404" i="4"/>
  <c r="Q402" i="5"/>
  <c r="U402" i="5"/>
  <c r="Q404" i="4"/>
  <c r="X402" i="5"/>
  <c r="R404" i="4"/>
  <c r="Z402" i="5"/>
  <c r="AC402" i="5"/>
  <c r="AD402" i="5"/>
  <c r="X404" i="4"/>
  <c r="AI402" i="5"/>
  <c r="Y404" i="4"/>
  <c r="AJ402" i="5"/>
  <c r="AL402" i="5"/>
  <c r="F402" i="5"/>
  <c r="E402" i="5"/>
  <c r="H402" i="5"/>
  <c r="I402" i="5"/>
  <c r="R402" i="5"/>
  <c r="T402" i="5"/>
  <c r="AN402" i="5"/>
  <c r="AA403" i="5"/>
  <c r="B405" i="4"/>
  <c r="P405" i="4"/>
  <c r="W403" i="5"/>
  <c r="O403" i="5"/>
  <c r="K403" i="5"/>
  <c r="AG403" i="5"/>
  <c r="AF403" i="5"/>
  <c r="C403" i="5"/>
  <c r="L403" i="5"/>
  <c r="N403" i="5"/>
  <c r="L405" i="4"/>
  <c r="Q403" i="5"/>
  <c r="U403" i="5"/>
  <c r="Q405" i="4"/>
  <c r="X403" i="5"/>
  <c r="R405" i="4"/>
  <c r="Z403" i="5"/>
  <c r="AC403" i="5"/>
  <c r="AD403" i="5"/>
  <c r="X405" i="4"/>
  <c r="AI403" i="5"/>
  <c r="Y405" i="4"/>
  <c r="AJ403" i="5"/>
  <c r="AL403" i="5"/>
  <c r="F403" i="5"/>
  <c r="E403" i="5"/>
  <c r="H403" i="5"/>
  <c r="I403" i="5"/>
  <c r="R403" i="5"/>
  <c r="T403" i="5"/>
  <c r="AN403" i="5"/>
  <c r="AA404" i="5"/>
  <c r="B394" i="4"/>
  <c r="P394" i="4"/>
  <c r="W404" i="5"/>
  <c r="O404" i="5"/>
  <c r="K404" i="5"/>
  <c r="AG404" i="5"/>
  <c r="AF404" i="5"/>
  <c r="C404" i="5"/>
  <c r="L404" i="5"/>
  <c r="N404" i="5"/>
  <c r="L394" i="4"/>
  <c r="Q404" i="5"/>
  <c r="U404" i="5"/>
  <c r="Q394" i="4"/>
  <c r="X404" i="5"/>
  <c r="R394" i="4"/>
  <c r="Z404" i="5"/>
  <c r="AC404" i="5"/>
  <c r="AD404" i="5"/>
  <c r="X394" i="4"/>
  <c r="AI404" i="5"/>
  <c r="Y394" i="4"/>
  <c r="AJ404" i="5"/>
  <c r="AL404" i="5"/>
  <c r="F404" i="5"/>
  <c r="E404" i="5"/>
  <c r="H404" i="5"/>
  <c r="I404" i="5"/>
  <c r="R404" i="5"/>
  <c r="T404" i="5"/>
  <c r="AN404" i="5"/>
  <c r="AA405" i="5"/>
  <c r="B395" i="4"/>
  <c r="P395" i="4"/>
  <c r="W405" i="5"/>
  <c r="O405" i="5"/>
  <c r="K405" i="5"/>
  <c r="AG405" i="5"/>
  <c r="AF405" i="5"/>
  <c r="C405" i="5"/>
  <c r="L405" i="5"/>
  <c r="N405" i="5"/>
  <c r="L395" i="4"/>
  <c r="Q405" i="5"/>
  <c r="U405" i="5"/>
  <c r="Q395" i="4"/>
  <c r="X405" i="5"/>
  <c r="R395" i="4"/>
  <c r="Z405" i="5"/>
  <c r="AC405" i="5"/>
  <c r="AD405" i="5"/>
  <c r="X395" i="4"/>
  <c r="AI405" i="5"/>
  <c r="Y395" i="4"/>
  <c r="AJ405" i="5"/>
  <c r="AL405" i="5"/>
  <c r="F405" i="5"/>
  <c r="E405" i="5"/>
  <c r="H405" i="5"/>
  <c r="I405" i="5"/>
  <c r="R405" i="5"/>
  <c r="T405" i="5"/>
  <c r="AN405" i="5"/>
  <c r="AA406" i="5"/>
  <c r="B406" i="4"/>
  <c r="P406" i="4"/>
  <c r="W406" i="5"/>
  <c r="O406" i="5"/>
  <c r="K406" i="5"/>
  <c r="AG406" i="5"/>
  <c r="AF406" i="5"/>
  <c r="C406" i="5"/>
  <c r="L406" i="5"/>
  <c r="N406" i="5"/>
  <c r="L406" i="4"/>
  <c r="Q406" i="5"/>
  <c r="U406" i="5"/>
  <c r="Q406" i="4"/>
  <c r="X406" i="5"/>
  <c r="R406" i="4"/>
  <c r="Z406" i="5"/>
  <c r="AC406" i="5"/>
  <c r="AD406" i="5"/>
  <c r="X406" i="4"/>
  <c r="AI406" i="5"/>
  <c r="Y406" i="4"/>
  <c r="AJ406" i="5"/>
  <c r="AL406" i="5"/>
  <c r="F406" i="5"/>
  <c r="E406" i="5"/>
  <c r="H406" i="5"/>
  <c r="I406" i="5"/>
  <c r="R406" i="5"/>
  <c r="T406" i="5"/>
  <c r="AN406" i="5"/>
  <c r="AA407" i="5"/>
  <c r="B407" i="4"/>
  <c r="P407" i="4"/>
  <c r="W407" i="5"/>
  <c r="O407" i="5"/>
  <c r="K407" i="5"/>
  <c r="AG407" i="5"/>
  <c r="AF407" i="5"/>
  <c r="C407" i="5"/>
  <c r="L407" i="5"/>
  <c r="N407" i="5"/>
  <c r="L407" i="4"/>
  <c r="Q407" i="5"/>
  <c r="U407" i="5"/>
  <c r="Q407" i="4"/>
  <c r="X407" i="5"/>
  <c r="R407" i="4"/>
  <c r="Z407" i="5"/>
  <c r="AC407" i="5"/>
  <c r="AD407" i="5"/>
  <c r="X407" i="4"/>
  <c r="AI407" i="5"/>
  <c r="Y407" i="4"/>
  <c r="AJ407" i="5"/>
  <c r="AL407" i="5"/>
  <c r="F407" i="5"/>
  <c r="E407" i="5"/>
  <c r="H407" i="5"/>
  <c r="I407" i="5"/>
  <c r="R407" i="5"/>
  <c r="T407" i="5"/>
  <c r="AN407" i="5"/>
  <c r="AA408" i="5"/>
  <c r="B408" i="4"/>
  <c r="P408" i="4"/>
  <c r="W408" i="5"/>
  <c r="O408" i="5"/>
  <c r="K408" i="5"/>
  <c r="AG408" i="5"/>
  <c r="AF408" i="5"/>
  <c r="C408" i="5"/>
  <c r="L408" i="5"/>
  <c r="N408" i="5"/>
  <c r="L408" i="4"/>
  <c r="Q408" i="5"/>
  <c r="U408" i="5"/>
  <c r="Q408" i="4"/>
  <c r="X408" i="5"/>
  <c r="R408" i="4"/>
  <c r="Z408" i="5"/>
  <c r="AC408" i="5"/>
  <c r="AD408" i="5"/>
  <c r="X408" i="4"/>
  <c r="AI408" i="5"/>
  <c r="Y408" i="4"/>
  <c r="AJ408" i="5"/>
  <c r="AL408" i="5"/>
  <c r="F408" i="5"/>
  <c r="E408" i="5"/>
  <c r="H408" i="5"/>
  <c r="I408" i="5"/>
  <c r="R408" i="5"/>
  <c r="T408" i="5"/>
  <c r="AN408" i="5"/>
  <c r="AA409" i="5"/>
  <c r="B409" i="4"/>
  <c r="P409" i="4"/>
  <c r="W409" i="5"/>
  <c r="O409" i="5"/>
  <c r="K409" i="5"/>
  <c r="AG409" i="5"/>
  <c r="AF409" i="5"/>
  <c r="C409" i="5"/>
  <c r="L409" i="5"/>
  <c r="N409" i="5"/>
  <c r="L409" i="4"/>
  <c r="Q409" i="5"/>
  <c r="U409" i="5"/>
  <c r="Q409" i="4"/>
  <c r="X409" i="5"/>
  <c r="R25" i="2"/>
  <c r="R409" i="4"/>
  <c r="Z409" i="5"/>
  <c r="AC409" i="5"/>
  <c r="AD409" i="5"/>
  <c r="X409" i="4"/>
  <c r="AI409" i="5"/>
  <c r="Y409" i="4"/>
  <c r="AJ409" i="5"/>
  <c r="AL409" i="5"/>
  <c r="F409" i="5"/>
  <c r="E409" i="5"/>
  <c r="H409" i="5"/>
  <c r="I409" i="5"/>
  <c r="R409" i="5"/>
  <c r="T409" i="5"/>
  <c r="AN409" i="5"/>
  <c r="AA410" i="5"/>
  <c r="B410" i="4"/>
  <c r="P410" i="4"/>
  <c r="W410" i="5"/>
  <c r="O410" i="5"/>
  <c r="K410" i="5"/>
  <c r="AG410" i="5"/>
  <c r="AF410" i="5"/>
  <c r="C410" i="5"/>
  <c r="L410" i="5"/>
  <c r="N410" i="5"/>
  <c r="L410" i="4"/>
  <c r="Q410" i="5"/>
  <c r="U410" i="5"/>
  <c r="Q410" i="4"/>
  <c r="X410" i="5"/>
  <c r="R410" i="4"/>
  <c r="Z410" i="5"/>
  <c r="AC410" i="5"/>
  <c r="AD410" i="5"/>
  <c r="X410" i="4"/>
  <c r="AI410" i="5"/>
  <c r="Y410" i="4"/>
  <c r="AJ410" i="5"/>
  <c r="AL410" i="5"/>
  <c r="F410" i="5"/>
  <c r="E410" i="5"/>
  <c r="H410" i="5"/>
  <c r="I410" i="5"/>
  <c r="R410" i="5"/>
  <c r="T410" i="5"/>
  <c r="AN410" i="5"/>
  <c r="AA411" i="5"/>
  <c r="B411" i="4"/>
  <c r="P411" i="4"/>
  <c r="W411" i="5"/>
  <c r="O411" i="5"/>
  <c r="K411" i="5"/>
  <c r="AG411" i="5"/>
  <c r="AF411" i="5"/>
  <c r="C411" i="5"/>
  <c r="L411" i="5"/>
  <c r="N411" i="5"/>
  <c r="L411" i="4"/>
  <c r="Q411" i="5"/>
  <c r="U411" i="5"/>
  <c r="Q411" i="4"/>
  <c r="X411" i="5"/>
  <c r="R411" i="4"/>
  <c r="Z411" i="5"/>
  <c r="AC411" i="5"/>
  <c r="AD411" i="5"/>
  <c r="X411" i="4"/>
  <c r="AI411" i="5"/>
  <c r="Y411" i="4"/>
  <c r="AJ411" i="5"/>
  <c r="AL411" i="5"/>
  <c r="F411" i="5"/>
  <c r="E411" i="5"/>
  <c r="H411" i="5"/>
  <c r="I411" i="5"/>
  <c r="R411" i="5"/>
  <c r="T411" i="5"/>
  <c r="AN411" i="5"/>
  <c r="AG2" i="5"/>
  <c r="AF2" i="5"/>
  <c r="B125" i="4"/>
  <c r="C125" i="4"/>
  <c r="C2" i="5"/>
  <c r="D125" i="4"/>
  <c r="E2" i="5"/>
  <c r="K2" i="5"/>
  <c r="L125" i="4"/>
  <c r="Q2" i="5"/>
  <c r="M125" i="4"/>
  <c r="R2" i="5"/>
  <c r="T2" i="5"/>
  <c r="U2" i="5"/>
  <c r="P125" i="4"/>
  <c r="W2" i="5"/>
  <c r="Q125" i="4"/>
  <c r="X2" i="5"/>
  <c r="S125" i="4"/>
  <c r="AA2" i="5"/>
  <c r="AI125" i="4"/>
  <c r="T125" i="4" a="1"/>
  <c r="T125" i="4"/>
  <c r="AC2" i="5"/>
  <c r="U125" i="4" a="1"/>
  <c r="U125" i="4"/>
  <c r="AD2" i="5"/>
  <c r="X125" i="4"/>
  <c r="AI2" i="5"/>
  <c r="Y125" i="4"/>
  <c r="AJ2" i="5"/>
  <c r="Z125" i="4"/>
  <c r="AL2" i="5"/>
  <c r="F2" i="5"/>
  <c r="L2" i="5"/>
  <c r="N2" i="5"/>
  <c r="O2" i="5"/>
  <c r="H2" i="5"/>
  <c r="I2" i="5"/>
  <c r="Z2" i="5"/>
  <c r="AN2" i="5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AZ126" i="1"/>
  <c r="BA126" i="1"/>
  <c r="BB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BC126" i="1"/>
  <c r="CT126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AZ263" i="1"/>
  <c r="BA263" i="1"/>
  <c r="BB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BC263" i="1"/>
  <c r="CT263" i="1"/>
  <c r="AZ264" i="1"/>
  <c r="BA264" i="1"/>
  <c r="BB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BC264" i="1"/>
  <c r="CT264" i="1"/>
  <c r="BB24" i="1"/>
  <c r="AZ24" i="1"/>
  <c r="BA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BC24" i="1"/>
  <c r="CT24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63" i="1"/>
  <c r="BA163" i="1"/>
  <c r="BB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BC163" i="1"/>
  <c r="CT163" i="1"/>
  <c r="AZ162" i="1"/>
  <c r="BA162" i="1"/>
  <c r="BB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BC162" i="1"/>
  <c r="CT162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BC151" i="1"/>
  <c r="AZ151" i="1"/>
  <c r="BA151" i="1"/>
  <c r="BB151" i="1"/>
  <c r="CT151" i="1"/>
  <c r="AI300" i="4"/>
  <c r="AI310" i="4"/>
  <c r="AZ337" i="1"/>
  <c r="BA337" i="1"/>
  <c r="BB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BC337" i="1"/>
  <c r="CT337" i="1"/>
  <c r="AZ338" i="1"/>
  <c r="BA338" i="1"/>
  <c r="BB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BC338" i="1"/>
  <c r="CT338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W49" i="2"/>
  <c r="S49" i="2"/>
  <c r="R49" i="2"/>
  <c r="K49" i="2"/>
  <c r="H49" i="2"/>
  <c r="G49" i="2"/>
  <c r="F49" i="2"/>
  <c r="E49" i="2"/>
  <c r="E47" i="2"/>
  <c r="E309" i="4"/>
  <c r="F47" i="2"/>
  <c r="F309" i="4"/>
  <c r="R47" i="2"/>
  <c r="R309" i="4"/>
  <c r="AA309" i="4"/>
  <c r="AC309" i="4"/>
  <c r="AD309" i="4"/>
  <c r="AE309" i="4"/>
  <c r="AF309" i="4"/>
  <c r="AG309" i="4"/>
  <c r="AH309" i="4"/>
  <c r="AI309" i="4"/>
  <c r="AJ309" i="4"/>
  <c r="AL309" i="4"/>
  <c r="B303" i="5"/>
  <c r="AM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314" i="6"/>
  <c r="C314" i="6"/>
  <c r="D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D409" i="9"/>
  <c r="E409" i="9"/>
  <c r="F409" i="9"/>
  <c r="G409" i="9"/>
  <c r="C115" i="7"/>
  <c r="D115" i="7"/>
  <c r="E115" i="7"/>
  <c r="U23" i="2"/>
  <c r="T23" i="2"/>
  <c r="AZ335" i="1"/>
  <c r="BA335" i="1"/>
  <c r="BB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BC335" i="1"/>
  <c r="CT335" i="1"/>
  <c r="AZ189" i="1"/>
  <c r="BA189" i="1"/>
  <c r="BB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BC189" i="1"/>
  <c r="CT189" i="1"/>
  <c r="AZ188" i="1"/>
  <c r="BA188" i="1"/>
  <c r="BB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BC188" i="1"/>
  <c r="CT188" i="1"/>
  <c r="G20" i="2"/>
  <c r="I20" i="2"/>
  <c r="J20" i="2"/>
  <c r="K20" i="2"/>
  <c r="T20" i="2"/>
  <c r="U20" i="2"/>
  <c r="V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AZ140" i="1"/>
  <c r="BA140" i="1"/>
  <c r="BB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BC140" i="1"/>
  <c r="CT140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330" i="1"/>
  <c r="BA330" i="1"/>
  <c r="BB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BC330" i="1"/>
  <c r="CT330" i="1"/>
  <c r="AZ329" i="1"/>
  <c r="BA329" i="1"/>
  <c r="BB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BC329" i="1"/>
  <c r="CT329" i="1"/>
  <c r="AZ333" i="1"/>
  <c r="BA333" i="1"/>
  <c r="BB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BC333" i="1"/>
  <c r="CT333" i="1"/>
  <c r="E48" i="2"/>
  <c r="F48" i="2"/>
  <c r="G48" i="2"/>
  <c r="H48" i="2"/>
  <c r="K48" i="2"/>
  <c r="R48" i="2"/>
  <c r="S48" i="2"/>
  <c r="W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332" i="1"/>
  <c r="BA332" i="1"/>
  <c r="BB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BC332" i="1"/>
  <c r="CT332" i="1"/>
  <c r="AZ334" i="1"/>
  <c r="BA334" i="1"/>
  <c r="BB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BC334" i="1"/>
  <c r="CT334" i="1"/>
  <c r="E45" i="2"/>
  <c r="G45" i="2"/>
  <c r="H45" i="2"/>
  <c r="K45" i="2"/>
  <c r="R45" i="2"/>
  <c r="S45" i="2"/>
  <c r="W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315" i="1"/>
  <c r="BA315" i="1"/>
  <c r="BB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BC315" i="1"/>
  <c r="CT315" i="1"/>
  <c r="AZ316" i="1"/>
  <c r="BA316" i="1"/>
  <c r="BB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BC316" i="1"/>
  <c r="CT316" i="1"/>
  <c r="AZ250" i="1"/>
  <c r="BA250" i="1"/>
  <c r="BB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BC250" i="1"/>
  <c r="CT250" i="1"/>
  <c r="AZ249" i="1"/>
  <c r="BA249" i="1"/>
  <c r="BB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BC249" i="1"/>
  <c r="CT249" i="1"/>
  <c r="AZ287" i="1"/>
  <c r="BA287" i="1"/>
  <c r="BB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BC287" i="1"/>
  <c r="CT287" i="1"/>
  <c r="G44" i="2"/>
  <c r="K44" i="2"/>
  <c r="T44" i="2"/>
  <c r="U44" i="2"/>
  <c r="V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286" i="1"/>
  <c r="BA286" i="1"/>
  <c r="BB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BC286" i="1"/>
  <c r="CT286" i="1"/>
  <c r="AZ284" i="1"/>
  <c r="BA284" i="1"/>
  <c r="BB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BC284" i="1"/>
  <c r="CT284" i="1"/>
  <c r="AZ285" i="1"/>
  <c r="BA285" i="1"/>
  <c r="BB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BC285" i="1"/>
  <c r="CT285" i="1"/>
  <c r="AZ137" i="1"/>
  <c r="BA137" i="1"/>
  <c r="BB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BC137" i="1"/>
  <c r="CT137" i="1"/>
  <c r="AZ136" i="1"/>
  <c r="BA136" i="1"/>
  <c r="BB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BC136" i="1"/>
  <c r="CT136" i="1"/>
  <c r="B14" i="3"/>
  <c r="C14" i="3"/>
  <c r="E14" i="3"/>
  <c r="G19" i="2"/>
  <c r="K19" i="2"/>
  <c r="R19" i="2"/>
  <c r="T19" i="2"/>
  <c r="U19" i="2"/>
  <c r="V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34" i="1"/>
  <c r="BA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BC134" i="1"/>
  <c r="CT134" i="1"/>
  <c r="BA135" i="1"/>
  <c r="BB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BC135" i="1"/>
  <c r="CT135" i="1"/>
  <c r="E33" i="2"/>
  <c r="F33" i="2"/>
  <c r="I33" i="2"/>
  <c r="J33" i="2"/>
  <c r="R33" i="2"/>
  <c r="H34" i="2"/>
  <c r="R41" i="2"/>
  <c r="I29" i="2"/>
  <c r="J29" i="2"/>
  <c r="E17" i="2"/>
  <c r="F17" i="2"/>
  <c r="S46" i="2"/>
  <c r="R12" i="2"/>
  <c r="R11" i="2"/>
  <c r="N14" i="2"/>
  <c r="H23" i="2"/>
  <c r="K30" i="2"/>
  <c r="G30" i="2"/>
  <c r="V30" i="2"/>
  <c r="E25" i="2"/>
  <c r="F25" i="2"/>
  <c r="H47" i="2"/>
  <c r="S47" i="2"/>
  <c r="R16" i="2"/>
  <c r="AH288" i="4"/>
  <c r="AH26" i="4"/>
  <c r="AH245" i="4"/>
  <c r="AH131" i="4"/>
  <c r="AH133" i="4"/>
  <c r="AH130" i="4"/>
  <c r="AH7" i="4"/>
  <c r="AH23" i="4"/>
  <c r="AH132" i="4"/>
  <c r="AH24" i="4"/>
  <c r="AH179" i="4"/>
  <c r="AH180" i="4"/>
  <c r="AH286" i="4"/>
  <c r="AH290" i="4"/>
  <c r="AH187" i="4"/>
  <c r="AH250" i="4"/>
  <c r="AH77" i="4"/>
  <c r="AH192" i="4"/>
  <c r="AH121" i="4"/>
  <c r="AH264" i="4"/>
  <c r="AH269" i="4"/>
  <c r="AH270" i="4"/>
  <c r="AH233" i="4"/>
  <c r="AH247" i="4"/>
  <c r="AH241" i="4"/>
  <c r="AH244" i="4"/>
  <c r="AH263" i="4"/>
  <c r="AH151" i="4"/>
  <c r="AH267" i="4"/>
  <c r="AH265" i="4"/>
  <c r="AH266" i="4"/>
  <c r="AH238" i="4"/>
  <c r="AH240" i="4"/>
  <c r="AH243" i="4"/>
  <c r="AH268" i="4"/>
  <c r="AH272" i="4"/>
  <c r="AH271" i="4"/>
  <c r="AH210" i="4"/>
  <c r="AH220" i="4"/>
  <c r="AH221" i="4"/>
  <c r="AH199" i="4"/>
  <c r="AH213" i="4"/>
  <c r="AH25" i="4"/>
  <c r="AH287" i="4"/>
  <c r="AH239" i="4"/>
  <c r="AH242" i="4"/>
  <c r="AH273" i="4"/>
  <c r="AH186" i="4"/>
  <c r="AH190" i="4"/>
  <c r="AH113" i="4"/>
  <c r="AH9" i="4"/>
  <c r="AH10" i="4"/>
  <c r="AH83" i="4"/>
  <c r="AH278" i="4"/>
  <c r="AH284" i="4"/>
  <c r="AH82" i="4"/>
  <c r="AH16" i="4"/>
  <c r="AH84" i="4"/>
  <c r="AH68" i="4"/>
  <c r="AH87" i="4"/>
  <c r="AH100" i="4"/>
  <c r="AH196" i="4"/>
  <c r="AH291" i="4"/>
  <c r="AH8" i="4"/>
  <c r="AH218" i="4"/>
  <c r="AH281" i="4"/>
  <c r="AH292" i="4"/>
  <c r="AH251" i="4"/>
  <c r="AH252" i="4"/>
  <c r="AH279" i="4"/>
  <c r="AH280" i="4"/>
  <c r="AH228" i="4"/>
  <c r="AH297" i="4"/>
  <c r="AH294" i="4"/>
  <c r="AH296" i="4"/>
  <c r="AH197" i="4"/>
  <c r="AH156" i="4"/>
  <c r="AH246" i="4"/>
  <c r="AH194" i="4"/>
  <c r="AH248" i="4"/>
  <c r="AH141" i="4"/>
  <c r="AH116" i="4"/>
  <c r="AH295" i="4"/>
  <c r="AH235" i="4"/>
  <c r="AH234" i="4"/>
  <c r="AH191" i="4"/>
  <c r="AH155" i="4"/>
  <c r="AH249" i="4"/>
  <c r="AH258" i="4"/>
  <c r="AH285" i="4"/>
  <c r="AH256" i="4"/>
  <c r="AH255" i="4"/>
  <c r="AH73" i="4"/>
  <c r="AH230" i="4"/>
  <c r="AH212" i="4"/>
  <c r="AH129" i="4"/>
  <c r="AH253" i="4"/>
  <c r="AH178" i="4"/>
  <c r="AH237" i="4"/>
  <c r="AH222" i="4"/>
  <c r="AH277" i="4"/>
  <c r="AH189" i="4"/>
  <c r="AH231" i="4"/>
  <c r="AH254" i="4"/>
  <c r="AH204" i="4"/>
  <c r="AH149" i="4"/>
  <c r="AH219" i="4"/>
  <c r="AH145" i="4"/>
  <c r="AH122" i="4"/>
  <c r="AH183" i="4"/>
  <c r="AH229" i="4"/>
  <c r="AH257" i="4"/>
  <c r="AH259" i="4"/>
  <c r="AH261" i="4"/>
  <c r="AH260" i="4"/>
  <c r="AH114" i="4"/>
  <c r="AH236" i="4"/>
  <c r="AH176" i="4"/>
  <c r="AH177" i="4"/>
  <c r="AH28" i="4"/>
  <c r="AH135" i="4"/>
  <c r="AH214" i="4"/>
  <c r="AH137" i="4"/>
  <c r="AH139" i="4"/>
  <c r="AH27" i="4"/>
  <c r="AH138" i="4"/>
  <c r="AH143" i="4"/>
  <c r="AH140" i="4"/>
  <c r="AH134" i="4"/>
  <c r="AH111" i="4"/>
  <c r="AH127" i="4"/>
  <c r="AH289" i="4"/>
  <c r="AH223" i="4"/>
  <c r="AH117" i="4"/>
  <c r="AH142" i="4"/>
  <c r="AH50" i="4"/>
  <c r="AH49" i="4"/>
  <c r="AH123" i="4"/>
  <c r="AH92" i="4"/>
  <c r="AH93" i="4"/>
  <c r="AH91" i="4"/>
  <c r="AH96" i="4"/>
  <c r="AH95" i="4"/>
  <c r="AH173" i="4"/>
  <c r="AH168" i="4"/>
  <c r="AH276" i="4"/>
  <c r="AH152" i="4"/>
  <c r="AH158" i="4"/>
  <c r="AH166" i="4"/>
  <c r="AH275" i="4"/>
  <c r="AH211" i="4"/>
  <c r="AH165" i="4"/>
  <c r="AH124" i="4"/>
  <c r="AH144" i="4"/>
  <c r="AH167" i="4"/>
  <c r="AH174" i="4"/>
  <c r="AH293" i="4"/>
  <c r="AH120" i="4"/>
  <c r="AH80" i="4"/>
  <c r="AH206" i="4"/>
  <c r="AH169" i="4"/>
  <c r="AH171" i="4"/>
  <c r="AH172" i="4"/>
  <c r="AH298" i="4"/>
  <c r="AH200" i="4"/>
  <c r="AH201" i="4"/>
  <c r="AH52" i="4"/>
  <c r="AH54" i="4"/>
  <c r="AH14" i="4"/>
  <c r="AH163" i="4"/>
  <c r="AH47" i="4"/>
  <c r="AH85" i="4"/>
  <c r="AH86" i="4"/>
  <c r="AH88" i="4"/>
  <c r="AH90" i="4"/>
  <c r="AH170" i="4"/>
  <c r="AH74" i="4"/>
  <c r="AH45" i="4"/>
  <c r="AH182" i="4"/>
  <c r="AH162" i="4"/>
  <c r="AH59" i="4"/>
  <c r="AH48" i="4"/>
  <c r="AH193" i="4"/>
  <c r="AH195" i="4"/>
  <c r="AH5" i="4"/>
  <c r="AH112" i="4"/>
  <c r="AH126" i="4"/>
  <c r="AH202" i="4"/>
  <c r="AH207" i="4"/>
  <c r="AH6" i="4"/>
  <c r="AH4" i="4"/>
  <c r="AH164" i="4"/>
  <c r="AH42" i="4"/>
  <c r="AH208" i="4"/>
  <c r="AH115" i="4"/>
  <c r="AH161" i="4"/>
  <c r="AH105" i="4"/>
  <c r="AH65" i="4"/>
  <c r="AH125" i="4"/>
  <c r="AH22" i="4"/>
  <c r="AH53" i="4"/>
  <c r="AH283" i="4"/>
  <c r="AH215" i="4"/>
  <c r="AH209" i="4"/>
  <c r="AH118" i="4"/>
  <c r="AH128" i="4"/>
  <c r="AH55" i="4"/>
  <c r="AH57" i="4"/>
  <c r="AH56" i="4"/>
  <c r="AH51" i="4"/>
  <c r="AH89" i="4"/>
  <c r="AH94" i="4"/>
  <c r="AH72" i="4"/>
  <c r="AH69" i="4"/>
  <c r="AH20" i="4"/>
  <c r="AH71" i="4"/>
  <c r="AH157" i="4"/>
  <c r="AH21" i="4"/>
  <c r="AH79" i="4"/>
  <c r="AH224" i="4"/>
  <c r="AH136" i="4"/>
  <c r="AH2" i="4"/>
  <c r="AH198" i="4"/>
  <c r="AH205" i="4"/>
  <c r="AH101" i="4"/>
  <c r="AH30" i="4"/>
  <c r="AH225" i="4"/>
  <c r="AH12" i="4"/>
  <c r="AH64" i="4"/>
  <c r="AH3" i="4"/>
  <c r="AH44" i="4"/>
  <c r="AH43" i="4"/>
  <c r="AH274" i="4"/>
  <c r="AH226" i="4"/>
  <c r="AH160" i="4"/>
  <c r="AH159" i="4"/>
  <c r="AH153" i="4"/>
  <c r="AH18" i="4"/>
  <c r="AH40" i="4"/>
  <c r="AH184" i="4"/>
  <c r="AH99" i="4"/>
  <c r="AH97" i="4"/>
  <c r="AH203" i="4"/>
  <c r="AH78" i="4"/>
  <c r="AH13" i="4"/>
  <c r="AH217" i="4"/>
  <c r="AH70" i="4"/>
  <c r="AH185" i="4"/>
  <c r="AH39" i="4"/>
  <c r="AH216" i="4"/>
  <c r="AH31" i="4"/>
  <c r="AH181" i="4"/>
  <c r="AH60" i="4"/>
  <c r="AH148" i="4"/>
  <c r="AH63" i="4"/>
  <c r="AH146" i="4"/>
  <c r="AH61" i="4"/>
  <c r="AH227" i="4"/>
  <c r="AH98" i="4"/>
  <c r="AH19" i="4"/>
  <c r="AH62" i="4"/>
  <c r="AH11" i="4"/>
  <c r="AH147" i="4"/>
  <c r="AH38" i="4"/>
  <c r="AH75" i="4"/>
  <c r="AH104" i="4"/>
  <c r="AH150" i="4"/>
  <c r="AH103" i="4"/>
  <c r="AH119" i="4"/>
  <c r="AH76" i="4"/>
  <c r="AH29" i="4"/>
  <c r="AH17" i="4"/>
  <c r="AH58" i="4"/>
  <c r="AH154" i="4"/>
  <c r="AH109" i="4"/>
  <c r="AH110" i="4"/>
  <c r="AH66" i="4"/>
  <c r="AH102" i="4"/>
  <c r="AH175" i="4"/>
  <c r="AH81" i="4"/>
  <c r="AH107" i="4"/>
  <c r="AH32" i="4"/>
  <c r="AH15" i="4"/>
  <c r="AH41" i="4"/>
  <c r="AH106" i="4"/>
  <c r="AH33" i="4"/>
  <c r="AH36" i="4"/>
  <c r="AH108" i="4"/>
  <c r="AH46" i="4"/>
  <c r="AH37" i="4"/>
  <c r="AH35" i="4"/>
  <c r="AH34" i="4"/>
  <c r="AH307" i="4"/>
  <c r="AH306" i="4"/>
  <c r="AH304" i="4"/>
  <c r="AH305" i="4"/>
  <c r="AH310" i="4"/>
  <c r="AH311" i="4"/>
  <c r="AH312" i="4"/>
  <c r="AH313" i="4"/>
  <c r="AH300" i="4"/>
  <c r="AH301" i="4"/>
  <c r="AH299" i="4"/>
  <c r="AH302" i="4"/>
  <c r="AH303" i="4"/>
  <c r="AH308" i="4"/>
  <c r="AH314" i="4"/>
  <c r="AH342" i="4"/>
  <c r="AH333" i="4"/>
  <c r="AH331" i="4"/>
  <c r="AH332" i="4"/>
  <c r="AH334" i="4"/>
  <c r="AH324" i="4"/>
  <c r="AH341" i="4"/>
  <c r="AH323" i="4"/>
  <c r="AH322" i="4"/>
  <c r="AH325" i="4"/>
  <c r="AH339" i="4"/>
  <c r="AH346" i="4"/>
  <c r="AH318" i="4"/>
  <c r="AH326" i="4"/>
  <c r="AH327" i="4"/>
  <c r="AH328" i="4"/>
  <c r="AH329" i="4"/>
  <c r="AH319" i="4"/>
  <c r="AH320" i="4"/>
  <c r="AH321" i="4"/>
  <c r="AH347" i="4"/>
  <c r="AH338" i="4"/>
  <c r="AH337" i="4"/>
  <c r="AH340" i="4"/>
  <c r="AH330" i="4"/>
  <c r="AH317" i="4"/>
  <c r="AH316" i="4"/>
  <c r="AH315" i="4"/>
  <c r="AH335" i="4"/>
  <c r="AH336" i="4"/>
  <c r="AH345" i="4"/>
  <c r="AH343" i="4"/>
  <c r="AH344" i="4"/>
  <c r="AH351" i="4"/>
  <c r="AH348" i="4"/>
  <c r="AH361" i="4"/>
  <c r="AH362" i="4"/>
  <c r="AH352" i="4"/>
  <c r="AH353" i="4"/>
  <c r="AH354" i="4"/>
  <c r="AH349" i="4"/>
  <c r="AH350" i="4"/>
  <c r="AH358" i="4"/>
  <c r="AH359" i="4"/>
  <c r="AH364" i="4"/>
  <c r="AH365" i="4"/>
  <c r="AH366" i="4"/>
  <c r="AH367" i="4"/>
  <c r="AH356" i="4"/>
  <c r="AH357" i="4"/>
  <c r="AH368" i="4"/>
  <c r="AH363" i="4"/>
  <c r="AH369" i="4"/>
  <c r="AH360" i="4"/>
  <c r="AH355" i="4"/>
  <c r="AH371" i="4"/>
  <c r="AH377" i="4"/>
  <c r="AH378" i="4"/>
  <c r="AH379" i="4"/>
  <c r="AH373" i="4"/>
  <c r="AH370" i="4"/>
  <c r="AH376" i="4"/>
  <c r="AH374" i="4"/>
  <c r="AH375" i="4"/>
  <c r="AH381" i="4"/>
  <c r="AH372" i="4"/>
  <c r="AH384" i="4"/>
  <c r="AH386" i="4"/>
  <c r="AH385" i="4"/>
  <c r="AH383" i="4"/>
  <c r="AH382" i="4"/>
  <c r="AH390" i="4"/>
  <c r="AH389" i="4"/>
  <c r="AH394" i="4"/>
  <c r="AH388" i="4"/>
  <c r="AH407" i="4"/>
  <c r="AH391" i="4"/>
  <c r="AH397" i="4"/>
  <c r="AH398" i="4"/>
  <c r="AH399" i="4"/>
  <c r="AH400" i="4"/>
  <c r="AH403" i="4"/>
  <c r="AH404" i="4"/>
  <c r="AH405" i="4"/>
  <c r="AH393" i="4"/>
  <c r="AH402" i="4"/>
  <c r="AH406" i="4"/>
  <c r="AH409" i="4"/>
  <c r="AH410" i="4"/>
  <c r="AH411" i="4"/>
  <c r="AH401" i="4"/>
  <c r="AH392" i="4"/>
  <c r="AH395" i="4"/>
  <c r="AH396" i="4"/>
  <c r="AH408" i="4"/>
  <c r="AH387" i="4"/>
  <c r="AH188" i="4"/>
  <c r="E3" i="2"/>
  <c r="F3" i="2"/>
  <c r="E31" i="2"/>
  <c r="F31" i="2"/>
  <c r="R31" i="2"/>
  <c r="E38" i="2"/>
  <c r="E36" i="2"/>
  <c r="F38" i="2"/>
  <c r="F36" i="2"/>
  <c r="I38" i="2"/>
  <c r="J38" i="2"/>
  <c r="I41" i="2"/>
  <c r="J41" i="2"/>
  <c r="H3" i="2"/>
  <c r="R43" i="2"/>
  <c r="R3" i="2"/>
  <c r="R24" i="2"/>
  <c r="R42" i="2"/>
  <c r="R17" i="2"/>
  <c r="R38" i="2"/>
  <c r="T18" i="2"/>
  <c r="U18" i="2"/>
  <c r="T24" i="2"/>
  <c r="U24" i="2"/>
  <c r="V24" i="2"/>
  <c r="K29" i="2"/>
  <c r="T29" i="2"/>
  <c r="U29" i="2"/>
  <c r="V29" i="2"/>
  <c r="K27" i="2"/>
  <c r="T27" i="2"/>
  <c r="U27" i="2"/>
  <c r="W27" i="2"/>
  <c r="K23" i="2"/>
  <c r="V23" i="2"/>
  <c r="W23" i="2"/>
  <c r="G14" i="2"/>
  <c r="K14" i="2"/>
  <c r="T14" i="2"/>
  <c r="U14" i="2"/>
  <c r="V14" i="2"/>
  <c r="W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5" i="1"/>
  <c r="BA25" i="1"/>
  <c r="BB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BC25" i="1"/>
  <c r="CT25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C51" i="1"/>
  <c r="BB51" i="1"/>
  <c r="BA51" i="1"/>
  <c r="AZ51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221" i="1"/>
  <c r="BA221" i="1"/>
  <c r="BB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BC221" i="1"/>
  <c r="CT221" i="1"/>
  <c r="N64" i="4"/>
  <c r="AZ308" i="1"/>
  <c r="BA308" i="1"/>
  <c r="BB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BC308" i="1"/>
  <c r="CT308" i="1"/>
  <c r="AZ245" i="1"/>
  <c r="BA245" i="1"/>
  <c r="BB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BC245" i="1"/>
  <c r="CT245" i="1"/>
  <c r="AZ242" i="1"/>
  <c r="BA242" i="1"/>
  <c r="BB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BC242" i="1"/>
  <c r="CT242" i="1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5" i="6"/>
  <c r="AA278" i="6"/>
  <c r="AA290" i="6"/>
  <c r="AA297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2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1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3" i="6"/>
  <c r="AA234" i="6"/>
  <c r="AA196" i="6"/>
  <c r="AA142" i="6"/>
  <c r="AA175" i="6"/>
  <c r="AA176" i="6"/>
  <c r="AA131" i="6"/>
  <c r="AA12" i="6"/>
  <c r="AA296" i="6"/>
  <c r="AA197" i="6"/>
  <c r="AA209" i="6"/>
  <c r="AA143" i="6"/>
  <c r="AA210" i="6"/>
  <c r="AA132" i="6"/>
  <c r="AA13" i="6"/>
  <c r="AA46" i="6"/>
  <c r="AA260" i="6"/>
  <c r="AA24" i="6"/>
  <c r="AA235" i="6"/>
  <c r="AA198" i="6"/>
  <c r="AA72" i="6"/>
  <c r="AA261" i="6"/>
  <c r="AA38" i="6"/>
  <c r="AA73" i="6"/>
  <c r="AA74" i="6"/>
  <c r="AA284" i="6"/>
  <c r="AA75" i="6"/>
  <c r="AA236" i="6"/>
  <c r="AA237" i="6"/>
  <c r="AA211" i="6"/>
  <c r="AA272" i="6"/>
  <c r="AA212" i="6"/>
  <c r="AA133" i="6"/>
  <c r="AA76" i="6"/>
  <c r="AA213" i="6"/>
  <c r="AA25" i="6"/>
  <c r="AA135" i="6"/>
  <c r="AA238" i="6"/>
  <c r="AA161" i="6"/>
  <c r="AA77" i="6"/>
  <c r="AA262" i="6"/>
  <c r="AA273" i="6"/>
  <c r="AA126" i="6"/>
  <c r="AA144" i="6"/>
  <c r="AA239" i="6"/>
  <c r="AA274" i="6"/>
  <c r="AA57" i="6"/>
  <c r="AA214" i="6"/>
  <c r="AA275" i="6"/>
  <c r="AA285" i="6"/>
  <c r="AA118" i="6"/>
  <c r="AA119" i="6"/>
  <c r="AA14" i="6"/>
  <c r="AA120" i="6"/>
  <c r="AA199" i="6"/>
  <c r="AA153" i="6"/>
  <c r="AA215" i="6"/>
  <c r="AA200" i="6"/>
  <c r="AA26" i="6"/>
  <c r="AA263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6" i="6"/>
  <c r="AA287" i="6"/>
  <c r="AA34" i="6"/>
  <c r="AA178" i="6"/>
  <c r="AA154" i="6"/>
  <c r="AA248" i="6"/>
  <c r="AA276" i="6"/>
  <c r="AA249" i="6"/>
  <c r="AA80" i="6"/>
  <c r="AA250" i="6"/>
  <c r="AA81" i="6"/>
  <c r="AA264" i="6"/>
  <c r="AA162" i="6"/>
  <c r="AA288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7" i="6"/>
  <c r="AA256" i="6"/>
  <c r="AA257" i="6"/>
  <c r="AA266" i="6"/>
  <c r="AA267" i="6"/>
  <c r="AA279" i="6"/>
  <c r="AA280" i="6"/>
  <c r="AA281" i="6"/>
  <c r="AA227" i="6"/>
  <c r="AA157" i="6"/>
  <c r="AA35" i="6"/>
  <c r="AA151" i="6"/>
  <c r="AA289" i="6"/>
  <c r="AA268" i="6"/>
  <c r="AA269" i="6"/>
  <c r="AA122" i="6"/>
  <c r="AA228" i="6"/>
  <c r="AA229" i="6"/>
  <c r="AA230" i="6"/>
  <c r="AA258" i="6"/>
  <c r="AA270" i="6"/>
  <c r="AA231" i="6"/>
  <c r="AA83" i="6"/>
  <c r="AA84" i="6"/>
  <c r="AA63" i="6"/>
  <c r="AA60" i="6"/>
  <c r="AA291" i="6"/>
  <c r="AA292" i="6"/>
  <c r="AA293" i="6"/>
  <c r="AA294" i="6"/>
  <c r="AA171" i="6"/>
  <c r="AA172" i="6"/>
  <c r="AA181" i="6"/>
  <c r="AA158" i="6"/>
  <c r="AA173" i="6"/>
  <c r="AA259" i="6"/>
  <c r="AA295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1" i="6"/>
  <c r="AA307" i="6"/>
  <c r="AA299" i="6"/>
  <c r="AA300" i="6"/>
  <c r="AA302" i="6"/>
  <c r="AA303" i="6"/>
  <c r="AA304" i="6"/>
  <c r="AA305" i="6"/>
  <c r="AA306" i="6"/>
  <c r="AA308" i="6"/>
  <c r="AA309" i="6"/>
  <c r="AA310" i="6"/>
  <c r="AA311" i="6"/>
  <c r="AA312" i="6"/>
  <c r="AA313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6" i="6"/>
  <c r="AA342" i="6"/>
  <c r="AA343" i="6"/>
  <c r="AA347" i="6"/>
  <c r="AA344" i="6"/>
  <c r="AA345" i="6"/>
  <c r="AA356" i="6"/>
  <c r="AA366" i="6"/>
  <c r="AA361" i="6"/>
  <c r="AA348" i="6"/>
  <c r="AA362" i="6"/>
  <c r="AA349" i="6"/>
  <c r="AA350" i="6"/>
  <c r="AA351" i="6"/>
  <c r="AA352" i="6"/>
  <c r="AA353" i="6"/>
  <c r="AA354" i="6"/>
  <c r="AA355" i="6"/>
  <c r="AA363" i="6"/>
  <c r="AA364" i="6"/>
  <c r="AA365" i="6"/>
  <c r="AA367" i="6"/>
  <c r="AA368" i="6"/>
  <c r="AA369" i="6"/>
  <c r="AA357" i="6"/>
  <c r="AA358" i="6"/>
  <c r="AA359" i="6"/>
  <c r="AA360" i="6"/>
  <c r="AA380" i="6"/>
  <c r="AA370" i="6"/>
  <c r="AA371" i="6"/>
  <c r="AA372" i="6"/>
  <c r="AA373" i="6"/>
  <c r="AA374" i="6"/>
  <c r="AA375" i="6"/>
  <c r="AA376" i="6"/>
  <c r="AA377" i="6"/>
  <c r="AA378" i="6"/>
  <c r="AA379" i="6"/>
  <c r="AA383" i="6"/>
  <c r="AA386" i="6"/>
  <c r="AA382" i="6"/>
  <c r="AA385" i="6"/>
  <c r="AA384" i="6"/>
  <c r="AA410" i="6"/>
  <c r="AA388" i="6"/>
  <c r="AA409" i="6"/>
  <c r="AA408" i="6"/>
  <c r="AA391" i="6"/>
  <c r="AA392" i="6"/>
  <c r="AA393" i="6"/>
  <c r="AA394" i="6"/>
  <c r="AA395" i="6"/>
  <c r="AA390" i="6"/>
  <c r="AA406" i="6"/>
  <c r="AA396" i="6"/>
  <c r="AA397" i="6"/>
  <c r="AA398" i="6"/>
  <c r="AA399" i="6"/>
  <c r="AA400" i="6"/>
  <c r="AA401" i="6"/>
  <c r="AA387" i="6"/>
  <c r="AA407" i="6"/>
  <c r="AA402" i="6"/>
  <c r="AA389" i="6"/>
  <c r="AA411" i="6"/>
  <c r="AA403" i="6"/>
  <c r="AA404" i="6"/>
  <c r="AA405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1" i="6"/>
  <c r="Z307" i="6"/>
  <c r="Z299" i="6"/>
  <c r="Z300" i="6"/>
  <c r="Z302" i="6"/>
  <c r="Z303" i="6"/>
  <c r="Z304" i="6"/>
  <c r="Z305" i="6"/>
  <c r="Z306" i="6"/>
  <c r="Z308" i="6"/>
  <c r="Z309" i="6"/>
  <c r="Z310" i="6"/>
  <c r="Z311" i="6"/>
  <c r="Z312" i="6"/>
  <c r="Z313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6" i="6"/>
  <c r="Z342" i="6"/>
  <c r="Z343" i="6"/>
  <c r="Z347" i="6"/>
  <c r="Z344" i="6"/>
  <c r="Z345" i="6"/>
  <c r="Z356" i="6"/>
  <c r="Z366" i="6"/>
  <c r="Z361" i="6"/>
  <c r="Z348" i="6"/>
  <c r="Z362" i="6"/>
  <c r="Z349" i="6"/>
  <c r="Z350" i="6"/>
  <c r="Z351" i="6"/>
  <c r="Z352" i="6"/>
  <c r="Z353" i="6"/>
  <c r="Z354" i="6"/>
  <c r="Z355" i="6"/>
  <c r="Z363" i="6"/>
  <c r="Z364" i="6"/>
  <c r="Z365" i="6"/>
  <c r="Z367" i="6"/>
  <c r="Z368" i="6"/>
  <c r="Z369" i="6"/>
  <c r="Z357" i="6"/>
  <c r="Z358" i="6"/>
  <c r="Z359" i="6"/>
  <c r="Z360" i="6"/>
  <c r="Z380" i="6"/>
  <c r="Z370" i="6"/>
  <c r="Z371" i="6"/>
  <c r="Z372" i="6"/>
  <c r="Z373" i="6"/>
  <c r="Z374" i="6"/>
  <c r="Z375" i="6"/>
  <c r="Z376" i="6"/>
  <c r="Z377" i="6"/>
  <c r="Z378" i="6"/>
  <c r="Z379" i="6"/>
  <c r="Z383" i="6"/>
  <c r="Z386" i="6"/>
  <c r="Z382" i="6"/>
  <c r="Z385" i="6"/>
  <c r="Z384" i="6"/>
  <c r="Z410" i="6"/>
  <c r="Z388" i="6"/>
  <c r="Z409" i="6"/>
  <c r="Z408" i="6"/>
  <c r="Z391" i="6"/>
  <c r="Z392" i="6"/>
  <c r="Z393" i="6"/>
  <c r="Z394" i="6"/>
  <c r="Z395" i="6"/>
  <c r="Z390" i="6"/>
  <c r="Z406" i="6"/>
  <c r="Z396" i="6"/>
  <c r="Z397" i="6"/>
  <c r="Z398" i="6"/>
  <c r="Z399" i="6"/>
  <c r="Z400" i="6"/>
  <c r="Z401" i="6"/>
  <c r="Z387" i="6"/>
  <c r="Z407" i="6"/>
  <c r="Z402" i="6"/>
  <c r="Z389" i="6"/>
  <c r="Z411" i="6"/>
  <c r="Z403" i="6"/>
  <c r="Z404" i="6"/>
  <c r="Z405" i="6"/>
  <c r="Z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4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8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7" i="5"/>
  <c r="AO56" i="5"/>
  <c r="AO396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4" i="5"/>
  <c r="AO391" i="5"/>
  <c r="AO392" i="5"/>
  <c r="AO393" i="5"/>
  <c r="AO394" i="5"/>
  <c r="AO395" i="5"/>
  <c r="AO398" i="5"/>
  <c r="AO399" i="5"/>
  <c r="AO400" i="5"/>
  <c r="AO401" i="5"/>
  <c r="AO402" i="5"/>
  <c r="AO403" i="5"/>
  <c r="AO406" i="5"/>
  <c r="AO409" i="5"/>
  <c r="AO410" i="5"/>
  <c r="AO411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7" i="5"/>
  <c r="AO334" i="5"/>
  <c r="AO344" i="5"/>
  <c r="AO345" i="5"/>
  <c r="AO330" i="5"/>
  <c r="AO342" i="5"/>
  <c r="AO318" i="5"/>
  <c r="AO319" i="5"/>
  <c r="AO336" i="5"/>
  <c r="AO340" i="5"/>
  <c r="AO338" i="5"/>
  <c r="AO339" i="5"/>
  <c r="AO316" i="5"/>
  <c r="AO328" i="5"/>
  <c r="AO317" i="5"/>
  <c r="AO321" i="5"/>
  <c r="AO332" i="5"/>
  <c r="AO322" i="5"/>
  <c r="AO326" i="5"/>
  <c r="AO320" i="5"/>
  <c r="AO323" i="5"/>
  <c r="AO337" i="5"/>
  <c r="AO327" i="5"/>
  <c r="AO331" i="5"/>
  <c r="AO341" i="5"/>
  <c r="AO329" i="5"/>
  <c r="AO324" i="5"/>
  <c r="AO333" i="5"/>
  <c r="AO335" i="5"/>
  <c r="AO325" i="5"/>
  <c r="AO299" i="5"/>
  <c r="AO300" i="5"/>
  <c r="AO301" i="5"/>
  <c r="AO302" i="5"/>
  <c r="AO315" i="5"/>
  <c r="AO382" i="5"/>
  <c r="AO386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6" i="5"/>
  <c r="AO343" i="5"/>
  <c r="AO310" i="5"/>
  <c r="AO307" i="5"/>
  <c r="AO311" i="5"/>
  <c r="AO306" i="5"/>
  <c r="AO309" i="5"/>
  <c r="AO308" i="5"/>
  <c r="AO305" i="5"/>
  <c r="AO312" i="5"/>
  <c r="AO313" i="5"/>
  <c r="AO304" i="5"/>
  <c r="AO314" i="5"/>
  <c r="AO351" i="5"/>
  <c r="AO356" i="5"/>
  <c r="AO366" i="5"/>
  <c r="AO385" i="5"/>
  <c r="AO349" i="5"/>
  <c r="AO358" i="5"/>
  <c r="AO357" i="5"/>
  <c r="AO369" i="5"/>
  <c r="AO367" i="5"/>
  <c r="AO368" i="5"/>
  <c r="AO352" i="5"/>
  <c r="AO353" i="5"/>
  <c r="AO355" i="5"/>
  <c r="AO354" i="5"/>
  <c r="AO348" i="5"/>
  <c r="AO364" i="5"/>
  <c r="AO361" i="5"/>
  <c r="AO363" i="5"/>
  <c r="AO365" i="5"/>
  <c r="AO362" i="5"/>
  <c r="AO360" i="5"/>
  <c r="AO359" i="5"/>
  <c r="AO350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7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5" i="5"/>
  <c r="AO166" i="5"/>
  <c r="AO24" i="5"/>
  <c r="AO207" i="5"/>
  <c r="AO271" i="5"/>
  <c r="AO6" i="5"/>
  <c r="AO153" i="5"/>
  <c r="AO151" i="5"/>
  <c r="AO390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9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3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7" i="5"/>
  <c r="AO370" i="5"/>
  <c r="AO378" i="5"/>
  <c r="AO377" i="5"/>
  <c r="AO372" i="5"/>
  <c r="AO375" i="5"/>
  <c r="AO380" i="5"/>
  <c r="AO379" i="5"/>
  <c r="AO371" i="5"/>
  <c r="AO374" i="5"/>
  <c r="AO373" i="5"/>
  <c r="AO376" i="5"/>
  <c r="AO270" i="5"/>
  <c r="AO408" i="5"/>
  <c r="AO297" i="5"/>
  <c r="AO30" i="5"/>
  <c r="C2" i="7"/>
  <c r="AZ156" i="1"/>
  <c r="BA156" i="1"/>
  <c r="BB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8" i="1"/>
  <c r="BA76" i="1"/>
  <c r="BA75" i="1"/>
  <c r="BA118" i="1"/>
  <c r="BA116" i="1"/>
  <c r="BA120" i="1"/>
  <c r="BA121" i="1"/>
  <c r="BA122" i="1"/>
  <c r="BA123" i="1"/>
  <c r="BA232" i="1"/>
  <c r="BA243" i="1"/>
  <c r="BA244" i="1"/>
  <c r="BA307" i="1"/>
  <c r="BA3" i="1"/>
  <c r="BA4" i="1"/>
  <c r="BA10" i="1"/>
  <c r="BA12" i="1"/>
  <c r="BA11" i="1"/>
  <c r="BA13" i="1"/>
  <c r="BA27" i="1"/>
  <c r="BA37" i="1"/>
  <c r="BA35" i="1"/>
  <c r="BA40" i="1"/>
  <c r="BA44" i="1"/>
  <c r="BA45" i="1"/>
  <c r="BA46" i="1"/>
  <c r="BA47" i="1"/>
  <c r="BA36" i="1"/>
  <c r="BA42" i="1"/>
  <c r="BA32" i="1"/>
  <c r="BA33" i="1"/>
  <c r="BA34" i="1"/>
  <c r="BA39" i="1"/>
  <c r="BA41" i="1"/>
  <c r="BA43" i="1"/>
  <c r="BA38" i="1"/>
  <c r="BA31" i="1"/>
  <c r="BA30" i="1"/>
  <c r="BA70" i="1"/>
  <c r="BA71" i="1"/>
  <c r="BA73" i="1"/>
  <c r="BA74" i="1"/>
  <c r="BA83" i="1"/>
  <c r="BA84" i="1"/>
  <c r="BA85" i="1"/>
  <c r="BA87" i="1"/>
  <c r="BA88" i="1"/>
  <c r="BA89" i="1"/>
  <c r="BA90" i="1"/>
  <c r="BA91" i="1"/>
  <c r="BA92" i="1"/>
  <c r="BA93" i="1"/>
  <c r="BA96" i="1"/>
  <c r="BA97" i="1"/>
  <c r="BA99" i="1"/>
  <c r="BA100" i="1"/>
  <c r="BA95" i="1"/>
  <c r="BA102" i="1"/>
  <c r="BA98" i="1"/>
  <c r="BA94" i="1"/>
  <c r="BA103" i="1"/>
  <c r="BA101" i="1"/>
  <c r="BA110" i="1"/>
  <c r="BA125" i="1"/>
  <c r="BA117" i="1"/>
  <c r="BA111" i="1"/>
  <c r="BA124" i="1"/>
  <c r="BA112" i="1"/>
  <c r="BA113" i="1"/>
  <c r="BA114" i="1"/>
  <c r="BA115" i="1"/>
  <c r="BA129" i="1"/>
  <c r="BA131" i="1"/>
  <c r="BA132" i="1"/>
  <c r="BA130" i="1"/>
  <c r="BA145" i="1"/>
  <c r="BA146" i="1"/>
  <c r="BA149" i="1"/>
  <c r="BA150" i="1"/>
  <c r="BA157" i="1"/>
  <c r="BA159" i="1"/>
  <c r="BA160" i="1"/>
  <c r="BA161" i="1"/>
  <c r="BA320" i="1"/>
  <c r="BA324" i="1"/>
  <c r="BA323" i="1"/>
  <c r="BA322" i="1"/>
  <c r="BA321" i="1"/>
  <c r="BA167" i="1"/>
  <c r="BA168" i="1"/>
  <c r="BA170" i="1"/>
  <c r="BA169" i="1"/>
  <c r="BA173" i="1"/>
  <c r="BA174" i="1"/>
  <c r="BA180" i="1"/>
  <c r="BA179" i="1"/>
  <c r="BA178" i="1"/>
  <c r="BA185" i="1"/>
  <c r="BA186" i="1"/>
  <c r="BA325" i="1"/>
  <c r="BA327" i="1"/>
  <c r="BA326" i="1"/>
  <c r="BA328" i="1"/>
  <c r="BA344" i="1"/>
  <c r="BA345" i="1"/>
  <c r="BA346" i="1"/>
  <c r="BA347" i="1"/>
  <c r="BA348" i="1"/>
  <c r="BA349" i="1"/>
  <c r="BA190" i="1"/>
  <c r="BA191" i="1"/>
  <c r="BA192" i="1"/>
  <c r="BA193" i="1"/>
  <c r="BA194" i="1"/>
  <c r="BA195" i="1"/>
  <c r="BA216" i="1"/>
  <c r="BA217" i="1"/>
  <c r="BA220" i="1"/>
  <c r="BA219" i="1"/>
  <c r="BA218" i="1"/>
  <c r="BA222" i="1"/>
  <c r="BA223" i="1"/>
  <c r="BA224" i="1"/>
  <c r="BA225" i="1"/>
  <c r="BA226" i="1"/>
  <c r="BA227" i="1"/>
  <c r="BA228" i="1"/>
  <c r="BA230" i="1"/>
  <c r="BA231" i="1"/>
  <c r="BA235" i="1"/>
  <c r="BA237" i="1"/>
  <c r="BA236" i="1"/>
  <c r="BA238" i="1"/>
  <c r="BA239" i="1"/>
  <c r="BA246" i="1"/>
  <c r="BA247" i="1"/>
  <c r="BA248" i="1"/>
  <c r="BA240" i="1"/>
  <c r="BA241" i="1"/>
  <c r="BA261" i="1"/>
  <c r="BA262" i="1"/>
  <c r="BA266" i="1"/>
  <c r="BA267" i="1"/>
  <c r="BA268" i="1"/>
  <c r="BA269" i="1"/>
  <c r="BA270" i="1"/>
  <c r="BA271" i="1"/>
  <c r="BA272" i="1"/>
  <c r="BA275" i="1"/>
  <c r="BA277" i="1"/>
  <c r="BA276" i="1"/>
  <c r="BA278" i="1"/>
  <c r="BA279" i="1"/>
  <c r="BA280" i="1"/>
  <c r="BA281" i="1"/>
  <c r="BA282" i="1"/>
  <c r="BA283" i="1"/>
  <c r="BA304" i="1"/>
  <c r="BA305" i="1"/>
  <c r="BA356" i="1"/>
  <c r="BA358" i="1"/>
  <c r="BA357" i="1"/>
  <c r="BA360" i="1"/>
  <c r="BA361" i="1"/>
  <c r="BA362" i="1"/>
  <c r="BA363" i="1"/>
  <c r="BA359" i="1"/>
  <c r="BA306" i="1"/>
  <c r="BA29" i="1"/>
  <c r="AZ29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146" i="1"/>
  <c r="BB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BC146" i="1"/>
  <c r="CT146" i="1"/>
  <c r="CT145" i="1"/>
  <c r="CS145" i="1"/>
  <c r="CR145" i="1"/>
  <c r="CQ145" i="1"/>
  <c r="CP145" i="1"/>
  <c r="CO145" i="1"/>
  <c r="CN145" i="1"/>
  <c r="CM145" i="1"/>
  <c r="CL145" i="1"/>
  <c r="CK145" i="1"/>
  <c r="CJ145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C145" i="1"/>
  <c r="BB145" i="1"/>
  <c r="AZ145" i="1"/>
  <c r="BB244" i="1"/>
  <c r="BB4" i="1"/>
  <c r="BB13" i="1"/>
  <c r="BB241" i="1"/>
  <c r="BB243" i="1"/>
  <c r="BB246" i="1"/>
  <c r="BB247" i="1"/>
  <c r="BB248" i="1"/>
  <c r="BB261" i="1"/>
  <c r="BB42" i="1"/>
  <c r="BB43" i="1"/>
  <c r="BB44" i="1"/>
  <c r="BB45" i="1"/>
  <c r="BB46" i="1"/>
  <c r="BB47" i="1"/>
  <c r="BB70" i="1"/>
  <c r="BB71" i="1"/>
  <c r="BB73" i="1"/>
  <c r="BB74" i="1"/>
  <c r="BB75" i="1"/>
  <c r="BB76" i="1"/>
  <c r="BB83" i="1"/>
  <c r="BB84" i="1"/>
  <c r="BB85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10" i="1"/>
  <c r="BB111" i="1"/>
  <c r="BB112" i="1"/>
  <c r="BB113" i="1"/>
  <c r="BB114" i="1"/>
  <c r="BB115" i="1"/>
  <c r="BB116" i="1"/>
  <c r="BB117" i="1"/>
  <c r="BB118" i="1"/>
  <c r="BB120" i="1"/>
  <c r="BB121" i="1"/>
  <c r="BB122" i="1"/>
  <c r="BB123" i="1"/>
  <c r="BB124" i="1"/>
  <c r="BB125" i="1"/>
  <c r="BB129" i="1"/>
  <c r="BB130" i="1"/>
  <c r="BB131" i="1"/>
  <c r="BB132" i="1"/>
  <c r="BB149" i="1"/>
  <c r="BB150" i="1"/>
  <c r="BB157" i="1"/>
  <c r="BB159" i="1"/>
  <c r="BB160" i="1"/>
  <c r="BB161" i="1"/>
  <c r="BB320" i="1"/>
  <c r="BB321" i="1"/>
  <c r="BB322" i="1"/>
  <c r="BB323" i="1"/>
  <c r="BB324" i="1"/>
  <c r="BB167" i="1"/>
  <c r="BB168" i="1"/>
  <c r="BB169" i="1"/>
  <c r="BB170" i="1"/>
  <c r="BB173" i="1"/>
  <c r="BB174" i="1"/>
  <c r="BB178" i="1"/>
  <c r="BB179" i="1"/>
  <c r="BB180" i="1"/>
  <c r="BB185" i="1"/>
  <c r="BB186" i="1"/>
  <c r="BB325" i="1"/>
  <c r="BB326" i="1"/>
  <c r="BB327" i="1"/>
  <c r="BB328" i="1"/>
  <c r="BB344" i="1"/>
  <c r="BB345" i="1"/>
  <c r="BB346" i="1"/>
  <c r="BB347" i="1"/>
  <c r="BB348" i="1"/>
  <c r="BB349" i="1"/>
  <c r="BB190" i="1"/>
  <c r="BB191" i="1"/>
  <c r="BB192" i="1"/>
  <c r="BB193" i="1"/>
  <c r="BB194" i="1"/>
  <c r="BB195" i="1"/>
  <c r="BB216" i="1"/>
  <c r="BB217" i="1"/>
  <c r="BB218" i="1"/>
  <c r="BB219" i="1"/>
  <c r="BB220" i="1"/>
  <c r="BB222" i="1"/>
  <c r="BB223" i="1"/>
  <c r="BB224" i="1"/>
  <c r="BB225" i="1"/>
  <c r="BB226" i="1"/>
  <c r="BB227" i="1"/>
  <c r="BB228" i="1"/>
  <c r="BB230" i="1"/>
  <c r="BB231" i="1"/>
  <c r="BB232" i="1"/>
  <c r="BB235" i="1"/>
  <c r="BB236" i="1"/>
  <c r="BB237" i="1"/>
  <c r="BB238" i="1"/>
  <c r="BB239" i="1"/>
  <c r="BB240" i="1"/>
  <c r="BB39" i="1"/>
  <c r="BB40" i="1"/>
  <c r="BB41" i="1"/>
  <c r="AZ39" i="1"/>
  <c r="AZ243" i="1"/>
  <c r="AZ244" i="1"/>
  <c r="AZ246" i="1"/>
  <c r="AZ247" i="1"/>
  <c r="AZ248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T2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BC180" i="1"/>
  <c r="BC179" i="1"/>
  <c r="BC38" i="1"/>
  <c r="BC103" i="1"/>
  <c r="BC248" i="1"/>
  <c r="BC328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151" i="4"/>
  <c r="AF128" i="4"/>
  <c r="AF157" i="4"/>
  <c r="AF88" i="4"/>
  <c r="AF287" i="4"/>
  <c r="AF159" i="4"/>
  <c r="AF160" i="4"/>
  <c r="AF97" i="4"/>
  <c r="AF3" i="4"/>
  <c r="AF277" i="4"/>
  <c r="AF265" i="4"/>
  <c r="AF125" i="4"/>
  <c r="AF174" i="4"/>
  <c r="AF169" i="4"/>
  <c r="AF171" i="4"/>
  <c r="AF172" i="4"/>
  <c r="AF298" i="4"/>
  <c r="AF74" i="4"/>
  <c r="AF45" i="4"/>
  <c r="AF170" i="4"/>
  <c r="AF207" i="4"/>
  <c r="AF208" i="4"/>
  <c r="AF136" i="4"/>
  <c r="AF75" i="4"/>
  <c r="AF175" i="4"/>
  <c r="AF173" i="4"/>
  <c r="AF182" i="4"/>
  <c r="AF200" i="4"/>
  <c r="AF201" i="4"/>
  <c r="AF72" i="4"/>
  <c r="AF126" i="4"/>
  <c r="AF217" i="4"/>
  <c r="AF216" i="4"/>
  <c r="AF269" i="4"/>
  <c r="AF270" i="4"/>
  <c r="AF116" i="4"/>
  <c r="AF183" i="4"/>
  <c r="AF85" i="4"/>
  <c r="AF86" i="4"/>
  <c r="AF118" i="4"/>
  <c r="AF117" i="4"/>
  <c r="AF249" i="4"/>
  <c r="AF258" i="4"/>
  <c r="AF235" i="4"/>
  <c r="AF178" i="4"/>
  <c r="AF91" i="4"/>
  <c r="AF96" i="4"/>
  <c r="AF90" i="4"/>
  <c r="AF185" i="4"/>
  <c r="AF184" i="4"/>
  <c r="AF127" i="4"/>
  <c r="AF95" i="4"/>
  <c r="AF155" i="4"/>
  <c r="AF109" i="4"/>
  <c r="AF156" i="4"/>
  <c r="AF49" i="4"/>
  <c r="AF50" i="4"/>
  <c r="AF115" i="4"/>
  <c r="AF47" i="4"/>
  <c r="AF92" i="4"/>
  <c r="AF93" i="4"/>
  <c r="AF26" i="4"/>
  <c r="AF130" i="4"/>
  <c r="AF132" i="4"/>
  <c r="AF133" i="4"/>
  <c r="AF204" i="4"/>
  <c r="AF5" i="4"/>
  <c r="AF6" i="4"/>
  <c r="AF4" i="4"/>
  <c r="AF129" i="4"/>
  <c r="AF253" i="4"/>
  <c r="AF233" i="4"/>
  <c r="AF247" i="4"/>
  <c r="AF120" i="4"/>
  <c r="AF2" i="4"/>
  <c r="AF273" i="4"/>
  <c r="AF295" i="4"/>
  <c r="AF271" i="4"/>
  <c r="AF241" i="4"/>
  <c r="AF244" i="4"/>
  <c r="AF263" i="4"/>
  <c r="AF239" i="4"/>
  <c r="AF14" i="4"/>
  <c r="AF59" i="4"/>
  <c r="AF290" i="4"/>
  <c r="AF291" i="4"/>
  <c r="AF27" i="4"/>
  <c r="AF65" i="4"/>
  <c r="AF274" i="4"/>
  <c r="AF153" i="4"/>
  <c r="AF203" i="4"/>
  <c r="AF98" i="4"/>
  <c r="AF238" i="4"/>
  <c r="AF240" i="4"/>
  <c r="AF142" i="4"/>
  <c r="AF144" i="4"/>
  <c r="AF285" i="4"/>
  <c r="AF138" i="4"/>
  <c r="AF143" i="4"/>
  <c r="AF281" i="4"/>
  <c r="AF256" i="4"/>
  <c r="AF145" i="4"/>
  <c r="AF113" i="4"/>
  <c r="AF213" i="4"/>
  <c r="AF190" i="4"/>
  <c r="AF255" i="4"/>
  <c r="AF28" i="4"/>
  <c r="AF73" i="4"/>
  <c r="AF187" i="4"/>
  <c r="AF210" i="4"/>
  <c r="AF250" i="4"/>
  <c r="AF77" i="4"/>
  <c r="AF25" i="4"/>
  <c r="AF186" i="4"/>
  <c r="AF9" i="4"/>
  <c r="AF278" i="4"/>
  <c r="AF284" i="4"/>
  <c r="AF8" i="4"/>
  <c r="AF296" i="4"/>
  <c r="AF251" i="4"/>
  <c r="AF252" i="4"/>
  <c r="AF279" i="4"/>
  <c r="AF280" i="4"/>
  <c r="AF196" i="4"/>
  <c r="AF218" i="4"/>
  <c r="AF228" i="4"/>
  <c r="AF297" i="4"/>
  <c r="AF294" i="4"/>
  <c r="AF246" i="4"/>
  <c r="AF248" i="4"/>
  <c r="AF194" i="4"/>
  <c r="AF141" i="4"/>
  <c r="AF191" i="4"/>
  <c r="AF230" i="4"/>
  <c r="AF237" i="4"/>
  <c r="AF222" i="4"/>
  <c r="AF231" i="4"/>
  <c r="AF122" i="4"/>
  <c r="AF229" i="4"/>
  <c r="AF261" i="4"/>
  <c r="AF236" i="4"/>
  <c r="AF289" i="4"/>
  <c r="AF223" i="4"/>
  <c r="AF111" i="4"/>
  <c r="AF123" i="4"/>
  <c r="AF124" i="4"/>
  <c r="AF211" i="4"/>
  <c r="AF165" i="4"/>
  <c r="AF166" i="4"/>
  <c r="AF167" i="4"/>
  <c r="AF80" i="4"/>
  <c r="AF52" i="4"/>
  <c r="AF54" i="4"/>
  <c r="AF202" i="4"/>
  <c r="AF193" i="4"/>
  <c r="AF112" i="4"/>
  <c r="AF215" i="4"/>
  <c r="AF53" i="4"/>
  <c r="AF89" i="4"/>
  <c r="AF51" i="4"/>
  <c r="AF55" i="4"/>
  <c r="AF57" i="4"/>
  <c r="AF20" i="4"/>
  <c r="AF101" i="4"/>
  <c r="AF44" i="4"/>
  <c r="AF99" i="4"/>
  <c r="AF70" i="4"/>
  <c r="AF181" i="4"/>
  <c r="AF63" i="4"/>
  <c r="AF61" i="4"/>
  <c r="AF62" i="4"/>
  <c r="AF11" i="4"/>
  <c r="AF38" i="4"/>
  <c r="AF104" i="4"/>
  <c r="AF29" i="4"/>
  <c r="AF58" i="4"/>
  <c r="AF154" i="4"/>
  <c r="AF102" i="4"/>
  <c r="AF15" i="4"/>
  <c r="AF106" i="4"/>
  <c r="AF108" i="4"/>
  <c r="AF37" i="4"/>
  <c r="AF34" i="4"/>
  <c r="AF188" i="4"/>
  <c r="AF24" i="4"/>
  <c r="AF220" i="4"/>
  <c r="AF212" i="4"/>
  <c r="AF195" i="4"/>
  <c r="AF209" i="4"/>
  <c r="AF7" i="4"/>
  <c r="AF179" i="4"/>
  <c r="AF192" i="4"/>
  <c r="AF189" i="4"/>
  <c r="AF69" i="4"/>
  <c r="AF56" i="4"/>
  <c r="AF60" i="4"/>
  <c r="AF131" i="4"/>
  <c r="AF264" i="4"/>
  <c r="AF199" i="4"/>
  <c r="AF219" i="4"/>
  <c r="AF168" i="4"/>
  <c r="AF21" i="4"/>
  <c r="AF43" i="4"/>
  <c r="AF150" i="4"/>
  <c r="AF180" i="4"/>
  <c r="AF121" i="4"/>
  <c r="AF10" i="4"/>
  <c r="AF260" i="4"/>
  <c r="AF13" i="4"/>
  <c r="AF107" i="4"/>
  <c r="AF221" i="4"/>
  <c r="AF254" i="4"/>
  <c r="AF23" i="4"/>
  <c r="AF206" i="4"/>
  <c r="AF71" i="4"/>
  <c r="AF79" i="4"/>
  <c r="AF205" i="4"/>
  <c r="AF31" i="4"/>
  <c r="AF148" i="4"/>
  <c r="AF146" i="4"/>
  <c r="AF147" i="4"/>
  <c r="AF42" i="4"/>
  <c r="AF224" i="4"/>
  <c r="AF225" i="4"/>
  <c r="AF78" i="4"/>
  <c r="AF227" i="4"/>
  <c r="AF18" i="4"/>
  <c r="AF286" i="4"/>
  <c r="AF114" i="4"/>
  <c r="AF293" i="4"/>
  <c r="AF12" i="4"/>
  <c r="AF19" i="4"/>
  <c r="AF162" i="4"/>
  <c r="AF48" i="4"/>
  <c r="AF275" i="4"/>
  <c r="AF149" i="4"/>
  <c r="AF163" i="4"/>
  <c r="AF164" i="4"/>
  <c r="AF161" i="4"/>
  <c r="AF198" i="4"/>
  <c r="AF82" i="4"/>
  <c r="AF83" i="4"/>
  <c r="AF84" i="4"/>
  <c r="AF68" i="4"/>
  <c r="AF87" i="4"/>
  <c r="AF100" i="4"/>
  <c r="AF17" i="4"/>
  <c r="AF242" i="4"/>
  <c r="AF272" i="4"/>
  <c r="AF105" i="4"/>
  <c r="AF64" i="4"/>
  <c r="AF176" i="4"/>
  <c r="AF139" i="4"/>
  <c r="AF140" i="4"/>
  <c r="AF177" i="4"/>
  <c r="AF137" i="4"/>
  <c r="AF16" i="4"/>
  <c r="AF292" i="4"/>
  <c r="AF197" i="4"/>
  <c r="AF234" i="4"/>
  <c r="AF259" i="4"/>
  <c r="AF40" i="4"/>
  <c r="AF39" i="4"/>
  <c r="AF103" i="4"/>
  <c r="AF32" i="4"/>
  <c r="AF33" i="4"/>
  <c r="AF36" i="4"/>
  <c r="AF46" i="4"/>
  <c r="AF35" i="4"/>
  <c r="AF276" i="4"/>
  <c r="AF94" i="4"/>
  <c r="AF119" i="4"/>
  <c r="AF226" i="4"/>
  <c r="AF245" i="4"/>
  <c r="AF266" i="4"/>
  <c r="AF110" i="4"/>
  <c r="AF152" i="4"/>
  <c r="AF158" i="4"/>
  <c r="AF41" i="4"/>
  <c r="AF257" i="4"/>
  <c r="AF30" i="4"/>
  <c r="AF81" i="4"/>
  <c r="AF76" i="4"/>
  <c r="AF22" i="4"/>
  <c r="AF267" i="4"/>
  <c r="AF134" i="4"/>
  <c r="AF135" i="4"/>
  <c r="AF243" i="4"/>
  <c r="AF268" i="4"/>
  <c r="AF66" i="4"/>
  <c r="AF283" i="4"/>
  <c r="AF214" i="4"/>
  <c r="AF303" i="4"/>
  <c r="AF307" i="4"/>
  <c r="AF304" i="4"/>
  <c r="AF305" i="4"/>
  <c r="AF300" i="4"/>
  <c r="AF301" i="4"/>
  <c r="AF299" i="4"/>
  <c r="AF302" i="4"/>
  <c r="AF310" i="4"/>
  <c r="AF311" i="4"/>
  <c r="AF312" i="4"/>
  <c r="AF308" i="4"/>
  <c r="AF314" i="4"/>
  <c r="AF306" i="4"/>
  <c r="AF313" i="4"/>
  <c r="AF341" i="4"/>
  <c r="AF335" i="4"/>
  <c r="AF336" i="4"/>
  <c r="AF333" i="4"/>
  <c r="AF331" i="4"/>
  <c r="AF332" i="4"/>
  <c r="AF318" i="4"/>
  <c r="AF326" i="4"/>
  <c r="AF327" i="4"/>
  <c r="AF328" i="4"/>
  <c r="AF329" i="4"/>
  <c r="AF315" i="4"/>
  <c r="AF334" i="4"/>
  <c r="AF330" i="4"/>
  <c r="AF342" i="4"/>
  <c r="AF323" i="4"/>
  <c r="AF322" i="4"/>
  <c r="AF325" i="4"/>
  <c r="AF317" i="4"/>
  <c r="AF324" i="4"/>
  <c r="AF346" i="4"/>
  <c r="AF338" i="4"/>
  <c r="AF339" i="4"/>
  <c r="AF337" i="4"/>
  <c r="AF316" i="4"/>
  <c r="AF340" i="4"/>
  <c r="AF319" i="4"/>
  <c r="AF320" i="4"/>
  <c r="AF321" i="4"/>
  <c r="AF347" i="4"/>
  <c r="AF345" i="4"/>
  <c r="AF343" i="4"/>
  <c r="AF344" i="4"/>
  <c r="AF361" i="4"/>
  <c r="AF362" i="4"/>
  <c r="AF368" i="4"/>
  <c r="AF363" i="4"/>
  <c r="AF369" i="4"/>
  <c r="AF360" i="4"/>
  <c r="AF357" i="4"/>
  <c r="AF351" i="4"/>
  <c r="AF355" i="4"/>
  <c r="AF350" i="4"/>
  <c r="AF358" i="4"/>
  <c r="AF359" i="4"/>
  <c r="AF364" i="4"/>
  <c r="AF365" i="4"/>
  <c r="AF366" i="4"/>
  <c r="AF367" i="4"/>
  <c r="AF356" i="4"/>
  <c r="AF352" i="4"/>
  <c r="AF353" i="4"/>
  <c r="AF354" i="4"/>
  <c r="AF348" i="4"/>
  <c r="AF349" i="4"/>
  <c r="AF371" i="4"/>
  <c r="AF377" i="4"/>
  <c r="AF378" i="4"/>
  <c r="AF379" i="4"/>
  <c r="AF373" i="4"/>
  <c r="AF370" i="4"/>
  <c r="AF376" i="4"/>
  <c r="AF374" i="4"/>
  <c r="AF375" i="4"/>
  <c r="AF372" i="4"/>
  <c r="AF381" i="4"/>
  <c r="AF386" i="4"/>
  <c r="AF383" i="4"/>
  <c r="AF385" i="4"/>
  <c r="AF382" i="4"/>
  <c r="AF384" i="4"/>
  <c r="AF390" i="4"/>
  <c r="AF395" i="4"/>
  <c r="AF408" i="4"/>
  <c r="AF397" i="4"/>
  <c r="AF398" i="4"/>
  <c r="AF399" i="4"/>
  <c r="AF400" i="4"/>
  <c r="AF403" i="4"/>
  <c r="AF404" i="4"/>
  <c r="AF405" i="4"/>
  <c r="AF407" i="4"/>
  <c r="AF387" i="4"/>
  <c r="AF389" i="4"/>
  <c r="AF396" i="4"/>
  <c r="AF388" i="4"/>
  <c r="AF391" i="4"/>
  <c r="AF392" i="4"/>
  <c r="AF393" i="4"/>
  <c r="AF402" i="4"/>
  <c r="AF394" i="4"/>
  <c r="AF406" i="4"/>
  <c r="AF409" i="4"/>
  <c r="AF410" i="4"/>
  <c r="AF411" i="4"/>
  <c r="AF401" i="4"/>
  <c r="AF288" i="4"/>
  <c r="AE245" i="4"/>
  <c r="BC118" i="5"/>
  <c r="B8" i="3"/>
  <c r="C8" i="3"/>
  <c r="E8" i="3"/>
  <c r="B9" i="3"/>
  <c r="C9" i="3"/>
  <c r="E9" i="3"/>
  <c r="I9" i="3"/>
  <c r="J9" i="3"/>
  <c r="G2" i="2"/>
  <c r="K2" i="2"/>
  <c r="T2" i="2"/>
  <c r="U2" i="2"/>
  <c r="V2" i="2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4" i="6"/>
  <c r="D305" i="6"/>
  <c r="D306" i="6"/>
  <c r="D307" i="6"/>
  <c r="D300" i="6"/>
  <c r="D301" i="6"/>
  <c r="D302" i="6"/>
  <c r="D313" i="6"/>
  <c r="D299" i="6"/>
  <c r="D303" i="6"/>
  <c r="D312" i="6"/>
  <c r="D308" i="6"/>
  <c r="D309" i="6"/>
  <c r="D310" i="6"/>
  <c r="D311" i="6"/>
  <c r="D327" i="6"/>
  <c r="D328" i="6"/>
  <c r="D329" i="6"/>
  <c r="D315" i="6"/>
  <c r="D316" i="6"/>
  <c r="D317" i="6"/>
  <c r="D320" i="6"/>
  <c r="D325" i="6"/>
  <c r="D347" i="6"/>
  <c r="D326" i="6"/>
  <c r="D330" i="6"/>
  <c r="D342" i="6"/>
  <c r="D343" i="6"/>
  <c r="D318" i="6"/>
  <c r="D319" i="6"/>
  <c r="D321" i="6"/>
  <c r="D322" i="6"/>
  <c r="D323" i="6"/>
  <c r="D324" i="6"/>
  <c r="D331" i="6"/>
  <c r="D332" i="6"/>
  <c r="D333" i="6"/>
  <c r="D334" i="6"/>
  <c r="D335" i="6"/>
  <c r="D336" i="6"/>
  <c r="D337" i="6"/>
  <c r="D338" i="6"/>
  <c r="D339" i="6"/>
  <c r="D340" i="6"/>
  <c r="D341" i="6"/>
  <c r="D346" i="6"/>
  <c r="D344" i="6"/>
  <c r="D345" i="6"/>
  <c r="D350" i="6"/>
  <c r="D352" i="6"/>
  <c r="D354" i="6"/>
  <c r="D357" i="6"/>
  <c r="D361" i="6"/>
  <c r="D355" i="6"/>
  <c r="D358" i="6"/>
  <c r="D360" i="6"/>
  <c r="D351" i="6"/>
  <c r="D365" i="6"/>
  <c r="D366" i="6"/>
  <c r="D348" i="6"/>
  <c r="D362" i="6"/>
  <c r="D349" i="6"/>
  <c r="D367" i="6"/>
  <c r="D353" i="6"/>
  <c r="D356" i="6"/>
  <c r="D363" i="6"/>
  <c r="D364" i="6"/>
  <c r="D368" i="6"/>
  <c r="D369" i="6"/>
  <c r="D359" i="6"/>
  <c r="D375" i="6"/>
  <c r="D378" i="6"/>
  <c r="D370" i="6"/>
  <c r="D371" i="6"/>
  <c r="D372" i="6"/>
  <c r="D373" i="6"/>
  <c r="D374" i="6"/>
  <c r="D376" i="6"/>
  <c r="D377" i="6"/>
  <c r="D379" i="6"/>
  <c r="D380" i="6"/>
  <c r="D383" i="6"/>
  <c r="D382" i="6"/>
  <c r="D386" i="6"/>
  <c r="D385" i="6"/>
  <c r="D384" i="6"/>
  <c r="D391" i="6"/>
  <c r="D392" i="6"/>
  <c r="D393" i="6"/>
  <c r="D394" i="6"/>
  <c r="D398" i="6"/>
  <c r="D399" i="6"/>
  <c r="D400" i="6"/>
  <c r="D401" i="6"/>
  <c r="D397" i="6"/>
  <c r="D387" i="6"/>
  <c r="D389" i="6"/>
  <c r="D403" i="6"/>
  <c r="D402" i="6"/>
  <c r="D395" i="6"/>
  <c r="D396" i="6"/>
  <c r="D405" i="6"/>
  <c r="D410" i="6"/>
  <c r="D388" i="6"/>
  <c r="D409" i="6"/>
  <c r="D411" i="6"/>
  <c r="D404" i="6"/>
  <c r="D407" i="6"/>
  <c r="D390" i="6"/>
  <c r="D406" i="6"/>
  <c r="D408" i="6"/>
  <c r="D22" i="6"/>
  <c r="A171" i="8"/>
  <c r="C171" i="8"/>
  <c r="AZ157" i="1"/>
  <c r="BC157" i="1"/>
  <c r="AZ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BC161" i="1"/>
  <c r="CT161" i="1"/>
  <c r="K35" i="2"/>
  <c r="K176" i="4"/>
  <c r="K34" i="2"/>
  <c r="K32" i="2"/>
  <c r="K139" i="4"/>
  <c r="K33" i="2"/>
  <c r="K8" i="2"/>
  <c r="K16" i="2"/>
  <c r="K140" i="4"/>
  <c r="K31" i="2"/>
  <c r="K177" i="4"/>
  <c r="K137" i="4"/>
  <c r="K47" i="4"/>
  <c r="K115" i="4"/>
  <c r="AL26" i="4"/>
  <c r="AL288" i="4"/>
  <c r="AL130" i="4"/>
  <c r="AL132" i="4"/>
  <c r="AL133" i="4"/>
  <c r="AL204" i="4"/>
  <c r="AL5" i="4"/>
  <c r="AL6" i="4"/>
  <c r="AL129" i="4"/>
  <c r="AL253" i="4"/>
  <c r="AL277" i="4"/>
  <c r="AL128" i="4"/>
  <c r="AL233" i="4"/>
  <c r="AL265" i="4"/>
  <c r="AL247" i="4"/>
  <c r="AL269" i="4"/>
  <c r="AL151" i="4"/>
  <c r="AL120" i="4"/>
  <c r="AL2" i="4"/>
  <c r="AL242" i="4"/>
  <c r="AL273" i="4"/>
  <c r="AL295" i="4"/>
  <c r="AL266" i="4"/>
  <c r="AL271" i="4"/>
  <c r="AL272" i="4"/>
  <c r="AL270" i="4"/>
  <c r="AL241" i="4"/>
  <c r="AL267" i="4"/>
  <c r="AL105" i="4"/>
  <c r="AL268" i="4"/>
  <c r="AL290" i="4"/>
  <c r="AL291" i="4"/>
  <c r="AL116" i="4"/>
  <c r="AL183" i="4"/>
  <c r="AL134" i="4"/>
  <c r="AL27" i="4"/>
  <c r="AL85" i="4"/>
  <c r="AL86" i="4"/>
  <c r="AL115" i="4"/>
  <c r="AL65" i="4"/>
  <c r="AL118" i="4"/>
  <c r="AL274" i="4"/>
  <c r="AL153" i="4"/>
  <c r="AL203" i="4"/>
  <c r="AL98" i="4"/>
  <c r="AL110" i="4"/>
  <c r="AL64" i="4"/>
  <c r="AL238" i="4"/>
  <c r="AL240" i="4"/>
  <c r="AL176" i="4"/>
  <c r="AL139" i="4"/>
  <c r="AL140" i="4"/>
  <c r="AL142" i="4"/>
  <c r="AL144" i="4"/>
  <c r="AL125" i="4"/>
  <c r="AL285" i="4"/>
  <c r="AL135" i="4"/>
  <c r="AL177" i="4"/>
  <c r="AL138" i="4"/>
  <c r="AL143" i="4"/>
  <c r="AL281" i="4"/>
  <c r="AL256" i="4"/>
  <c r="AL145" i="4"/>
  <c r="AL137" i="4"/>
  <c r="AL117" i="4"/>
  <c r="AL113" i="4"/>
  <c r="AL243" i="4"/>
  <c r="AL213" i="4"/>
  <c r="AL190" i="4"/>
  <c r="AL249" i="4"/>
  <c r="AL258" i="4"/>
  <c r="AL255" i="4"/>
  <c r="AL187" i="4"/>
  <c r="AL210" i="4"/>
  <c r="AL250" i="4"/>
  <c r="AL77" i="4"/>
  <c r="AL25" i="4"/>
  <c r="AL186" i="4"/>
  <c r="AL9" i="4"/>
  <c r="AL16" i="4"/>
  <c r="AL278" i="4"/>
  <c r="AL284" i="4"/>
  <c r="AL8" i="4"/>
  <c r="AL296" i="4"/>
  <c r="AL251" i="4"/>
  <c r="AL252" i="4"/>
  <c r="AL279" i="4"/>
  <c r="AL280" i="4"/>
  <c r="AL196" i="4"/>
  <c r="AL218" i="4"/>
  <c r="AL228" i="4"/>
  <c r="AL292" i="4"/>
  <c r="AL297" i="4"/>
  <c r="AL197" i="4"/>
  <c r="AL294" i="4"/>
  <c r="AL246" i="4"/>
  <c r="AL248" i="4"/>
  <c r="AL194" i="4"/>
  <c r="AL141" i="4"/>
  <c r="AL234" i="4"/>
  <c r="AL235" i="4"/>
  <c r="AL191" i="4"/>
  <c r="AL230" i="4"/>
  <c r="AL178" i="4"/>
  <c r="AL237" i="4"/>
  <c r="AL222" i="4"/>
  <c r="AL231" i="4"/>
  <c r="AL122" i="4"/>
  <c r="AL229" i="4"/>
  <c r="AL259" i="4"/>
  <c r="AL261" i="4"/>
  <c r="AL236" i="4"/>
  <c r="AL289" i="4"/>
  <c r="AL223" i="4"/>
  <c r="AL111" i="4"/>
  <c r="AL123" i="4"/>
  <c r="AL91" i="4"/>
  <c r="AL92" i="4"/>
  <c r="AL93" i="4"/>
  <c r="AL96" i="4"/>
  <c r="AL152" i="4"/>
  <c r="AL158" i="4"/>
  <c r="AL124" i="4"/>
  <c r="AL211" i="4"/>
  <c r="AL165" i="4"/>
  <c r="AL166" i="4"/>
  <c r="AL167" i="4"/>
  <c r="AL174" i="4"/>
  <c r="AL80" i="4"/>
  <c r="AL169" i="4"/>
  <c r="AL171" i="4"/>
  <c r="AL172" i="4"/>
  <c r="AL298" i="4"/>
  <c r="AL74" i="4"/>
  <c r="AL45" i="4"/>
  <c r="AL170" i="4"/>
  <c r="AL88" i="4"/>
  <c r="AL90" i="4"/>
  <c r="AL52" i="4"/>
  <c r="AL54" i="4"/>
  <c r="AL202" i="4"/>
  <c r="AL193" i="4"/>
  <c r="AL112" i="4"/>
  <c r="AL207" i="4"/>
  <c r="AL208" i="4"/>
  <c r="AL215" i="4"/>
  <c r="AL283" i="4"/>
  <c r="AL53" i="4"/>
  <c r="AL89" i="4"/>
  <c r="AL51" i="4"/>
  <c r="AL55" i="4"/>
  <c r="AL57" i="4"/>
  <c r="AL20" i="4"/>
  <c r="AL136" i="4"/>
  <c r="AL101" i="4"/>
  <c r="AL44" i="4"/>
  <c r="AL159" i="4"/>
  <c r="AL40" i="4"/>
  <c r="AL99" i="4"/>
  <c r="AL217" i="4"/>
  <c r="AL70" i="4"/>
  <c r="AL185" i="4"/>
  <c r="AL39" i="4"/>
  <c r="AL216" i="4"/>
  <c r="AL181" i="4"/>
  <c r="AL63" i="4"/>
  <c r="AL61" i="4"/>
  <c r="AL62" i="4"/>
  <c r="AL11" i="4"/>
  <c r="AL38" i="4"/>
  <c r="AL75" i="4"/>
  <c r="AL104" i="4"/>
  <c r="AL103" i="4"/>
  <c r="AL29" i="4"/>
  <c r="AL58" i="4"/>
  <c r="AL154" i="4"/>
  <c r="AL102" i="4"/>
  <c r="AL175" i="4"/>
  <c r="AL32" i="4"/>
  <c r="AL15" i="4"/>
  <c r="AL41" i="4"/>
  <c r="AL106" i="4"/>
  <c r="AL33" i="4"/>
  <c r="AL36" i="4"/>
  <c r="AL108" i="4"/>
  <c r="AL46" i="4"/>
  <c r="AL37" i="4"/>
  <c r="AL34" i="4"/>
  <c r="AL276" i="4"/>
  <c r="AL188" i="4"/>
  <c r="AL24" i="4"/>
  <c r="AL220" i="4"/>
  <c r="AL212" i="4"/>
  <c r="AL257" i="4"/>
  <c r="AL195" i="4"/>
  <c r="AL209" i="4"/>
  <c r="AL184" i="4"/>
  <c r="AL7" i="4"/>
  <c r="AL179" i="4"/>
  <c r="AL192" i="4"/>
  <c r="AL189" i="4"/>
  <c r="AL127" i="4"/>
  <c r="AL69" i="4"/>
  <c r="AL56" i="4"/>
  <c r="AL60" i="4"/>
  <c r="AL131" i="4"/>
  <c r="AL264" i="4"/>
  <c r="AL199" i="4"/>
  <c r="AL219" i="4"/>
  <c r="AL168" i="4"/>
  <c r="AL21" i="4"/>
  <c r="AL43" i="4"/>
  <c r="AL150" i="4"/>
  <c r="AL180" i="4"/>
  <c r="AL121" i="4"/>
  <c r="AL10" i="4"/>
  <c r="AL260" i="4"/>
  <c r="AL95" i="4"/>
  <c r="AL160" i="4"/>
  <c r="AL13" i="4"/>
  <c r="AL107" i="4"/>
  <c r="AL23" i="4"/>
  <c r="AL155" i="4"/>
  <c r="AL206" i="4"/>
  <c r="AL182" i="4"/>
  <c r="AL94" i="4"/>
  <c r="AL71" i="4"/>
  <c r="AL79" i="4"/>
  <c r="AL205" i="4"/>
  <c r="AL31" i="4"/>
  <c r="AL148" i="4"/>
  <c r="AL146" i="4"/>
  <c r="AL147" i="4"/>
  <c r="AL119" i="4"/>
  <c r="AL109" i="4"/>
  <c r="AL66" i="4"/>
  <c r="AL200" i="4"/>
  <c r="AL201" i="4"/>
  <c r="AL42" i="4"/>
  <c r="AL157" i="4"/>
  <c r="AL224" i="4"/>
  <c r="AL225" i="4"/>
  <c r="AL226" i="4"/>
  <c r="AL78" i="4"/>
  <c r="AL227" i="4"/>
  <c r="AL72" i="4"/>
  <c r="AL3" i="4"/>
  <c r="AL18" i="4"/>
  <c r="AL286" i="4"/>
  <c r="AL114" i="4"/>
  <c r="AL214" i="4"/>
  <c r="AL293" i="4"/>
  <c r="AL12" i="4"/>
  <c r="AL19" i="4"/>
  <c r="AL76" i="4"/>
  <c r="AL162" i="4"/>
  <c r="AL48" i="4"/>
  <c r="AL275" i="4"/>
  <c r="AL149" i="4"/>
  <c r="AL163" i="4"/>
  <c r="AL164" i="4"/>
  <c r="AL161" i="4"/>
  <c r="AL198" i="4"/>
  <c r="AL82" i="4"/>
  <c r="AL83" i="4"/>
  <c r="AL84" i="4"/>
  <c r="AL68" i="4"/>
  <c r="AL87" i="4"/>
  <c r="AL100" i="4"/>
  <c r="AL49" i="4"/>
  <c r="AL50" i="4"/>
  <c r="AL126" i="4"/>
  <c r="AL22" i="4"/>
  <c r="AL17" i="4"/>
  <c r="AL307" i="4"/>
  <c r="AL306" i="4"/>
  <c r="AL304" i="4"/>
  <c r="AL305" i="4"/>
  <c r="AL300" i="4"/>
  <c r="AL301" i="4"/>
  <c r="AL299" i="4"/>
  <c r="AL302" i="4"/>
  <c r="AL303" i="4"/>
  <c r="AL310" i="4"/>
  <c r="AL311" i="4"/>
  <c r="AL312" i="4"/>
  <c r="AL313" i="4"/>
  <c r="AL308" i="4"/>
  <c r="AL314" i="4"/>
  <c r="AL333" i="4"/>
  <c r="AL331" i="4"/>
  <c r="AL332" i="4"/>
  <c r="AL341" i="4"/>
  <c r="AL318" i="4"/>
  <c r="AL319" i="4"/>
  <c r="AL320" i="4"/>
  <c r="AL321" i="4"/>
  <c r="AL347" i="4"/>
  <c r="AL326" i="4"/>
  <c r="AL327" i="4"/>
  <c r="AL328" i="4"/>
  <c r="AL329" i="4"/>
  <c r="AL315" i="4"/>
  <c r="AL335" i="4"/>
  <c r="AL336" i="4"/>
  <c r="AL342" i="4"/>
  <c r="AL334" i="4"/>
  <c r="AL323" i="4"/>
  <c r="AL322" i="4"/>
  <c r="AL325" i="4"/>
  <c r="AL330" i="4"/>
  <c r="AL317" i="4"/>
  <c r="AL345" i="4"/>
  <c r="AL343" i="4"/>
  <c r="AL344" i="4"/>
  <c r="AL324" i="4"/>
  <c r="AL338" i="4"/>
  <c r="AL339" i="4"/>
  <c r="AL337" i="4"/>
  <c r="AL316" i="4"/>
  <c r="AL340" i="4"/>
  <c r="AL346" i="4"/>
  <c r="AL351" i="4"/>
  <c r="AL350" i="4"/>
  <c r="AL361" i="4"/>
  <c r="AL362" i="4"/>
  <c r="AL348" i="4"/>
  <c r="AL358" i="4"/>
  <c r="AL359" i="4"/>
  <c r="AL364" i="4"/>
  <c r="AL349" i="4"/>
  <c r="AL365" i="4"/>
  <c r="AL366" i="4"/>
  <c r="AL367" i="4"/>
  <c r="AL352" i="4"/>
  <c r="AL353" i="4"/>
  <c r="AL354" i="4"/>
  <c r="AL368" i="4"/>
  <c r="AL363" i="4"/>
  <c r="AL369" i="4"/>
  <c r="AL360" i="4"/>
  <c r="AL355" i="4"/>
  <c r="AL356" i="4"/>
  <c r="AL357" i="4"/>
  <c r="AL371" i="4"/>
  <c r="AL377" i="4"/>
  <c r="AL378" i="4"/>
  <c r="AL379" i="4"/>
  <c r="AL373" i="4"/>
  <c r="AL370" i="4"/>
  <c r="AL376" i="4"/>
  <c r="AL381" i="4"/>
  <c r="AL374" i="4"/>
  <c r="AL375" i="4"/>
  <c r="AL372" i="4"/>
  <c r="AL383" i="4"/>
  <c r="AL385" i="4"/>
  <c r="AL386" i="4"/>
  <c r="AL384" i="4"/>
  <c r="AL382" i="4"/>
  <c r="AL390" i="4"/>
  <c r="AL395" i="4"/>
  <c r="AL408" i="4"/>
  <c r="AL397" i="4"/>
  <c r="AL398" i="4"/>
  <c r="AL399" i="4"/>
  <c r="AL400" i="4"/>
  <c r="AL403" i="4"/>
  <c r="AL404" i="4"/>
  <c r="AL405" i="4"/>
  <c r="AL407" i="4"/>
  <c r="AL387" i="4"/>
  <c r="AL389" i="4"/>
  <c r="AL396" i="4"/>
  <c r="AL388" i="4"/>
  <c r="AL391" i="4"/>
  <c r="AL392" i="4"/>
  <c r="AL393" i="4"/>
  <c r="AL402" i="4"/>
  <c r="AL394" i="4"/>
  <c r="AL406" i="4"/>
  <c r="AL409" i="4"/>
  <c r="AL410" i="4"/>
  <c r="AL411" i="4"/>
  <c r="AL401" i="4"/>
  <c r="AL4" i="4"/>
  <c r="AL244" i="4"/>
  <c r="AL263" i="4"/>
  <c r="AL239" i="4"/>
  <c r="AL14" i="4"/>
  <c r="AL59" i="4"/>
  <c r="AL287" i="4"/>
  <c r="AL28" i="4"/>
  <c r="AL47" i="4"/>
  <c r="AL73" i="4"/>
  <c r="AL221" i="4"/>
  <c r="AL254" i="4"/>
  <c r="AL173" i="4"/>
  <c r="AL30" i="4"/>
  <c r="AL97" i="4"/>
  <c r="AL81" i="4"/>
  <c r="AL156" i="4"/>
  <c r="AL245" i="4"/>
  <c r="F64" i="4"/>
  <c r="F65" i="4"/>
  <c r="E65" i="4"/>
  <c r="E64" i="4"/>
  <c r="M64" i="4"/>
  <c r="T21" i="2"/>
  <c r="U21" i="2"/>
  <c r="AA21" i="2"/>
  <c r="AD21" i="2"/>
  <c r="AE21" i="2"/>
  <c r="AF21" i="2"/>
  <c r="AG21" i="2"/>
  <c r="AH21" i="2"/>
  <c r="AI21" i="2"/>
  <c r="AK21" i="2"/>
  <c r="AL21" i="2"/>
  <c r="AM21" i="2"/>
  <c r="AZ159" i="1"/>
  <c r="BC159" i="1"/>
  <c r="AZ160" i="1"/>
  <c r="BC160" i="1"/>
  <c r="BC247" i="1"/>
  <c r="AZ238" i="1"/>
  <c r="BC238" i="1"/>
  <c r="AZ237" i="1"/>
  <c r="BC237" i="1"/>
  <c r="AZ103" i="1"/>
  <c r="AZ363" i="1"/>
  <c r="BC363" i="1"/>
  <c r="BB363" i="1"/>
  <c r="AZ362" i="1"/>
  <c r="BC362" i="1"/>
  <c r="BB362" i="1"/>
  <c r="AZ220" i="1"/>
  <c r="BC220" i="1"/>
  <c r="AZ219" i="1"/>
  <c r="BC219" i="1"/>
  <c r="AZ43" i="1"/>
  <c r="BC43" i="1"/>
  <c r="AZ42" i="1"/>
  <c r="BC42" i="1"/>
  <c r="AZ41" i="1"/>
  <c r="BC41" i="1"/>
  <c r="AZ40" i="1"/>
  <c r="BC40" i="1"/>
  <c r="BC39" i="1"/>
  <c r="AZ125" i="1"/>
  <c r="BC125" i="1"/>
  <c r="AZ124" i="1"/>
  <c r="BC124" i="1"/>
  <c r="AZ47" i="1"/>
  <c r="BC47" i="1"/>
  <c r="AZ46" i="1"/>
  <c r="BC46" i="1"/>
  <c r="AZ3" i="1"/>
  <c r="AZ4" i="1"/>
  <c r="AZ10" i="1"/>
  <c r="AZ11" i="1"/>
  <c r="AZ12" i="1"/>
  <c r="AZ13" i="1"/>
  <c r="AZ27" i="1"/>
  <c r="AZ28" i="1"/>
  <c r="AZ30" i="1"/>
  <c r="AZ31" i="1"/>
  <c r="AZ32" i="1"/>
  <c r="AZ33" i="1"/>
  <c r="AZ34" i="1"/>
  <c r="AZ35" i="1"/>
  <c r="AZ36" i="1"/>
  <c r="AZ37" i="1"/>
  <c r="AZ38" i="1"/>
  <c r="AZ44" i="1"/>
  <c r="AZ45" i="1"/>
  <c r="AZ70" i="1"/>
  <c r="AZ71" i="1"/>
  <c r="AZ73" i="1"/>
  <c r="AZ74" i="1"/>
  <c r="AZ75" i="1"/>
  <c r="AZ76" i="1"/>
  <c r="AZ83" i="1"/>
  <c r="AZ84" i="1"/>
  <c r="AZ85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10" i="1"/>
  <c r="AZ111" i="1"/>
  <c r="AZ112" i="1"/>
  <c r="AZ113" i="1"/>
  <c r="AZ114" i="1"/>
  <c r="AZ115" i="1"/>
  <c r="AZ116" i="1"/>
  <c r="AZ117" i="1"/>
  <c r="AZ118" i="1"/>
  <c r="AZ120" i="1"/>
  <c r="AZ121" i="1"/>
  <c r="AZ122" i="1"/>
  <c r="AZ123" i="1"/>
  <c r="AZ129" i="1"/>
  <c r="AZ130" i="1"/>
  <c r="AZ131" i="1"/>
  <c r="AZ132" i="1"/>
  <c r="AZ149" i="1"/>
  <c r="AZ150" i="1"/>
  <c r="AZ167" i="1"/>
  <c r="AZ168" i="1"/>
  <c r="AZ169" i="1"/>
  <c r="AZ170" i="1"/>
  <c r="AZ173" i="1"/>
  <c r="AZ174" i="1"/>
  <c r="AZ178" i="1"/>
  <c r="AZ179" i="1"/>
  <c r="AZ180" i="1"/>
  <c r="AZ185" i="1"/>
  <c r="AZ186" i="1"/>
  <c r="AZ190" i="1"/>
  <c r="AZ191" i="1"/>
  <c r="AZ192" i="1"/>
  <c r="AZ193" i="1"/>
  <c r="AZ194" i="1"/>
  <c r="AZ195" i="1"/>
  <c r="AZ216" i="1"/>
  <c r="AZ217" i="1"/>
  <c r="AZ218" i="1"/>
  <c r="AZ222" i="1"/>
  <c r="AZ223" i="1"/>
  <c r="AZ224" i="1"/>
  <c r="AZ225" i="1"/>
  <c r="AZ226" i="1"/>
  <c r="AZ227" i="1"/>
  <c r="AZ228" i="1"/>
  <c r="AZ230" i="1"/>
  <c r="AZ231" i="1"/>
  <c r="AZ232" i="1"/>
  <c r="AZ235" i="1"/>
  <c r="AZ236" i="1"/>
  <c r="AZ239" i="1"/>
  <c r="AZ240" i="1"/>
  <c r="AZ241" i="1"/>
  <c r="AZ261" i="1"/>
  <c r="AZ262" i="1"/>
  <c r="AZ266" i="1"/>
  <c r="AZ267" i="1"/>
  <c r="AZ268" i="1"/>
  <c r="AZ269" i="1"/>
  <c r="AZ270" i="1"/>
  <c r="AZ271" i="1"/>
  <c r="AZ272" i="1"/>
  <c r="AZ275" i="1"/>
  <c r="AZ276" i="1"/>
  <c r="AZ277" i="1"/>
  <c r="AZ278" i="1"/>
  <c r="AZ279" i="1"/>
  <c r="AZ280" i="1"/>
  <c r="AZ281" i="1"/>
  <c r="AZ282" i="1"/>
  <c r="AZ283" i="1"/>
  <c r="AZ304" i="1"/>
  <c r="AZ305" i="1"/>
  <c r="AZ306" i="1"/>
  <c r="AZ307" i="1"/>
  <c r="AZ320" i="1"/>
  <c r="AZ321" i="1"/>
  <c r="AZ322" i="1"/>
  <c r="AZ323" i="1"/>
  <c r="AZ324" i="1"/>
  <c r="AZ325" i="1"/>
  <c r="AZ326" i="1"/>
  <c r="AZ327" i="1"/>
  <c r="AZ328" i="1"/>
  <c r="AZ344" i="1"/>
  <c r="AZ345" i="1"/>
  <c r="AZ346" i="1"/>
  <c r="AZ347" i="1"/>
  <c r="AZ348" i="1"/>
  <c r="AZ349" i="1"/>
  <c r="AZ356" i="1"/>
  <c r="AZ357" i="1"/>
  <c r="AZ358" i="1"/>
  <c r="AZ359" i="1"/>
  <c r="AZ360" i="1"/>
  <c r="AZ361" i="1"/>
  <c r="AZ2" i="1"/>
  <c r="BC45" i="1"/>
  <c r="BC44" i="1"/>
  <c r="BC224" i="1"/>
  <c r="BB361" i="1"/>
  <c r="BC361" i="1"/>
  <c r="BB360" i="1"/>
  <c r="BC360" i="1"/>
  <c r="BB359" i="1"/>
  <c r="BC359" i="1"/>
  <c r="BB358" i="1"/>
  <c r="BC358" i="1"/>
  <c r="BB357" i="1"/>
  <c r="BC357" i="1"/>
  <c r="CT356" i="1"/>
  <c r="CS356" i="1"/>
  <c r="CR356" i="1"/>
  <c r="CQ356" i="1"/>
  <c r="CP356" i="1"/>
  <c r="CO356" i="1"/>
  <c r="CN356" i="1"/>
  <c r="CM356" i="1"/>
  <c r="CL356" i="1"/>
  <c r="CK356" i="1"/>
  <c r="CJ356" i="1"/>
  <c r="CI356" i="1"/>
  <c r="CH356" i="1"/>
  <c r="CG356" i="1"/>
  <c r="CF356" i="1"/>
  <c r="CE356" i="1"/>
  <c r="CD356" i="1"/>
  <c r="CC356" i="1"/>
  <c r="CB356" i="1"/>
  <c r="CA356" i="1"/>
  <c r="BZ356" i="1"/>
  <c r="BY356" i="1"/>
  <c r="BX356" i="1"/>
  <c r="BW356" i="1"/>
  <c r="BV356" i="1"/>
  <c r="BB356" i="1"/>
  <c r="BC356" i="1"/>
  <c r="BC349" i="1"/>
  <c r="BC348" i="1"/>
  <c r="BC347" i="1"/>
  <c r="CT346" i="1"/>
  <c r="CS346" i="1"/>
  <c r="CR346" i="1"/>
  <c r="CQ346" i="1"/>
  <c r="CP346" i="1"/>
  <c r="CO346" i="1"/>
  <c r="CN346" i="1"/>
  <c r="CM346" i="1"/>
  <c r="CL346" i="1"/>
  <c r="CK346" i="1"/>
  <c r="CJ346" i="1"/>
  <c r="CI346" i="1"/>
  <c r="CH346" i="1"/>
  <c r="CG346" i="1"/>
  <c r="CF346" i="1"/>
  <c r="CE346" i="1"/>
  <c r="CD346" i="1"/>
  <c r="CC346" i="1"/>
  <c r="CB346" i="1"/>
  <c r="CA346" i="1"/>
  <c r="BZ346" i="1"/>
  <c r="BY346" i="1"/>
  <c r="BX346" i="1"/>
  <c r="BW346" i="1"/>
  <c r="BV346" i="1"/>
  <c r="BC346" i="1"/>
  <c r="BC345" i="1"/>
  <c r="CT344" i="1"/>
  <c r="CS344" i="1"/>
  <c r="CR344" i="1"/>
  <c r="CQ344" i="1"/>
  <c r="CP344" i="1"/>
  <c r="CO344" i="1"/>
  <c r="CN344" i="1"/>
  <c r="CM344" i="1"/>
  <c r="CL344" i="1"/>
  <c r="CK344" i="1"/>
  <c r="CJ344" i="1"/>
  <c r="CI344" i="1"/>
  <c r="CH344" i="1"/>
  <c r="CG344" i="1"/>
  <c r="CF344" i="1"/>
  <c r="CE344" i="1"/>
  <c r="CD344" i="1"/>
  <c r="CC344" i="1"/>
  <c r="CB344" i="1"/>
  <c r="CA344" i="1"/>
  <c r="BZ344" i="1"/>
  <c r="BY344" i="1"/>
  <c r="BX344" i="1"/>
  <c r="BW344" i="1"/>
  <c r="BV344" i="1"/>
  <c r="BC344" i="1"/>
  <c r="BC327" i="1"/>
  <c r="BC326" i="1"/>
  <c r="CT325" i="1"/>
  <c r="CS325" i="1"/>
  <c r="CR325" i="1"/>
  <c r="CQ325" i="1"/>
  <c r="CP325" i="1"/>
  <c r="CO325" i="1"/>
  <c r="CN325" i="1"/>
  <c r="CM325" i="1"/>
  <c r="CL325" i="1"/>
  <c r="CK325" i="1"/>
  <c r="CJ325" i="1"/>
  <c r="CI325" i="1"/>
  <c r="CH325" i="1"/>
  <c r="CG325" i="1"/>
  <c r="CF325" i="1"/>
  <c r="CE325" i="1"/>
  <c r="CD325" i="1"/>
  <c r="CC325" i="1"/>
  <c r="CB325" i="1"/>
  <c r="CA325" i="1"/>
  <c r="BZ325" i="1"/>
  <c r="BY325" i="1"/>
  <c r="BX325" i="1"/>
  <c r="BW325" i="1"/>
  <c r="BV325" i="1"/>
  <c r="BC325" i="1"/>
  <c r="CT324" i="1"/>
  <c r="CS324" i="1"/>
  <c r="CR324" i="1"/>
  <c r="CQ324" i="1"/>
  <c r="CP324" i="1"/>
  <c r="CO324" i="1"/>
  <c r="CN324" i="1"/>
  <c r="CM324" i="1"/>
  <c r="CL324" i="1"/>
  <c r="CK324" i="1"/>
  <c r="CJ324" i="1"/>
  <c r="CI324" i="1"/>
  <c r="CH324" i="1"/>
  <c r="CG324" i="1"/>
  <c r="CF324" i="1"/>
  <c r="CE324" i="1"/>
  <c r="CD324" i="1"/>
  <c r="CC324" i="1"/>
  <c r="CB324" i="1"/>
  <c r="CA324" i="1"/>
  <c r="BZ324" i="1"/>
  <c r="BY324" i="1"/>
  <c r="BX324" i="1"/>
  <c r="BW324" i="1"/>
  <c r="BV324" i="1"/>
  <c r="BC324" i="1"/>
  <c r="BC323" i="1"/>
  <c r="CT322" i="1"/>
  <c r="CS322" i="1"/>
  <c r="CR322" i="1"/>
  <c r="CQ322" i="1"/>
  <c r="CP322" i="1"/>
  <c r="CO322" i="1"/>
  <c r="CN322" i="1"/>
  <c r="CM322" i="1"/>
  <c r="CL322" i="1"/>
  <c r="CK322" i="1"/>
  <c r="CJ322" i="1"/>
  <c r="CI322" i="1"/>
  <c r="CH322" i="1"/>
  <c r="CG322" i="1"/>
  <c r="CF322" i="1"/>
  <c r="CE322" i="1"/>
  <c r="CD322" i="1"/>
  <c r="CC322" i="1"/>
  <c r="CB322" i="1"/>
  <c r="CA322" i="1"/>
  <c r="BZ322" i="1"/>
  <c r="BY322" i="1"/>
  <c r="BX322" i="1"/>
  <c r="BW322" i="1"/>
  <c r="BV322" i="1"/>
  <c r="BC322" i="1"/>
  <c r="BC321" i="1"/>
  <c r="BC320" i="1"/>
  <c r="BB307" i="1"/>
  <c r="BC307" i="1"/>
  <c r="CT306" i="1"/>
  <c r="CS306" i="1"/>
  <c r="CR306" i="1"/>
  <c r="CQ306" i="1"/>
  <c r="CP306" i="1"/>
  <c r="CO306" i="1"/>
  <c r="CN306" i="1"/>
  <c r="CM306" i="1"/>
  <c r="CL306" i="1"/>
  <c r="CK306" i="1"/>
  <c r="CJ306" i="1"/>
  <c r="CI306" i="1"/>
  <c r="CH306" i="1"/>
  <c r="CG306" i="1"/>
  <c r="CF306" i="1"/>
  <c r="CE306" i="1"/>
  <c r="CD306" i="1"/>
  <c r="CC306" i="1"/>
  <c r="CB306" i="1"/>
  <c r="CA306" i="1"/>
  <c r="BZ306" i="1"/>
  <c r="BY306" i="1"/>
  <c r="BX306" i="1"/>
  <c r="BW306" i="1"/>
  <c r="BV306" i="1"/>
  <c r="BB306" i="1"/>
  <c r="BC306" i="1"/>
  <c r="BB305" i="1"/>
  <c r="BC305" i="1"/>
  <c r="CT304" i="1"/>
  <c r="CS304" i="1"/>
  <c r="CR304" i="1"/>
  <c r="CQ304" i="1"/>
  <c r="CP304" i="1"/>
  <c r="CO304" i="1"/>
  <c r="CN304" i="1"/>
  <c r="CM304" i="1"/>
  <c r="CL304" i="1"/>
  <c r="CK304" i="1"/>
  <c r="CJ304" i="1"/>
  <c r="CI304" i="1"/>
  <c r="CH304" i="1"/>
  <c r="CG304" i="1"/>
  <c r="CF304" i="1"/>
  <c r="CE304" i="1"/>
  <c r="CD304" i="1"/>
  <c r="CC304" i="1"/>
  <c r="CB304" i="1"/>
  <c r="CA304" i="1"/>
  <c r="BZ304" i="1"/>
  <c r="BY304" i="1"/>
  <c r="BX304" i="1"/>
  <c r="BW304" i="1"/>
  <c r="BV304" i="1"/>
  <c r="BB304" i="1"/>
  <c r="BC304" i="1"/>
  <c r="BB283" i="1"/>
  <c r="BC283" i="1"/>
  <c r="CT282" i="1"/>
  <c r="CS282" i="1"/>
  <c r="CR282" i="1"/>
  <c r="CQ282" i="1"/>
  <c r="CP282" i="1"/>
  <c r="CO282" i="1"/>
  <c r="CN282" i="1"/>
  <c r="CM282" i="1"/>
  <c r="CL282" i="1"/>
  <c r="CK282" i="1"/>
  <c r="CJ282" i="1"/>
  <c r="CI282" i="1"/>
  <c r="CH282" i="1"/>
  <c r="CG282" i="1"/>
  <c r="CF282" i="1"/>
  <c r="CE282" i="1"/>
  <c r="CD282" i="1"/>
  <c r="CC282" i="1"/>
  <c r="CB282" i="1"/>
  <c r="CA282" i="1"/>
  <c r="BZ282" i="1"/>
  <c r="BY282" i="1"/>
  <c r="BX282" i="1"/>
  <c r="BW282" i="1"/>
  <c r="BV282" i="1"/>
  <c r="BB282" i="1"/>
  <c r="BC282" i="1"/>
  <c r="BB281" i="1"/>
  <c r="BC281" i="1"/>
  <c r="BB280" i="1"/>
  <c r="BC280" i="1"/>
  <c r="BB279" i="1"/>
  <c r="BC279" i="1"/>
  <c r="CT278" i="1"/>
  <c r="CS278" i="1"/>
  <c r="CR278" i="1"/>
  <c r="CQ278" i="1"/>
  <c r="CP278" i="1"/>
  <c r="CO278" i="1"/>
  <c r="CN278" i="1"/>
  <c r="CM278" i="1"/>
  <c r="CL278" i="1"/>
  <c r="CK278" i="1"/>
  <c r="CJ278" i="1"/>
  <c r="CI278" i="1"/>
  <c r="CH278" i="1"/>
  <c r="CG278" i="1"/>
  <c r="CF278" i="1"/>
  <c r="CE278" i="1"/>
  <c r="CD278" i="1"/>
  <c r="CC278" i="1"/>
  <c r="CB278" i="1"/>
  <c r="CA278" i="1"/>
  <c r="BZ278" i="1"/>
  <c r="BY278" i="1"/>
  <c r="BX278" i="1"/>
  <c r="BW278" i="1"/>
  <c r="BV278" i="1"/>
  <c r="BB278" i="1"/>
  <c r="BC278" i="1"/>
  <c r="BB277" i="1"/>
  <c r="BC277" i="1"/>
  <c r="BB276" i="1"/>
  <c r="BC276" i="1"/>
  <c r="CT275" i="1"/>
  <c r="CS275" i="1"/>
  <c r="CR275" i="1"/>
  <c r="CQ275" i="1"/>
  <c r="CP275" i="1"/>
  <c r="CO275" i="1"/>
  <c r="CN275" i="1"/>
  <c r="CM275" i="1"/>
  <c r="CL275" i="1"/>
  <c r="CK275" i="1"/>
  <c r="CJ275" i="1"/>
  <c r="CI275" i="1"/>
  <c r="CH275" i="1"/>
  <c r="CG275" i="1"/>
  <c r="CF275" i="1"/>
  <c r="CE275" i="1"/>
  <c r="CD275" i="1"/>
  <c r="CC275" i="1"/>
  <c r="CB275" i="1"/>
  <c r="CA275" i="1"/>
  <c r="BZ275" i="1"/>
  <c r="BY275" i="1"/>
  <c r="BX275" i="1"/>
  <c r="BW275" i="1"/>
  <c r="BV275" i="1"/>
  <c r="BB275" i="1"/>
  <c r="BC275" i="1"/>
  <c r="BB272" i="1"/>
  <c r="BC272" i="1"/>
  <c r="CT271" i="1"/>
  <c r="CS271" i="1"/>
  <c r="CR271" i="1"/>
  <c r="CQ271" i="1"/>
  <c r="CP271" i="1"/>
  <c r="CO271" i="1"/>
  <c r="CN271" i="1"/>
  <c r="CM271" i="1"/>
  <c r="CL271" i="1"/>
  <c r="CK271" i="1"/>
  <c r="CJ271" i="1"/>
  <c r="CI271" i="1"/>
  <c r="CH271" i="1"/>
  <c r="CG271" i="1"/>
  <c r="CF271" i="1"/>
  <c r="CE271" i="1"/>
  <c r="CD271" i="1"/>
  <c r="CC271" i="1"/>
  <c r="CB271" i="1"/>
  <c r="CA271" i="1"/>
  <c r="BZ271" i="1"/>
  <c r="BY271" i="1"/>
  <c r="BX271" i="1"/>
  <c r="BW271" i="1"/>
  <c r="BV271" i="1"/>
  <c r="BB271" i="1"/>
  <c r="BC271" i="1"/>
  <c r="BB270" i="1"/>
  <c r="BC270" i="1"/>
  <c r="BB269" i="1"/>
  <c r="BC269" i="1"/>
  <c r="CT268" i="1"/>
  <c r="CS268" i="1"/>
  <c r="CR268" i="1"/>
  <c r="CQ268" i="1"/>
  <c r="CP268" i="1"/>
  <c r="CO268" i="1"/>
  <c r="CN268" i="1"/>
  <c r="CM268" i="1"/>
  <c r="CL268" i="1"/>
  <c r="CK268" i="1"/>
  <c r="CJ268" i="1"/>
  <c r="CI268" i="1"/>
  <c r="CH268" i="1"/>
  <c r="CG268" i="1"/>
  <c r="CF268" i="1"/>
  <c r="CE268" i="1"/>
  <c r="CD268" i="1"/>
  <c r="CC268" i="1"/>
  <c r="CB268" i="1"/>
  <c r="CA268" i="1"/>
  <c r="BZ268" i="1"/>
  <c r="BY268" i="1"/>
  <c r="BX268" i="1"/>
  <c r="BW268" i="1"/>
  <c r="BV268" i="1"/>
  <c r="BB268" i="1"/>
  <c r="BC268" i="1"/>
  <c r="BB267" i="1"/>
  <c r="BC267" i="1"/>
  <c r="CT266" i="1"/>
  <c r="CS266" i="1"/>
  <c r="CR266" i="1"/>
  <c r="CQ266" i="1"/>
  <c r="CP266" i="1"/>
  <c r="CO266" i="1"/>
  <c r="CN266" i="1"/>
  <c r="CM266" i="1"/>
  <c r="CL266" i="1"/>
  <c r="CK266" i="1"/>
  <c r="CJ266" i="1"/>
  <c r="CI266" i="1"/>
  <c r="CH266" i="1"/>
  <c r="CG266" i="1"/>
  <c r="CF266" i="1"/>
  <c r="CE266" i="1"/>
  <c r="CD266" i="1"/>
  <c r="CC266" i="1"/>
  <c r="CB266" i="1"/>
  <c r="CA266" i="1"/>
  <c r="BZ266" i="1"/>
  <c r="BY266" i="1"/>
  <c r="BX266" i="1"/>
  <c r="BW266" i="1"/>
  <c r="BV266" i="1"/>
  <c r="BB266" i="1"/>
  <c r="BC266" i="1"/>
  <c r="BB262" i="1"/>
  <c r="BC262" i="1"/>
  <c r="CT261" i="1"/>
  <c r="CS261" i="1"/>
  <c r="CR261" i="1"/>
  <c r="CQ261" i="1"/>
  <c r="CP261" i="1"/>
  <c r="CO261" i="1"/>
  <c r="CN261" i="1"/>
  <c r="CM261" i="1"/>
  <c r="CL261" i="1"/>
  <c r="CK261" i="1"/>
  <c r="CJ261" i="1"/>
  <c r="CI261" i="1"/>
  <c r="CH261" i="1"/>
  <c r="CG261" i="1"/>
  <c r="CF261" i="1"/>
  <c r="CE261" i="1"/>
  <c r="CD261" i="1"/>
  <c r="CC261" i="1"/>
  <c r="CB261" i="1"/>
  <c r="CA261" i="1"/>
  <c r="BZ261" i="1"/>
  <c r="BY261" i="1"/>
  <c r="BX261" i="1"/>
  <c r="BW261" i="1"/>
  <c r="BV261" i="1"/>
  <c r="BC261" i="1"/>
  <c r="BC246" i="1"/>
  <c r="BC244" i="1"/>
  <c r="BC243" i="1"/>
  <c r="BC241" i="1"/>
  <c r="BC240" i="1"/>
  <c r="CT239" i="1"/>
  <c r="CS239" i="1"/>
  <c r="CR239" i="1"/>
  <c r="CQ239" i="1"/>
  <c r="CP239" i="1"/>
  <c r="CO239" i="1"/>
  <c r="CN239" i="1"/>
  <c r="CM239" i="1"/>
  <c r="CL239" i="1"/>
  <c r="CK239" i="1"/>
  <c r="CJ239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C239" i="1"/>
  <c r="BC236" i="1"/>
  <c r="CT235" i="1"/>
  <c r="CS235" i="1"/>
  <c r="CR235" i="1"/>
  <c r="CQ235" i="1"/>
  <c r="CP235" i="1"/>
  <c r="CO235" i="1"/>
  <c r="CN235" i="1"/>
  <c r="CM235" i="1"/>
  <c r="CL235" i="1"/>
  <c r="CK235" i="1"/>
  <c r="CJ235" i="1"/>
  <c r="CI235" i="1"/>
  <c r="CH235" i="1"/>
  <c r="CG235" i="1"/>
  <c r="CF235" i="1"/>
  <c r="CE235" i="1"/>
  <c r="CD235" i="1"/>
  <c r="CC235" i="1"/>
  <c r="CB235" i="1"/>
  <c r="CA235" i="1"/>
  <c r="BZ235" i="1"/>
  <c r="BY235" i="1"/>
  <c r="BX235" i="1"/>
  <c r="BW235" i="1"/>
  <c r="BV235" i="1"/>
  <c r="BC235" i="1"/>
  <c r="BC232" i="1"/>
  <c r="BC231" i="1"/>
  <c r="CT230" i="1"/>
  <c r="CS230" i="1"/>
  <c r="CR230" i="1"/>
  <c r="CQ230" i="1"/>
  <c r="CP230" i="1"/>
  <c r="CO230" i="1"/>
  <c r="CN230" i="1"/>
  <c r="CM230" i="1"/>
  <c r="CL230" i="1"/>
  <c r="CK230" i="1"/>
  <c r="CJ230" i="1"/>
  <c r="CI230" i="1"/>
  <c r="CH230" i="1"/>
  <c r="CG230" i="1"/>
  <c r="CF230" i="1"/>
  <c r="CE230" i="1"/>
  <c r="CD230" i="1"/>
  <c r="CC230" i="1"/>
  <c r="CB230" i="1"/>
  <c r="CA230" i="1"/>
  <c r="BZ230" i="1"/>
  <c r="BY230" i="1"/>
  <c r="BX230" i="1"/>
  <c r="BW230" i="1"/>
  <c r="BV230" i="1"/>
  <c r="BC230" i="1"/>
  <c r="BC228" i="1"/>
  <c r="CT227" i="1"/>
  <c r="CS227" i="1"/>
  <c r="CR227" i="1"/>
  <c r="CQ227" i="1"/>
  <c r="CP227" i="1"/>
  <c r="CO227" i="1"/>
  <c r="CN227" i="1"/>
  <c r="CM227" i="1"/>
  <c r="CL227" i="1"/>
  <c r="CK227" i="1"/>
  <c r="CJ227" i="1"/>
  <c r="CI227" i="1"/>
  <c r="CH227" i="1"/>
  <c r="CG227" i="1"/>
  <c r="CF227" i="1"/>
  <c r="CE227" i="1"/>
  <c r="CD227" i="1"/>
  <c r="CC227" i="1"/>
  <c r="CB227" i="1"/>
  <c r="CA227" i="1"/>
  <c r="BZ227" i="1"/>
  <c r="BY227" i="1"/>
  <c r="BX227" i="1"/>
  <c r="BW227" i="1"/>
  <c r="BV227" i="1"/>
  <c r="BC227" i="1"/>
  <c r="BC226" i="1"/>
  <c r="CT225" i="1"/>
  <c r="CS225" i="1"/>
  <c r="CR225" i="1"/>
  <c r="CQ225" i="1"/>
  <c r="CP225" i="1"/>
  <c r="CO225" i="1"/>
  <c r="CN225" i="1"/>
  <c r="CM225" i="1"/>
  <c r="CL225" i="1"/>
  <c r="CK225" i="1"/>
  <c r="CJ225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BV225" i="1"/>
  <c r="BC225" i="1"/>
  <c r="BC223" i="1"/>
  <c r="CT222" i="1"/>
  <c r="CS222" i="1"/>
  <c r="CR222" i="1"/>
  <c r="CQ222" i="1"/>
  <c r="CP222" i="1"/>
  <c r="CO222" i="1"/>
  <c r="CN222" i="1"/>
  <c r="CM222" i="1"/>
  <c r="CL222" i="1"/>
  <c r="CK222" i="1"/>
  <c r="CJ222" i="1"/>
  <c r="CI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C222" i="1"/>
  <c r="BC218" i="1"/>
  <c r="BC217" i="1"/>
  <c r="CT216" i="1"/>
  <c r="CS216" i="1"/>
  <c r="CR216" i="1"/>
  <c r="CQ216" i="1"/>
  <c r="CP216" i="1"/>
  <c r="CO216" i="1"/>
  <c r="CN216" i="1"/>
  <c r="CM216" i="1"/>
  <c r="CL216" i="1"/>
  <c r="CK216" i="1"/>
  <c r="CJ216" i="1"/>
  <c r="CI216" i="1"/>
  <c r="CH216" i="1"/>
  <c r="CG216" i="1"/>
  <c r="CF216" i="1"/>
  <c r="CE216" i="1"/>
  <c r="CD216" i="1"/>
  <c r="CC216" i="1"/>
  <c r="CB216" i="1"/>
  <c r="CA216" i="1"/>
  <c r="BZ216" i="1"/>
  <c r="BY216" i="1"/>
  <c r="BX216" i="1"/>
  <c r="BW216" i="1"/>
  <c r="BV216" i="1"/>
  <c r="BC216" i="1"/>
  <c r="BC195" i="1"/>
  <c r="BC194" i="1"/>
  <c r="BC193" i="1"/>
  <c r="CT192" i="1"/>
  <c r="CS192" i="1"/>
  <c r="CR192" i="1"/>
  <c r="CQ192" i="1"/>
  <c r="CP192" i="1"/>
  <c r="CO192" i="1"/>
  <c r="CN192" i="1"/>
  <c r="CM192" i="1"/>
  <c r="CL192" i="1"/>
  <c r="CK192" i="1"/>
  <c r="CJ192" i="1"/>
  <c r="CI192" i="1"/>
  <c r="CH192" i="1"/>
  <c r="CG192" i="1"/>
  <c r="CF192" i="1"/>
  <c r="CE192" i="1"/>
  <c r="CD192" i="1"/>
  <c r="CC192" i="1"/>
  <c r="CB192" i="1"/>
  <c r="CA192" i="1"/>
  <c r="BZ192" i="1"/>
  <c r="BY192" i="1"/>
  <c r="BX192" i="1"/>
  <c r="BW192" i="1"/>
  <c r="BV192" i="1"/>
  <c r="BC192" i="1"/>
  <c r="BC191" i="1"/>
  <c r="CT190" i="1"/>
  <c r="CS190" i="1"/>
  <c r="CR190" i="1"/>
  <c r="CQ190" i="1"/>
  <c r="CP190" i="1"/>
  <c r="CO190" i="1"/>
  <c r="CN190" i="1"/>
  <c r="CM190" i="1"/>
  <c r="CL190" i="1"/>
  <c r="CK190" i="1"/>
  <c r="CJ190" i="1"/>
  <c r="CI190" i="1"/>
  <c r="CH190" i="1"/>
  <c r="CG190" i="1"/>
  <c r="CF190" i="1"/>
  <c r="CE190" i="1"/>
  <c r="CD190" i="1"/>
  <c r="CC190" i="1"/>
  <c r="CB190" i="1"/>
  <c r="CA190" i="1"/>
  <c r="BZ190" i="1"/>
  <c r="BY190" i="1"/>
  <c r="BX190" i="1"/>
  <c r="BW190" i="1"/>
  <c r="BV190" i="1"/>
  <c r="BC190" i="1"/>
  <c r="BC186" i="1"/>
  <c r="CT185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C185" i="1"/>
  <c r="BC174" i="1"/>
  <c r="BC173" i="1"/>
  <c r="BC170" i="1"/>
  <c r="BC169" i="1"/>
  <c r="BC168" i="1"/>
  <c r="BC167" i="1"/>
  <c r="BC150" i="1"/>
  <c r="BC149" i="1"/>
  <c r="BC132" i="1"/>
  <c r="CT131" i="1"/>
  <c r="CS131" i="1"/>
  <c r="CR131" i="1"/>
  <c r="CQ131" i="1"/>
  <c r="CP131" i="1"/>
  <c r="CO131" i="1"/>
  <c r="CN131" i="1"/>
  <c r="CM131" i="1"/>
  <c r="CL131" i="1"/>
  <c r="CK131" i="1"/>
  <c r="CJ131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C131" i="1"/>
  <c r="BC130" i="1"/>
  <c r="BC129" i="1"/>
  <c r="BC123" i="1"/>
  <c r="BC122" i="1"/>
  <c r="BC121" i="1"/>
  <c r="BC120" i="1"/>
  <c r="BC118" i="1"/>
  <c r="BC117" i="1"/>
  <c r="BC116" i="1"/>
  <c r="BC115" i="1"/>
  <c r="BC114" i="1"/>
  <c r="BC113" i="1"/>
  <c r="BC112" i="1"/>
  <c r="BC111" i="1"/>
  <c r="BC110" i="1"/>
  <c r="BC102" i="1"/>
  <c r="BC101" i="1"/>
  <c r="BC100" i="1"/>
  <c r="BC99" i="1"/>
  <c r="BC98" i="1"/>
  <c r="BC97" i="1"/>
  <c r="BC96" i="1"/>
  <c r="BC95" i="1"/>
  <c r="BC94" i="1"/>
  <c r="BC93" i="1"/>
  <c r="BC92" i="1"/>
  <c r="BC91" i="1"/>
  <c r="BC90" i="1"/>
  <c r="BC89" i="1"/>
  <c r="BC88" i="1"/>
  <c r="BC87" i="1"/>
  <c r="BC85" i="1"/>
  <c r="BC84" i="1"/>
  <c r="BC83" i="1"/>
  <c r="BC76" i="1"/>
  <c r="BC75" i="1"/>
  <c r="BC74" i="1"/>
  <c r="BC73" i="1"/>
  <c r="BC71" i="1"/>
  <c r="BC70" i="1"/>
  <c r="BB38" i="1"/>
  <c r="BB37" i="1"/>
  <c r="BC37" i="1"/>
  <c r="BB36" i="1"/>
  <c r="BC36" i="1"/>
  <c r="BB35" i="1"/>
  <c r="BC35" i="1"/>
  <c r="BB34" i="1"/>
  <c r="BC34" i="1"/>
  <c r="BB33" i="1"/>
  <c r="BC33" i="1"/>
  <c r="BB32" i="1"/>
  <c r="BC32" i="1"/>
  <c r="BB31" i="1"/>
  <c r="BC31" i="1"/>
  <c r="BB30" i="1"/>
  <c r="BC30" i="1"/>
  <c r="BB29" i="1"/>
  <c r="BC29" i="1"/>
  <c r="BB28" i="1"/>
  <c r="BC28" i="1"/>
  <c r="BB27" i="1"/>
  <c r="BC27" i="1"/>
  <c r="BC13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B12" i="1"/>
  <c r="BC12" i="1"/>
  <c r="BB11" i="1"/>
  <c r="BC11" i="1"/>
  <c r="BB10" i="1"/>
  <c r="BC10" i="1"/>
  <c r="BC4" i="1"/>
  <c r="BB3" i="1"/>
  <c r="BC3" i="1"/>
  <c r="BB2" i="1"/>
  <c r="B270" i="6"/>
  <c r="F38" i="3"/>
  <c r="A38" i="3"/>
  <c r="G38" i="3"/>
  <c r="H38" i="3"/>
  <c r="F39" i="3"/>
  <c r="F40" i="3"/>
  <c r="F41" i="3"/>
  <c r="A39" i="3"/>
  <c r="H39" i="3"/>
  <c r="A40" i="3"/>
  <c r="H40" i="3"/>
  <c r="A41" i="3"/>
  <c r="H41" i="3"/>
  <c r="AI292" i="4"/>
  <c r="AI94" i="4"/>
  <c r="U94" i="4" a="1"/>
  <c r="U94" i="4"/>
  <c r="AI217" i="4"/>
  <c r="AI216" i="4"/>
  <c r="G39" i="3"/>
  <c r="G40" i="3"/>
  <c r="G41" i="3"/>
  <c r="T94" i="4" a="1"/>
  <c r="T94" i="4"/>
  <c r="T217" i="4" a="1"/>
  <c r="T217" i="4"/>
  <c r="T216" i="4" a="1"/>
  <c r="T216" i="4"/>
  <c r="B24" i="3"/>
  <c r="C24" i="3"/>
  <c r="E24" i="3"/>
  <c r="G25" i="2"/>
  <c r="K25" i="2"/>
  <c r="T25" i="2"/>
  <c r="AA25" i="2"/>
  <c r="AD25" i="2"/>
  <c r="AE25" i="2"/>
  <c r="AF25" i="2"/>
  <c r="AG25" i="2"/>
  <c r="AH25" i="2"/>
  <c r="AI25" i="2"/>
  <c r="AK25" i="2"/>
  <c r="AL25" i="2"/>
  <c r="R46" i="2"/>
  <c r="R323" i="4"/>
  <c r="R333" i="4"/>
  <c r="R331" i="4"/>
  <c r="R332" i="4"/>
  <c r="R340" i="4"/>
  <c r="R341" i="4"/>
  <c r="R335" i="4"/>
  <c r="R336" i="4"/>
  <c r="R325" i="4"/>
  <c r="R328" i="4"/>
  <c r="R326" i="4"/>
  <c r="R327" i="4"/>
  <c r="R344" i="4"/>
  <c r="R338" i="4"/>
  <c r="R345" i="4"/>
  <c r="R315" i="4"/>
  <c r="R322" i="4"/>
  <c r="R319" i="4"/>
  <c r="R50" i="2"/>
  <c r="R350" i="4"/>
  <c r="R337" i="4"/>
  <c r="R356" i="4"/>
  <c r="R366" i="4"/>
  <c r="R348" i="4"/>
  <c r="R364" i="4"/>
  <c r="R351" i="4"/>
  <c r="R365" i="4"/>
  <c r="R367" i="4"/>
  <c r="R318" i="4"/>
  <c r="R349" i="4"/>
  <c r="R359" i="4"/>
  <c r="R354" i="4"/>
  <c r="R358" i="4"/>
  <c r="R352" i="4"/>
  <c r="R353" i="4"/>
  <c r="R36" i="2"/>
  <c r="R84" i="4"/>
  <c r="R83" i="4"/>
  <c r="R320" i="4"/>
  <c r="R82" i="4"/>
  <c r="R330" i="4"/>
  <c r="R357" i="4"/>
  <c r="R346" i="4"/>
  <c r="R316" i="4"/>
  <c r="R342" i="4"/>
  <c r="R329" i="4"/>
  <c r="R339" i="4"/>
  <c r="R50" i="4"/>
  <c r="R361" i="4"/>
  <c r="R100" i="4"/>
  <c r="R49" i="4"/>
  <c r="R362" i="4"/>
  <c r="R321" i="4"/>
  <c r="R68" i="4"/>
  <c r="R37" i="2"/>
  <c r="R87" i="4"/>
  <c r="R379" i="4"/>
  <c r="R372" i="4"/>
  <c r="R317" i="4"/>
  <c r="R324" i="4"/>
  <c r="R158" i="4"/>
  <c r="R376" i="4"/>
  <c r="R373" i="4"/>
  <c r="R371" i="4"/>
  <c r="R381" i="4"/>
  <c r="R378" i="4"/>
  <c r="R377" i="4"/>
  <c r="R370" i="4"/>
  <c r="R374" i="4"/>
  <c r="R347" i="4"/>
  <c r="R375" i="4"/>
  <c r="R304" i="4"/>
  <c r="R314" i="4"/>
  <c r="R312" i="4"/>
  <c r="R305" i="4"/>
  <c r="R208" i="4"/>
  <c r="R308" i="4"/>
  <c r="R311" i="4"/>
  <c r="R301" i="4"/>
  <c r="R313" i="4"/>
  <c r="R306" i="4"/>
  <c r="R152" i="4"/>
  <c r="R310" i="4"/>
  <c r="R299" i="4"/>
  <c r="R302" i="4"/>
  <c r="R307" i="4"/>
  <c r="R300" i="4"/>
  <c r="R303" i="4"/>
  <c r="R111" i="4"/>
  <c r="R126" i="4"/>
  <c r="R276" i="4"/>
  <c r="R197" i="4"/>
  <c r="R179" i="4"/>
  <c r="R283" i="4"/>
  <c r="R62" i="4"/>
  <c r="R275" i="4"/>
  <c r="R218" i="4"/>
  <c r="R165" i="4"/>
  <c r="R171" i="4"/>
  <c r="R148" i="4"/>
  <c r="R160" i="4"/>
  <c r="R180" i="4"/>
  <c r="R146" i="4"/>
  <c r="R178" i="4"/>
  <c r="R226" i="4"/>
  <c r="R45" i="4"/>
  <c r="R225" i="4"/>
  <c r="R10" i="2"/>
  <c r="R34" i="4"/>
  <c r="R89" i="4"/>
  <c r="R35" i="4"/>
  <c r="R205" i="4"/>
  <c r="R138" i="4"/>
  <c r="R274" i="4"/>
  <c r="R157" i="4"/>
  <c r="R139" i="4"/>
  <c r="R200" i="4"/>
  <c r="R38" i="4"/>
  <c r="R237" i="4"/>
  <c r="R182" i="4"/>
  <c r="R267" i="4"/>
  <c r="R74" i="4"/>
  <c r="R224" i="4"/>
  <c r="R137" i="4"/>
  <c r="R217" i="4"/>
  <c r="R251" i="4"/>
  <c r="R201" i="4"/>
  <c r="R27" i="4"/>
  <c r="R119" i="4"/>
  <c r="R147" i="4"/>
  <c r="R154" i="4"/>
  <c r="R295" i="4"/>
  <c r="R223" i="4"/>
  <c r="R206" i="4"/>
  <c r="R202" i="4"/>
  <c r="R271" i="4"/>
  <c r="R207" i="4"/>
  <c r="R173" i="4"/>
  <c r="R95" i="4"/>
  <c r="R96" i="4"/>
  <c r="R184" i="4"/>
  <c r="R107" i="4"/>
  <c r="R273" i="4"/>
  <c r="R250" i="4"/>
  <c r="R291" i="4"/>
  <c r="R216" i="4"/>
  <c r="R292" i="4"/>
  <c r="R363" i="4"/>
  <c r="R174" i="4"/>
  <c r="R209" i="4"/>
  <c r="R52" i="4"/>
  <c r="R125" i="4"/>
  <c r="R140" i="4"/>
  <c r="R103" i="4"/>
  <c r="R39" i="4"/>
  <c r="R183" i="4"/>
  <c r="R268" i="4"/>
  <c r="R211" i="4"/>
  <c r="R26" i="2"/>
  <c r="R195" i="4"/>
  <c r="R172" i="4"/>
  <c r="R175" i="4"/>
  <c r="R176" i="4"/>
  <c r="R177" i="4"/>
  <c r="R28" i="4"/>
  <c r="R243" i="4"/>
  <c r="R75" i="4"/>
  <c r="R135" i="4"/>
  <c r="R136" i="4"/>
  <c r="R343" i="4"/>
  <c r="R264" i="4"/>
  <c r="R63" i="4"/>
  <c r="R150" i="4"/>
  <c r="R270" i="4"/>
  <c r="R193" i="4"/>
  <c r="R288" i="4"/>
  <c r="R233" i="4"/>
  <c r="R61" i="4"/>
  <c r="R235" i="4"/>
  <c r="R78" i="4"/>
  <c r="R101" i="4"/>
  <c r="R153" i="4"/>
  <c r="R227" i="4"/>
  <c r="R260" i="4"/>
  <c r="R21" i="4"/>
  <c r="R143" i="4"/>
  <c r="R368" i="4"/>
  <c r="R31" i="4"/>
  <c r="R72" i="4"/>
  <c r="R254" i="4"/>
  <c r="R54" i="4"/>
  <c r="R40" i="4"/>
  <c r="R266" i="4"/>
  <c r="R278" i="4"/>
  <c r="R213" i="4"/>
  <c r="R215" i="4"/>
  <c r="R297" i="4"/>
  <c r="R284" i="4"/>
  <c r="R144" i="4"/>
  <c r="R239" i="4"/>
  <c r="R167" i="4"/>
  <c r="R55" i="4"/>
  <c r="R57" i="4"/>
  <c r="R236" i="4"/>
  <c r="R121" i="4"/>
  <c r="R109" i="4"/>
  <c r="R53" i="4"/>
  <c r="R56" i="4"/>
  <c r="R104" i="4"/>
  <c r="R15" i="4"/>
  <c r="R187" i="4"/>
  <c r="R81" i="4"/>
  <c r="R255" i="4"/>
  <c r="R134" i="4"/>
  <c r="R88" i="4"/>
  <c r="R102" i="4"/>
  <c r="R241" i="4"/>
  <c r="R189" i="4"/>
  <c r="R269" i="4"/>
  <c r="R122" i="4"/>
  <c r="R127" i="4"/>
  <c r="R192" i="4"/>
  <c r="R92" i="4"/>
  <c r="R93" i="4"/>
  <c r="R97" i="4"/>
  <c r="R12" i="4"/>
  <c r="R188" i="4"/>
  <c r="R272" i="4"/>
  <c r="R203" i="4"/>
  <c r="R296" i="4"/>
  <c r="R94" i="4"/>
  <c r="R145" i="4"/>
  <c r="R185" i="4"/>
  <c r="R36" i="4"/>
  <c r="R230" i="4"/>
  <c r="R30" i="4"/>
  <c r="R265" i="4"/>
  <c r="R112" i="4"/>
  <c r="R91" i="4"/>
  <c r="R37" i="4"/>
  <c r="R238" i="4"/>
  <c r="R240" i="4"/>
  <c r="R244" i="4"/>
  <c r="R222" i="4"/>
  <c r="R90" i="4"/>
  <c r="R228" i="4"/>
  <c r="R229" i="4"/>
  <c r="R198" i="4"/>
  <c r="R41" i="4"/>
  <c r="R108" i="4"/>
  <c r="R191" i="4"/>
  <c r="R159" i="4"/>
  <c r="R199" i="4"/>
  <c r="R51" i="4"/>
  <c r="R219" i="4"/>
  <c r="R245" i="4"/>
  <c r="R66" i="4"/>
  <c r="R289" i="4"/>
  <c r="R20" i="4"/>
  <c r="R170" i="4"/>
  <c r="R258" i="4"/>
  <c r="R13" i="4"/>
  <c r="R234" i="4"/>
  <c r="R151" i="4"/>
  <c r="R46" i="4"/>
  <c r="R169" i="4"/>
  <c r="R77" i="4"/>
  <c r="R99" i="4"/>
  <c r="R32" i="4"/>
  <c r="R242" i="4"/>
  <c r="R70" i="4"/>
  <c r="R168" i="4"/>
  <c r="R279" i="4"/>
  <c r="R280" i="4"/>
  <c r="R166" i="4"/>
  <c r="R257" i="4"/>
  <c r="R33" i="4"/>
  <c r="R60" i="4"/>
  <c r="R210" i="4"/>
  <c r="R220" i="4"/>
  <c r="R221" i="4"/>
  <c r="R247" i="4"/>
  <c r="R123" i="4"/>
  <c r="R281" i="4"/>
  <c r="R141" i="4"/>
  <c r="R259" i="4"/>
  <c r="R263" i="4"/>
  <c r="R42" i="4"/>
  <c r="R71" i="4"/>
  <c r="R80" i="4"/>
  <c r="R29" i="4"/>
  <c r="R246" i="4"/>
  <c r="R231" i="4"/>
  <c r="R287" i="4"/>
  <c r="R58" i="4"/>
  <c r="R186" i="4"/>
  <c r="R124" i="4"/>
  <c r="R73" i="4"/>
  <c r="R79" i="4"/>
  <c r="R196" i="4"/>
  <c r="R261" i="4"/>
  <c r="R285" i="4"/>
  <c r="R120" i="4"/>
  <c r="R76" i="4"/>
  <c r="R16" i="4"/>
  <c r="R48" i="4"/>
  <c r="R294" i="4"/>
  <c r="R59" i="4"/>
  <c r="R9" i="4"/>
  <c r="R10" i="4"/>
  <c r="R19" i="4"/>
  <c r="R249" i="4"/>
  <c r="R252" i="4"/>
  <c r="R253" i="4"/>
  <c r="R11" i="4"/>
  <c r="R256" i="4"/>
  <c r="R290" i="4"/>
  <c r="R105" i="4"/>
  <c r="R14" i="4"/>
  <c r="R190" i="4"/>
  <c r="R248" i="4"/>
  <c r="R194" i="4"/>
  <c r="R106" i="4"/>
  <c r="R8" i="4"/>
  <c r="R110" i="4"/>
  <c r="R212" i="4"/>
  <c r="R204" i="4"/>
  <c r="R3" i="4"/>
  <c r="R18" i="4"/>
  <c r="R43" i="4"/>
  <c r="R44" i="4"/>
  <c r="Z363" i="4"/>
  <c r="Z369" i="4"/>
  <c r="Z360" i="4"/>
  <c r="U2" i="12"/>
  <c r="R286" i="4"/>
  <c r="R293" i="4"/>
  <c r="R69" i="4"/>
  <c r="R334" i="4"/>
  <c r="Q2" i="12"/>
  <c r="O2" i="12"/>
  <c r="N396" i="4"/>
  <c r="N408" i="4"/>
  <c r="M2" i="12"/>
  <c r="K2" i="12"/>
  <c r="J188" i="4"/>
  <c r="J23" i="4"/>
  <c r="J179" i="4"/>
  <c r="J180" i="4"/>
  <c r="J286" i="4"/>
  <c r="J187" i="4"/>
  <c r="J238" i="4"/>
  <c r="J266" i="4"/>
  <c r="J240" i="4"/>
  <c r="J241" i="4"/>
  <c r="J243" i="4"/>
  <c r="J267" i="4"/>
  <c r="J244" i="4"/>
  <c r="J268" i="4"/>
  <c r="J121" i="4"/>
  <c r="J269" i="4"/>
  <c r="J270" i="4"/>
  <c r="J271" i="4"/>
  <c r="J272" i="4"/>
  <c r="J151" i="4"/>
  <c r="J210" i="4"/>
  <c r="J220" i="4"/>
  <c r="J221" i="4"/>
  <c r="J250" i="4"/>
  <c r="J192" i="4"/>
  <c r="J213" i="4"/>
  <c r="J77" i="4"/>
  <c r="J290" i="4"/>
  <c r="J199" i="4"/>
  <c r="J263" i="4"/>
  <c r="J186" i="4"/>
  <c r="J239" i="4"/>
  <c r="J242" i="4"/>
  <c r="J273" i="4"/>
  <c r="J9" i="4"/>
  <c r="J190" i="4"/>
  <c r="J10" i="4"/>
  <c r="J26" i="2"/>
  <c r="J16" i="4"/>
  <c r="J278" i="4"/>
  <c r="J284" i="4"/>
  <c r="J8" i="4"/>
  <c r="J68" i="4"/>
  <c r="J296" i="4"/>
  <c r="J251" i="4"/>
  <c r="J252" i="4"/>
  <c r="J279" i="4"/>
  <c r="J280" i="4"/>
  <c r="J281" i="4"/>
  <c r="J87" i="4"/>
  <c r="J291" i="4"/>
  <c r="J196" i="4"/>
  <c r="J218" i="4"/>
  <c r="J228" i="4"/>
  <c r="J292" i="4"/>
  <c r="J297" i="4"/>
  <c r="J197" i="4"/>
  <c r="J294" i="4"/>
  <c r="J100" i="4"/>
  <c r="J246" i="4"/>
  <c r="J194" i="4"/>
  <c r="J141" i="4"/>
  <c r="J116" i="4"/>
  <c r="J234" i="4"/>
  <c r="J235" i="4"/>
  <c r="J155" i="4"/>
  <c r="J191" i="4"/>
  <c r="J249" i="4"/>
  <c r="J295" i="4"/>
  <c r="J73" i="4"/>
  <c r="J212" i="4"/>
  <c r="J255" i="4"/>
  <c r="J256" i="4"/>
  <c r="J230" i="4"/>
  <c r="J258" i="4"/>
  <c r="J285" i="4"/>
  <c r="J237" i="4"/>
  <c r="J189" i="4"/>
  <c r="J277" i="4"/>
  <c r="J222" i="4"/>
  <c r="J254" i="4"/>
  <c r="J231" i="4"/>
  <c r="J219" i="4"/>
  <c r="J122" i="4"/>
  <c r="J229" i="4"/>
  <c r="J257" i="4"/>
  <c r="J260" i="4"/>
  <c r="J114" i="4"/>
  <c r="J145" i="4"/>
  <c r="J183" i="4"/>
  <c r="J236" i="4"/>
  <c r="J127" i="4"/>
  <c r="J289" i="4"/>
  <c r="J223" i="4"/>
  <c r="J214" i="4"/>
  <c r="J111" i="4"/>
  <c r="J134" i="4"/>
  <c r="J135" i="4"/>
  <c r="J176" i="4"/>
  <c r="J137" i="4"/>
  <c r="J138" i="4"/>
  <c r="J140" i="4"/>
  <c r="J117" i="4"/>
  <c r="J142" i="4"/>
  <c r="J27" i="4"/>
  <c r="J143" i="4"/>
  <c r="J28" i="4"/>
  <c r="J123" i="4"/>
  <c r="J168" i="4"/>
  <c r="J173" i="4"/>
  <c r="J91" i="4"/>
  <c r="J93" i="4"/>
  <c r="J95" i="4"/>
  <c r="J96" i="4"/>
  <c r="J50" i="4"/>
  <c r="J276" i="4"/>
  <c r="J158" i="4"/>
  <c r="J275" i="4"/>
  <c r="J124" i="4"/>
  <c r="J211" i="4"/>
  <c r="J165" i="4"/>
  <c r="J166" i="4"/>
  <c r="J167" i="4"/>
  <c r="J174" i="4"/>
  <c r="J293" i="4"/>
  <c r="J144" i="4"/>
  <c r="J120" i="4"/>
  <c r="J80" i="4"/>
  <c r="J169" i="4"/>
  <c r="J171" i="4"/>
  <c r="J206" i="4"/>
  <c r="J172" i="4"/>
  <c r="J298" i="4"/>
  <c r="J200" i="4"/>
  <c r="J201" i="4"/>
  <c r="J14" i="4"/>
  <c r="J74" i="4"/>
  <c r="J45" i="4"/>
  <c r="J47" i="4"/>
  <c r="J85" i="4"/>
  <c r="J86" i="4"/>
  <c r="J170" i="4"/>
  <c r="J88" i="4"/>
  <c r="J90" i="4"/>
  <c r="J182" i="4"/>
  <c r="J52" i="4"/>
  <c r="J54" i="4"/>
  <c r="J59" i="4"/>
  <c r="J202" i="4"/>
  <c r="J193" i="4"/>
  <c r="J112" i="4"/>
  <c r="J195" i="4"/>
  <c r="J207" i="4"/>
  <c r="J208" i="4"/>
  <c r="J115" i="4"/>
  <c r="J105" i="4"/>
  <c r="J125" i="4"/>
  <c r="J215" i="4"/>
  <c r="J209" i="4"/>
  <c r="J283" i="4"/>
  <c r="J118" i="4"/>
  <c r="J53" i="4"/>
  <c r="J72" i="4"/>
  <c r="J89" i="4"/>
  <c r="J51" i="4"/>
  <c r="J55" i="4"/>
  <c r="J56" i="4"/>
  <c r="J57" i="4"/>
  <c r="J71" i="4"/>
  <c r="J79" i="4"/>
  <c r="J136" i="4"/>
  <c r="J2" i="4"/>
  <c r="J205" i="4"/>
  <c r="J101" i="4"/>
  <c r="J30" i="4"/>
  <c r="J225" i="4"/>
  <c r="J274" i="4"/>
  <c r="J159" i="4"/>
  <c r="J160" i="4"/>
  <c r="J153" i="4"/>
  <c r="J18" i="4"/>
  <c r="J40" i="4"/>
  <c r="J97" i="4"/>
  <c r="J99" i="4"/>
  <c r="J184" i="4"/>
  <c r="J203" i="4"/>
  <c r="J78" i="4"/>
  <c r="J13" i="4"/>
  <c r="J217" i="4"/>
  <c r="J70" i="4"/>
  <c r="J185" i="4"/>
  <c r="J216" i="4"/>
  <c r="J31" i="4"/>
  <c r="J148" i="4"/>
  <c r="J60" i="4"/>
  <c r="J63" i="4"/>
  <c r="J146" i="4"/>
  <c r="J61" i="4"/>
  <c r="J227" i="4"/>
  <c r="J10" i="2"/>
  <c r="J19" i="4"/>
  <c r="J98" i="4"/>
  <c r="J62" i="4"/>
  <c r="J147" i="4"/>
  <c r="J38" i="4"/>
  <c r="J104" i="4"/>
  <c r="J150" i="4"/>
  <c r="J103" i="4"/>
  <c r="J119" i="4"/>
  <c r="J29" i="4"/>
  <c r="J17" i="4"/>
  <c r="J58" i="4"/>
  <c r="J154" i="4"/>
  <c r="J13" i="2"/>
  <c r="J110" i="4"/>
  <c r="J66" i="4"/>
  <c r="J102" i="4"/>
  <c r="J175" i="4"/>
  <c r="J81" i="4"/>
  <c r="J107" i="4"/>
  <c r="J32" i="4"/>
  <c r="J15" i="4"/>
  <c r="J41" i="4"/>
  <c r="J106" i="4"/>
  <c r="J33" i="4"/>
  <c r="J36" i="4"/>
  <c r="J108" i="4"/>
  <c r="J46" i="4"/>
  <c r="J37" i="4"/>
  <c r="J34" i="4"/>
  <c r="I2" i="12"/>
  <c r="H90" i="4"/>
  <c r="H89" i="4"/>
  <c r="G2" i="12"/>
  <c r="F245" i="4"/>
  <c r="F46" i="2"/>
  <c r="F233" i="4"/>
  <c r="F264" i="4"/>
  <c r="F265" i="4"/>
  <c r="F238" i="4"/>
  <c r="F266" i="4"/>
  <c r="F240" i="4"/>
  <c r="F241" i="4"/>
  <c r="F243" i="4"/>
  <c r="F267" i="4"/>
  <c r="F244" i="4"/>
  <c r="F268" i="4"/>
  <c r="F247" i="4"/>
  <c r="F269" i="4"/>
  <c r="F270" i="4"/>
  <c r="F271" i="4"/>
  <c r="F272" i="4"/>
  <c r="F151" i="4"/>
  <c r="F250" i="4"/>
  <c r="F290" i="4"/>
  <c r="F287" i="4"/>
  <c r="F263" i="4"/>
  <c r="F239" i="4"/>
  <c r="F242" i="4"/>
  <c r="F273" i="4"/>
  <c r="F190" i="4"/>
  <c r="F278" i="4"/>
  <c r="F284" i="4"/>
  <c r="F68" i="4"/>
  <c r="F281" i="4"/>
  <c r="F37" i="2"/>
  <c r="F87" i="4"/>
  <c r="F291" i="4"/>
  <c r="F218" i="4"/>
  <c r="F197" i="4"/>
  <c r="F100" i="4"/>
  <c r="F116" i="4"/>
  <c r="F234" i="4"/>
  <c r="F295" i="4"/>
  <c r="F129" i="4"/>
  <c r="F212" i="4"/>
  <c r="F255" i="4"/>
  <c r="F256" i="4"/>
  <c r="F12" i="2"/>
  <c r="F149" i="4"/>
  <c r="F237" i="4"/>
  <c r="F204" i="4"/>
  <c r="F257" i="4"/>
  <c r="F114" i="4"/>
  <c r="F145" i="4"/>
  <c r="F183" i="4"/>
  <c r="F236" i="4"/>
  <c r="F289" i="4"/>
  <c r="F111" i="4"/>
  <c r="F134" i="4"/>
  <c r="F135" i="4"/>
  <c r="F176" i="4"/>
  <c r="F177" i="4"/>
  <c r="F137" i="4"/>
  <c r="F138" i="4"/>
  <c r="F139" i="4"/>
  <c r="F140" i="4"/>
  <c r="F117" i="4"/>
  <c r="F142" i="4"/>
  <c r="F27" i="4"/>
  <c r="F143" i="4"/>
  <c r="F28" i="4"/>
  <c r="F123" i="4"/>
  <c r="F168" i="4"/>
  <c r="F173" i="4"/>
  <c r="F91" i="4"/>
  <c r="F92" i="4"/>
  <c r="F93" i="4"/>
  <c r="F95" i="4"/>
  <c r="F96" i="4"/>
  <c r="F49" i="4"/>
  <c r="F50" i="4"/>
  <c r="F276" i="4"/>
  <c r="F152" i="4"/>
  <c r="F158" i="4"/>
  <c r="F275" i="4"/>
  <c r="F124" i="4"/>
  <c r="F211" i="4"/>
  <c r="F165" i="4"/>
  <c r="F166" i="4"/>
  <c r="F167" i="4"/>
  <c r="F174" i="4"/>
  <c r="F144" i="4"/>
  <c r="F120" i="4"/>
  <c r="F80" i="4"/>
  <c r="F169" i="4"/>
  <c r="F171" i="4"/>
  <c r="F206" i="4"/>
  <c r="F172" i="4"/>
  <c r="F298" i="4"/>
  <c r="F200" i="4"/>
  <c r="F201" i="4"/>
  <c r="F14" i="4"/>
  <c r="F74" i="4"/>
  <c r="F45" i="4"/>
  <c r="F47" i="4"/>
  <c r="F85" i="4"/>
  <c r="F86" i="4"/>
  <c r="F162" i="4"/>
  <c r="F163" i="4"/>
  <c r="F170" i="4"/>
  <c r="F88" i="4"/>
  <c r="F90" i="4"/>
  <c r="F182" i="4"/>
  <c r="F52" i="4"/>
  <c r="F54" i="4"/>
  <c r="F59" i="4"/>
  <c r="F202" i="4"/>
  <c r="F126" i="4"/>
  <c r="F5" i="4"/>
  <c r="F6" i="4"/>
  <c r="F193" i="4"/>
  <c r="F164" i="4"/>
  <c r="F195" i="4"/>
  <c r="F207" i="4"/>
  <c r="F161" i="4"/>
  <c r="F208" i="4"/>
  <c r="F115" i="4"/>
  <c r="F105" i="4"/>
  <c r="F125" i="4"/>
  <c r="F22" i="4"/>
  <c r="F215" i="4"/>
  <c r="F209" i="4"/>
  <c r="F283" i="4"/>
  <c r="F118" i="4"/>
  <c r="F53" i="4"/>
  <c r="F13" i="2"/>
  <c r="F128" i="4"/>
  <c r="F72" i="4"/>
  <c r="F89" i="4"/>
  <c r="F94" i="4"/>
  <c r="F51" i="4"/>
  <c r="F55" i="4"/>
  <c r="F56" i="4"/>
  <c r="F57" i="4"/>
  <c r="F20" i="4"/>
  <c r="F71" i="4"/>
  <c r="F21" i="4"/>
  <c r="F79" i="4"/>
  <c r="F2" i="4"/>
  <c r="F205" i="4"/>
  <c r="F101" i="4"/>
  <c r="F30" i="4"/>
  <c r="F225" i="4"/>
  <c r="F12" i="4"/>
  <c r="F43" i="4"/>
  <c r="F44" i="4"/>
  <c r="F274" i="4"/>
  <c r="F226" i="4"/>
  <c r="F159" i="4"/>
  <c r="F160" i="4"/>
  <c r="F18" i="4"/>
  <c r="F40" i="4"/>
  <c r="F97" i="4"/>
  <c r="F99" i="4"/>
  <c r="F184" i="4"/>
  <c r="F203" i="4"/>
  <c r="F13" i="4"/>
  <c r="F217" i="4"/>
  <c r="F70" i="4"/>
  <c r="F185" i="4"/>
  <c r="F39" i="4"/>
  <c r="F216" i="4"/>
  <c r="F31" i="4"/>
  <c r="F148" i="4"/>
  <c r="F60" i="4"/>
  <c r="F63" i="4"/>
  <c r="F146" i="4"/>
  <c r="F61" i="4"/>
  <c r="F10" i="2"/>
  <c r="F19" i="4"/>
  <c r="F98" i="4"/>
  <c r="F62" i="4"/>
  <c r="F11" i="4"/>
  <c r="F147" i="4"/>
  <c r="F38" i="4"/>
  <c r="F75" i="4"/>
  <c r="F104" i="4"/>
  <c r="F150" i="4"/>
  <c r="F103" i="4"/>
  <c r="F119" i="4"/>
  <c r="F76" i="4"/>
  <c r="F29" i="4"/>
  <c r="F58" i="4"/>
  <c r="F154" i="4"/>
  <c r="F109" i="4"/>
  <c r="F110" i="4"/>
  <c r="F66" i="4"/>
  <c r="F102" i="4"/>
  <c r="F175" i="4"/>
  <c r="F81" i="4"/>
  <c r="F107" i="4"/>
  <c r="F32" i="4"/>
  <c r="F15" i="4"/>
  <c r="F41" i="4"/>
  <c r="F106" i="4"/>
  <c r="F33" i="4"/>
  <c r="F36" i="4"/>
  <c r="F108" i="4"/>
  <c r="F50" i="2"/>
  <c r="F46" i="4"/>
  <c r="F37" i="4"/>
  <c r="F34" i="4"/>
  <c r="F35" i="4"/>
  <c r="F304" i="4"/>
  <c r="F305" i="4"/>
  <c r="F306" i="4"/>
  <c r="F307" i="4"/>
  <c r="F310" i="4"/>
  <c r="F311" i="4"/>
  <c r="F312" i="4"/>
  <c r="F313" i="4"/>
  <c r="F300" i="4"/>
  <c r="F301" i="4"/>
  <c r="F299" i="4"/>
  <c r="F302" i="4"/>
  <c r="F303" i="4"/>
  <c r="F314" i="4"/>
  <c r="F51" i="2"/>
  <c r="F308" i="4"/>
  <c r="F342" i="4"/>
  <c r="F333" i="4"/>
  <c r="F331" i="4"/>
  <c r="F332" i="4"/>
  <c r="F324" i="4"/>
  <c r="F334" i="4"/>
  <c r="F323" i="4"/>
  <c r="F341" i="4"/>
  <c r="F316" i="4"/>
  <c r="F339" i="4"/>
  <c r="F322" i="4"/>
  <c r="F346" i="4"/>
  <c r="F325" i="4"/>
  <c r="F318" i="4"/>
  <c r="F319" i="4"/>
  <c r="F320" i="4"/>
  <c r="F321" i="4"/>
  <c r="F347" i="4"/>
  <c r="F337" i="4"/>
  <c r="F338" i="4"/>
  <c r="F340" i="4"/>
  <c r="F326" i="4"/>
  <c r="F327" i="4"/>
  <c r="F328" i="4"/>
  <c r="F329" i="4"/>
  <c r="F330" i="4"/>
  <c r="F317" i="4"/>
  <c r="F315" i="4"/>
  <c r="F335" i="4"/>
  <c r="F336" i="4"/>
  <c r="F345" i="4"/>
  <c r="F343" i="4"/>
  <c r="F344" i="4"/>
  <c r="F351" i="4"/>
  <c r="F350" i="4"/>
  <c r="F361" i="4"/>
  <c r="F362" i="4"/>
  <c r="F348" i="4"/>
  <c r="F358" i="4"/>
  <c r="F359" i="4"/>
  <c r="F364" i="4"/>
  <c r="F349" i="4"/>
  <c r="F365" i="4"/>
  <c r="F366" i="4"/>
  <c r="F367" i="4"/>
  <c r="F352" i="4"/>
  <c r="F353" i="4"/>
  <c r="F354" i="4"/>
  <c r="F356" i="4"/>
  <c r="F357" i="4"/>
  <c r="F355" i="4"/>
  <c r="F368" i="4"/>
  <c r="F363" i="4"/>
  <c r="F369" i="4"/>
  <c r="F360" i="4"/>
  <c r="F379" i="4"/>
  <c r="F377" i="4"/>
  <c r="F373" i="4"/>
  <c r="F374" i="4"/>
  <c r="F370" i="4"/>
  <c r="F371" i="4"/>
  <c r="F375" i="4"/>
  <c r="F376" i="4"/>
  <c r="F378" i="4"/>
  <c r="F372" i="4"/>
  <c r="F381" i="4"/>
  <c r="F390" i="4"/>
  <c r="F389" i="4"/>
  <c r="F396" i="4"/>
  <c r="F388" i="4"/>
  <c r="F397" i="4"/>
  <c r="F398" i="4"/>
  <c r="F399" i="4"/>
  <c r="F400" i="4"/>
  <c r="F401" i="4"/>
  <c r="F391" i="4"/>
  <c r="F392" i="4"/>
  <c r="F393" i="4"/>
  <c r="F402" i="4"/>
  <c r="F403" i="4"/>
  <c r="F404" i="4"/>
  <c r="F405" i="4"/>
  <c r="F394" i="4"/>
  <c r="F395" i="4"/>
  <c r="F406" i="4"/>
  <c r="F407" i="4"/>
  <c r="F408" i="4"/>
  <c r="F409" i="4"/>
  <c r="F410" i="4"/>
  <c r="F411" i="4"/>
  <c r="F387" i="4"/>
  <c r="E2" i="12"/>
  <c r="C2" i="12"/>
  <c r="E245" i="4"/>
  <c r="E46" i="2"/>
  <c r="E233" i="4"/>
  <c r="E264" i="4"/>
  <c r="E265" i="4"/>
  <c r="E238" i="4"/>
  <c r="E266" i="4"/>
  <c r="E240" i="4"/>
  <c r="E241" i="4"/>
  <c r="E243" i="4"/>
  <c r="E267" i="4"/>
  <c r="E244" i="4"/>
  <c r="E268" i="4"/>
  <c r="E247" i="4"/>
  <c r="E269" i="4"/>
  <c r="E270" i="4"/>
  <c r="E271" i="4"/>
  <c r="E272" i="4"/>
  <c r="E151" i="4"/>
  <c r="E250" i="4"/>
  <c r="E290" i="4"/>
  <c r="E287" i="4"/>
  <c r="E263" i="4"/>
  <c r="E239" i="4"/>
  <c r="E242" i="4"/>
  <c r="E273" i="4"/>
  <c r="E190" i="4"/>
  <c r="E278" i="4"/>
  <c r="E284" i="4"/>
  <c r="E68" i="4"/>
  <c r="E281" i="4"/>
  <c r="E37" i="2"/>
  <c r="E87" i="4"/>
  <c r="E291" i="4"/>
  <c r="E218" i="4"/>
  <c r="E197" i="4"/>
  <c r="E100" i="4"/>
  <c r="E116" i="4"/>
  <c r="E234" i="4"/>
  <c r="E295" i="4"/>
  <c r="E129" i="4"/>
  <c r="E212" i="4"/>
  <c r="E255" i="4"/>
  <c r="E256" i="4"/>
  <c r="E12" i="2"/>
  <c r="E149" i="4"/>
  <c r="E237" i="4"/>
  <c r="E204" i="4"/>
  <c r="E257" i="4"/>
  <c r="E114" i="4"/>
  <c r="E145" i="4"/>
  <c r="E183" i="4"/>
  <c r="E236" i="4"/>
  <c r="E289" i="4"/>
  <c r="E111" i="4"/>
  <c r="E134" i="4"/>
  <c r="E135" i="4"/>
  <c r="E176" i="4"/>
  <c r="E177" i="4"/>
  <c r="E137" i="4"/>
  <c r="E138" i="4"/>
  <c r="E139" i="4"/>
  <c r="E140" i="4"/>
  <c r="E117" i="4"/>
  <c r="E142" i="4"/>
  <c r="E27" i="4"/>
  <c r="E143" i="4"/>
  <c r="E28" i="4"/>
  <c r="E123" i="4"/>
  <c r="E168" i="4"/>
  <c r="E173" i="4"/>
  <c r="E91" i="4"/>
  <c r="E92" i="4"/>
  <c r="E93" i="4"/>
  <c r="E95" i="4"/>
  <c r="E96" i="4"/>
  <c r="E49" i="4"/>
  <c r="E50" i="4"/>
  <c r="E276" i="4"/>
  <c r="E152" i="4"/>
  <c r="E158" i="4"/>
  <c r="E275" i="4"/>
  <c r="E124" i="4"/>
  <c r="E211" i="4"/>
  <c r="E165" i="4"/>
  <c r="E166" i="4"/>
  <c r="E167" i="4"/>
  <c r="E174" i="4"/>
  <c r="E144" i="4"/>
  <c r="E120" i="4"/>
  <c r="E80" i="4"/>
  <c r="E169" i="4"/>
  <c r="E171" i="4"/>
  <c r="E206" i="4"/>
  <c r="E172" i="4"/>
  <c r="E298" i="4"/>
  <c r="E200" i="4"/>
  <c r="E201" i="4"/>
  <c r="E14" i="4"/>
  <c r="E74" i="4"/>
  <c r="E45" i="4"/>
  <c r="E47" i="4"/>
  <c r="E85" i="4"/>
  <c r="E86" i="4"/>
  <c r="E162" i="4"/>
  <c r="E163" i="4"/>
  <c r="E170" i="4"/>
  <c r="E88" i="4"/>
  <c r="E90" i="4"/>
  <c r="E182" i="4"/>
  <c r="E52" i="4"/>
  <c r="E54" i="4"/>
  <c r="E59" i="4"/>
  <c r="E202" i="4"/>
  <c r="E126" i="4"/>
  <c r="E5" i="4"/>
  <c r="E6" i="4"/>
  <c r="E193" i="4"/>
  <c r="E164" i="4"/>
  <c r="E195" i="4"/>
  <c r="E207" i="4"/>
  <c r="E161" i="4"/>
  <c r="E208" i="4"/>
  <c r="E115" i="4"/>
  <c r="E105" i="4"/>
  <c r="E125" i="4"/>
  <c r="E22" i="4"/>
  <c r="E215" i="4"/>
  <c r="E209" i="4"/>
  <c r="E283" i="4"/>
  <c r="E118" i="4"/>
  <c r="E53" i="4"/>
  <c r="E13" i="2"/>
  <c r="E128" i="4"/>
  <c r="E72" i="4"/>
  <c r="E89" i="4"/>
  <c r="E94" i="4"/>
  <c r="E51" i="4"/>
  <c r="E55" i="4"/>
  <c r="E56" i="4"/>
  <c r="E57" i="4"/>
  <c r="E20" i="4"/>
  <c r="E71" i="4"/>
  <c r="E21" i="4"/>
  <c r="E79" i="4"/>
  <c r="E2" i="4"/>
  <c r="E205" i="4"/>
  <c r="E101" i="4"/>
  <c r="E30" i="4"/>
  <c r="E225" i="4"/>
  <c r="E12" i="4"/>
  <c r="E43" i="4"/>
  <c r="E44" i="4"/>
  <c r="E274" i="4"/>
  <c r="E226" i="4"/>
  <c r="E159" i="4"/>
  <c r="E160" i="4"/>
  <c r="E18" i="4"/>
  <c r="E40" i="4"/>
  <c r="E97" i="4"/>
  <c r="E99" i="4"/>
  <c r="E184" i="4"/>
  <c r="E203" i="4"/>
  <c r="E13" i="4"/>
  <c r="E217" i="4"/>
  <c r="E70" i="4"/>
  <c r="E185" i="4"/>
  <c r="E39" i="4"/>
  <c r="E216" i="4"/>
  <c r="E31" i="4"/>
  <c r="E148" i="4"/>
  <c r="E60" i="4"/>
  <c r="E63" i="4"/>
  <c r="E146" i="4"/>
  <c r="E61" i="4"/>
  <c r="E10" i="2"/>
  <c r="E19" i="4"/>
  <c r="E98" i="4"/>
  <c r="E62" i="4"/>
  <c r="E11" i="4"/>
  <c r="E147" i="4"/>
  <c r="E38" i="4"/>
  <c r="E75" i="4"/>
  <c r="E104" i="4"/>
  <c r="E150" i="4"/>
  <c r="E103" i="4"/>
  <c r="E119" i="4"/>
  <c r="E76" i="4"/>
  <c r="E29" i="4"/>
  <c r="E58" i="4"/>
  <c r="E154" i="4"/>
  <c r="E109" i="4"/>
  <c r="E110" i="4"/>
  <c r="E66" i="4"/>
  <c r="E102" i="4"/>
  <c r="E175" i="4"/>
  <c r="E81" i="4"/>
  <c r="E107" i="4"/>
  <c r="E32" i="4"/>
  <c r="E15" i="4"/>
  <c r="E41" i="4"/>
  <c r="E106" i="4"/>
  <c r="E33" i="4"/>
  <c r="E36" i="4"/>
  <c r="E108" i="4"/>
  <c r="E50" i="2"/>
  <c r="E46" i="4"/>
  <c r="E37" i="4"/>
  <c r="E34" i="4"/>
  <c r="E35" i="4"/>
  <c r="E304" i="4"/>
  <c r="E305" i="4"/>
  <c r="E306" i="4"/>
  <c r="E307" i="4"/>
  <c r="E310" i="4"/>
  <c r="E311" i="4"/>
  <c r="E312" i="4"/>
  <c r="E313" i="4"/>
  <c r="E300" i="4"/>
  <c r="E301" i="4"/>
  <c r="E299" i="4"/>
  <c r="E302" i="4"/>
  <c r="E303" i="4"/>
  <c r="E314" i="4"/>
  <c r="E51" i="2"/>
  <c r="E308" i="4"/>
  <c r="E342" i="4"/>
  <c r="E333" i="4"/>
  <c r="E331" i="4"/>
  <c r="E332" i="4"/>
  <c r="E324" i="4"/>
  <c r="E334" i="4"/>
  <c r="E323" i="4"/>
  <c r="E341" i="4"/>
  <c r="E316" i="4"/>
  <c r="E339" i="4"/>
  <c r="E322" i="4"/>
  <c r="E346" i="4"/>
  <c r="E325" i="4"/>
  <c r="E318" i="4"/>
  <c r="E319" i="4"/>
  <c r="E320" i="4"/>
  <c r="E321" i="4"/>
  <c r="E347" i="4"/>
  <c r="E337" i="4"/>
  <c r="E338" i="4"/>
  <c r="E340" i="4"/>
  <c r="E326" i="4"/>
  <c r="E327" i="4"/>
  <c r="E328" i="4"/>
  <c r="E329" i="4"/>
  <c r="E330" i="4"/>
  <c r="E317" i="4"/>
  <c r="E315" i="4"/>
  <c r="E335" i="4"/>
  <c r="E336" i="4"/>
  <c r="E345" i="4"/>
  <c r="E343" i="4"/>
  <c r="E344" i="4"/>
  <c r="E351" i="4"/>
  <c r="E350" i="4"/>
  <c r="E361" i="4"/>
  <c r="E362" i="4"/>
  <c r="E348" i="4"/>
  <c r="E358" i="4"/>
  <c r="E359" i="4"/>
  <c r="E364" i="4"/>
  <c r="E349" i="4"/>
  <c r="E365" i="4"/>
  <c r="E366" i="4"/>
  <c r="E367" i="4"/>
  <c r="E352" i="4"/>
  <c r="E353" i="4"/>
  <c r="E354" i="4"/>
  <c r="E356" i="4"/>
  <c r="E357" i="4"/>
  <c r="E355" i="4"/>
  <c r="E368" i="4"/>
  <c r="E363" i="4"/>
  <c r="E369" i="4"/>
  <c r="E360" i="4"/>
  <c r="E379" i="4"/>
  <c r="E377" i="4"/>
  <c r="E373" i="4"/>
  <c r="E374" i="4"/>
  <c r="E370" i="4"/>
  <c r="E371" i="4"/>
  <c r="E375" i="4"/>
  <c r="E376" i="4"/>
  <c r="E378" i="4"/>
  <c r="E372" i="4"/>
  <c r="E381" i="4"/>
  <c r="E390" i="4"/>
  <c r="E389" i="4"/>
  <c r="E396" i="4"/>
  <c r="E388" i="4"/>
  <c r="E397" i="4"/>
  <c r="E398" i="4"/>
  <c r="E399" i="4"/>
  <c r="E400" i="4"/>
  <c r="E401" i="4"/>
  <c r="E391" i="4"/>
  <c r="E392" i="4"/>
  <c r="E393" i="4"/>
  <c r="E402" i="4"/>
  <c r="E403" i="4"/>
  <c r="E404" i="4"/>
  <c r="E405" i="4"/>
  <c r="E394" i="4"/>
  <c r="E395" i="4"/>
  <c r="E406" i="4"/>
  <c r="E407" i="4"/>
  <c r="E408" i="4"/>
  <c r="E409" i="4"/>
  <c r="E410" i="4"/>
  <c r="E411" i="4"/>
  <c r="E387" i="4"/>
  <c r="D2" i="12"/>
  <c r="F2" i="12"/>
  <c r="I188" i="4"/>
  <c r="I23" i="4"/>
  <c r="I179" i="4"/>
  <c r="I180" i="4"/>
  <c r="I286" i="4"/>
  <c r="I187" i="4"/>
  <c r="I238" i="4"/>
  <c r="I266" i="4"/>
  <c r="I240" i="4"/>
  <c r="I241" i="4"/>
  <c r="I243" i="4"/>
  <c r="I267" i="4"/>
  <c r="I244" i="4"/>
  <c r="I268" i="4"/>
  <c r="I121" i="4"/>
  <c r="I269" i="4"/>
  <c r="I270" i="4"/>
  <c r="I271" i="4"/>
  <c r="I272" i="4"/>
  <c r="I151" i="4"/>
  <c r="I210" i="4"/>
  <c r="I220" i="4"/>
  <c r="I221" i="4"/>
  <c r="I250" i="4"/>
  <c r="I192" i="4"/>
  <c r="I213" i="4"/>
  <c r="I77" i="4"/>
  <c r="I290" i="4"/>
  <c r="I199" i="4"/>
  <c r="I263" i="4"/>
  <c r="I186" i="4"/>
  <c r="I239" i="4"/>
  <c r="I242" i="4"/>
  <c r="I273" i="4"/>
  <c r="I9" i="4"/>
  <c r="I190" i="4"/>
  <c r="I10" i="4"/>
  <c r="I26" i="2"/>
  <c r="I16" i="4"/>
  <c r="I278" i="4"/>
  <c r="I284" i="4"/>
  <c r="I8" i="4"/>
  <c r="I296" i="4"/>
  <c r="I251" i="4"/>
  <c r="I252" i="4"/>
  <c r="I279" i="4"/>
  <c r="I280" i="4"/>
  <c r="I281" i="4"/>
  <c r="I291" i="4"/>
  <c r="I196" i="4"/>
  <c r="I218" i="4"/>
  <c r="I228" i="4"/>
  <c r="I292" i="4"/>
  <c r="I297" i="4"/>
  <c r="I197" i="4"/>
  <c r="I294" i="4"/>
  <c r="I246" i="4"/>
  <c r="I194" i="4"/>
  <c r="I141" i="4"/>
  <c r="I116" i="4"/>
  <c r="I234" i="4"/>
  <c r="I235" i="4"/>
  <c r="I155" i="4"/>
  <c r="I191" i="4"/>
  <c r="I249" i="4"/>
  <c r="I295" i="4"/>
  <c r="I73" i="4"/>
  <c r="I212" i="4"/>
  <c r="I255" i="4"/>
  <c r="I256" i="4"/>
  <c r="I230" i="4"/>
  <c r="I258" i="4"/>
  <c r="I178" i="4"/>
  <c r="I285" i="4"/>
  <c r="I237" i="4"/>
  <c r="I189" i="4"/>
  <c r="I277" i="4"/>
  <c r="I222" i="4"/>
  <c r="I254" i="4"/>
  <c r="I231" i="4"/>
  <c r="I219" i="4"/>
  <c r="I122" i="4"/>
  <c r="I229" i="4"/>
  <c r="I257" i="4"/>
  <c r="I260" i="4"/>
  <c r="I114" i="4"/>
  <c r="I145" i="4"/>
  <c r="I183" i="4"/>
  <c r="I236" i="4"/>
  <c r="I127" i="4"/>
  <c r="I289" i="4"/>
  <c r="I223" i="4"/>
  <c r="I214" i="4"/>
  <c r="I111" i="4"/>
  <c r="I134" i="4"/>
  <c r="I135" i="4"/>
  <c r="I176" i="4"/>
  <c r="I137" i="4"/>
  <c r="I138" i="4"/>
  <c r="I140" i="4"/>
  <c r="I117" i="4"/>
  <c r="I142" i="4"/>
  <c r="I27" i="4"/>
  <c r="I143" i="4"/>
  <c r="I28" i="4"/>
  <c r="I123" i="4"/>
  <c r="I168" i="4"/>
  <c r="I173" i="4"/>
  <c r="I91" i="4"/>
  <c r="I93" i="4"/>
  <c r="I95" i="4"/>
  <c r="I96" i="4"/>
  <c r="I50" i="4"/>
  <c r="I276" i="4"/>
  <c r="I158" i="4"/>
  <c r="I275" i="4"/>
  <c r="I124" i="4"/>
  <c r="I211" i="4"/>
  <c r="I165" i="4"/>
  <c r="I166" i="4"/>
  <c r="I167" i="4"/>
  <c r="I174" i="4"/>
  <c r="I144" i="4"/>
  <c r="I120" i="4"/>
  <c r="I80" i="4"/>
  <c r="I169" i="4"/>
  <c r="I171" i="4"/>
  <c r="I206" i="4"/>
  <c r="I172" i="4"/>
  <c r="I298" i="4"/>
  <c r="I200" i="4"/>
  <c r="I201" i="4"/>
  <c r="I14" i="4"/>
  <c r="I74" i="4"/>
  <c r="I45" i="4"/>
  <c r="I47" i="4"/>
  <c r="I85" i="4"/>
  <c r="I86" i="4"/>
  <c r="I170" i="4"/>
  <c r="I88" i="4"/>
  <c r="I90" i="4"/>
  <c r="I182" i="4"/>
  <c r="I52" i="4"/>
  <c r="I54" i="4"/>
  <c r="I59" i="4"/>
  <c r="I202" i="4"/>
  <c r="I193" i="4"/>
  <c r="I112" i="4"/>
  <c r="I195" i="4"/>
  <c r="I207" i="4"/>
  <c r="I208" i="4"/>
  <c r="I115" i="4"/>
  <c r="I105" i="4"/>
  <c r="I125" i="4"/>
  <c r="I215" i="4"/>
  <c r="I209" i="4"/>
  <c r="I283" i="4"/>
  <c r="I118" i="4"/>
  <c r="I53" i="4"/>
  <c r="I72" i="4"/>
  <c r="I89" i="4"/>
  <c r="I51" i="4"/>
  <c r="I55" i="4"/>
  <c r="I56" i="4"/>
  <c r="I57" i="4"/>
  <c r="I71" i="4"/>
  <c r="I79" i="4"/>
  <c r="I136" i="4"/>
  <c r="I2" i="4"/>
  <c r="I205" i="4"/>
  <c r="I101" i="4"/>
  <c r="I30" i="4"/>
  <c r="I225" i="4"/>
  <c r="I274" i="4"/>
  <c r="I159" i="4"/>
  <c r="I160" i="4"/>
  <c r="I153" i="4"/>
  <c r="I18" i="4"/>
  <c r="I40" i="4"/>
  <c r="I97" i="4"/>
  <c r="I99" i="4"/>
  <c r="I184" i="4"/>
  <c r="I203" i="4"/>
  <c r="I78" i="4"/>
  <c r="I13" i="4"/>
  <c r="I217" i="4"/>
  <c r="I70" i="4"/>
  <c r="I185" i="4"/>
  <c r="I216" i="4"/>
  <c r="I31" i="4"/>
  <c r="I148" i="4"/>
  <c r="I60" i="4"/>
  <c r="I63" i="4"/>
  <c r="I146" i="4"/>
  <c r="I61" i="4"/>
  <c r="I227" i="4"/>
  <c r="I10" i="2"/>
  <c r="I19" i="4"/>
  <c r="I98" i="4"/>
  <c r="I62" i="4"/>
  <c r="I147" i="4"/>
  <c r="I38" i="4"/>
  <c r="I104" i="4"/>
  <c r="I150" i="4"/>
  <c r="I103" i="4"/>
  <c r="I119" i="4"/>
  <c r="I29" i="4"/>
  <c r="I17" i="4"/>
  <c r="I58" i="4"/>
  <c r="I154" i="4"/>
  <c r="I13" i="2"/>
  <c r="I110" i="4"/>
  <c r="I66" i="4"/>
  <c r="I102" i="4"/>
  <c r="I175" i="4"/>
  <c r="I81" i="4"/>
  <c r="I107" i="4"/>
  <c r="I32" i="4"/>
  <c r="I15" i="4"/>
  <c r="I41" i="4"/>
  <c r="I106" i="4"/>
  <c r="I33" i="4"/>
  <c r="I36" i="4"/>
  <c r="I108" i="4"/>
  <c r="I46" i="4"/>
  <c r="I37" i="4"/>
  <c r="I34" i="4"/>
  <c r="H2" i="12"/>
  <c r="J2" i="12"/>
  <c r="M149" i="4"/>
  <c r="M162" i="4"/>
  <c r="M4" i="4"/>
  <c r="M5" i="4"/>
  <c r="M6" i="4"/>
  <c r="M164" i="4"/>
  <c r="M161" i="4"/>
  <c r="M65" i="4"/>
  <c r="M390" i="4"/>
  <c r="M389" i="4"/>
  <c r="M396" i="4"/>
  <c r="M388" i="4"/>
  <c r="M397" i="4"/>
  <c r="M398" i="4"/>
  <c r="M399" i="4"/>
  <c r="M400" i="4"/>
  <c r="M401" i="4"/>
  <c r="M391" i="4"/>
  <c r="M392" i="4"/>
  <c r="M393" i="4"/>
  <c r="M402" i="4"/>
  <c r="M403" i="4"/>
  <c r="M404" i="4"/>
  <c r="M405" i="4"/>
  <c r="M394" i="4"/>
  <c r="M395" i="4"/>
  <c r="M406" i="4"/>
  <c r="M407" i="4"/>
  <c r="M408" i="4"/>
  <c r="M409" i="4"/>
  <c r="M410" i="4"/>
  <c r="M411" i="4"/>
  <c r="M387" i="4"/>
  <c r="L2" i="12"/>
  <c r="N2" i="12"/>
  <c r="Q286" i="4"/>
  <c r="Q293" i="4"/>
  <c r="Q69" i="4"/>
  <c r="P2" i="12"/>
  <c r="R2" i="12"/>
  <c r="V2" i="12"/>
  <c r="Y316" i="4"/>
  <c r="Y360" i="4"/>
  <c r="B384" i="4"/>
  <c r="C384" i="4"/>
  <c r="B386" i="4"/>
  <c r="C386" i="4"/>
  <c r="B383" i="4"/>
  <c r="C383" i="4"/>
  <c r="C382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2" i="6"/>
  <c r="AH282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1" i="6"/>
  <c r="AH271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3" i="6"/>
  <c r="AH283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6" i="6"/>
  <c r="AH296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0" i="6"/>
  <c r="AH260" i="6"/>
  <c r="AG24" i="6"/>
  <c r="AH24" i="6"/>
  <c r="AG235" i="6"/>
  <c r="AH235" i="6"/>
  <c r="AG198" i="6"/>
  <c r="AH198" i="6"/>
  <c r="AG72" i="6"/>
  <c r="AH72" i="6"/>
  <c r="AG261" i="6"/>
  <c r="AH261" i="6"/>
  <c r="AG38" i="6"/>
  <c r="AH38" i="6"/>
  <c r="AG73" i="6"/>
  <c r="AH73" i="6"/>
  <c r="AG74" i="6"/>
  <c r="AH74" i="6"/>
  <c r="AG284" i="6"/>
  <c r="AH284" i="6"/>
  <c r="AG75" i="6"/>
  <c r="AH75" i="6"/>
  <c r="AG236" i="6"/>
  <c r="AH236" i="6"/>
  <c r="AG237" i="6"/>
  <c r="AH237" i="6"/>
  <c r="AG211" i="6"/>
  <c r="AH211" i="6"/>
  <c r="AG272" i="6"/>
  <c r="AH272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2" i="6"/>
  <c r="AH262" i="6"/>
  <c r="AG273" i="6"/>
  <c r="AH273" i="6"/>
  <c r="AG126" i="6"/>
  <c r="AH126" i="6"/>
  <c r="AG144" i="6"/>
  <c r="AH144" i="6"/>
  <c r="AG239" i="6"/>
  <c r="AH239" i="6"/>
  <c r="AG274" i="6"/>
  <c r="AH274" i="6"/>
  <c r="AG57" i="6"/>
  <c r="AH57" i="6"/>
  <c r="AG214" i="6"/>
  <c r="AH214" i="6"/>
  <c r="AG275" i="6"/>
  <c r="AH275" i="6"/>
  <c r="AG285" i="6"/>
  <c r="AH285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3" i="6"/>
  <c r="AH263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6" i="6"/>
  <c r="AH286" i="6"/>
  <c r="AG287" i="6"/>
  <c r="AH287" i="6"/>
  <c r="AG34" i="6"/>
  <c r="AH34" i="6"/>
  <c r="AG178" i="6"/>
  <c r="AH178" i="6"/>
  <c r="AG154" i="6"/>
  <c r="AH154" i="6"/>
  <c r="AG248" i="6"/>
  <c r="AH248" i="6"/>
  <c r="AG276" i="6"/>
  <c r="AH276" i="6"/>
  <c r="AG249" i="6"/>
  <c r="AH249" i="6"/>
  <c r="AG80" i="6"/>
  <c r="AH80" i="6"/>
  <c r="AG250" i="6"/>
  <c r="AH250" i="6"/>
  <c r="AG81" i="6"/>
  <c r="AH81" i="6"/>
  <c r="AG264" i="6"/>
  <c r="AH264" i="6"/>
  <c r="AG162" i="6"/>
  <c r="AH162" i="6"/>
  <c r="AG288" i="6"/>
  <c r="AH288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7" i="6"/>
  <c r="AH277" i="6"/>
  <c r="AG256" i="6"/>
  <c r="AH256" i="6"/>
  <c r="AG257" i="6"/>
  <c r="AH257" i="6"/>
  <c r="AG265" i="6"/>
  <c r="AH265" i="6"/>
  <c r="AG266" i="6"/>
  <c r="AH266" i="6"/>
  <c r="AG267" i="6"/>
  <c r="AH267" i="6"/>
  <c r="AG278" i="6"/>
  <c r="AH278" i="6"/>
  <c r="AG279" i="6"/>
  <c r="AH279" i="6"/>
  <c r="AG280" i="6"/>
  <c r="AH280" i="6"/>
  <c r="AG281" i="6"/>
  <c r="AH281" i="6"/>
  <c r="AG227" i="6"/>
  <c r="AH227" i="6"/>
  <c r="AG157" i="6"/>
  <c r="AH157" i="6"/>
  <c r="AG35" i="6"/>
  <c r="AH35" i="6"/>
  <c r="AG151" i="6"/>
  <c r="AH151" i="6"/>
  <c r="AG289" i="6"/>
  <c r="AH289" i="6"/>
  <c r="AG268" i="6"/>
  <c r="AH268" i="6"/>
  <c r="AG269" i="6"/>
  <c r="AH269" i="6"/>
  <c r="AG122" i="6"/>
  <c r="AH122" i="6"/>
  <c r="AG228" i="6"/>
  <c r="AH228" i="6"/>
  <c r="AG229" i="6"/>
  <c r="AH229" i="6"/>
  <c r="AG230" i="6"/>
  <c r="AH230" i="6"/>
  <c r="AG258" i="6"/>
  <c r="AH258" i="6"/>
  <c r="AG270" i="6"/>
  <c r="AH270" i="6"/>
  <c r="AG231" i="6"/>
  <c r="AH231" i="6"/>
  <c r="AG83" i="6"/>
  <c r="AH83" i="6"/>
  <c r="AG84" i="6"/>
  <c r="AH84" i="6"/>
  <c r="AG63" i="6"/>
  <c r="AH63" i="6"/>
  <c r="AG60" i="6"/>
  <c r="AH60" i="6"/>
  <c r="AG290" i="6"/>
  <c r="AH290" i="6"/>
  <c r="AG291" i="6"/>
  <c r="AH291" i="6"/>
  <c r="AG292" i="6"/>
  <c r="AH292" i="6"/>
  <c r="AG293" i="6"/>
  <c r="AH293" i="6"/>
  <c r="AG294" i="6"/>
  <c r="AH294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5" i="6"/>
  <c r="AH295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7" i="6"/>
  <c r="AH297" i="6"/>
  <c r="AG174" i="6"/>
  <c r="AH174" i="6"/>
  <c r="AG184" i="6"/>
  <c r="AH184" i="6"/>
  <c r="AG185" i="6"/>
  <c r="AH185" i="6"/>
  <c r="AG102" i="6"/>
  <c r="AH102" i="6"/>
  <c r="AG299" i="6"/>
  <c r="AH299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5" i="6"/>
  <c r="AH315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6" i="6"/>
  <c r="AH346" i="6"/>
  <c r="AG342" i="6"/>
  <c r="AH342" i="6"/>
  <c r="AG343" i="6"/>
  <c r="AH343" i="6"/>
  <c r="AG347" i="6"/>
  <c r="AH347" i="6"/>
  <c r="AG344" i="6"/>
  <c r="AH344" i="6"/>
  <c r="AG345" i="6"/>
  <c r="AH345" i="6"/>
  <c r="AG361" i="6"/>
  <c r="AH361" i="6"/>
  <c r="AG348" i="6"/>
  <c r="AH348" i="6"/>
  <c r="AG362" i="6"/>
  <c r="AH362" i="6"/>
  <c r="AG349" i="6"/>
  <c r="AH349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56" i="6"/>
  <c r="AH356" i="6"/>
  <c r="AG363" i="6"/>
  <c r="AH363" i="6"/>
  <c r="AG364" i="6"/>
  <c r="AH364" i="6"/>
  <c r="AG365" i="6"/>
  <c r="AH365" i="6"/>
  <c r="AG366" i="6"/>
  <c r="AH366" i="6"/>
  <c r="AG367" i="6"/>
  <c r="AH367" i="6"/>
  <c r="AG368" i="6"/>
  <c r="AH368" i="6"/>
  <c r="AG369" i="6"/>
  <c r="AH369" i="6"/>
  <c r="AG357" i="6"/>
  <c r="AH357" i="6"/>
  <c r="AG358" i="6"/>
  <c r="AH358" i="6"/>
  <c r="AG359" i="6"/>
  <c r="AH359" i="6"/>
  <c r="AG360" i="6"/>
  <c r="AH360" i="6"/>
  <c r="AG370" i="6"/>
  <c r="AH370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3" i="6"/>
  <c r="AH383" i="6"/>
  <c r="AG386" i="6"/>
  <c r="AH386" i="6"/>
  <c r="AG382" i="6"/>
  <c r="AH382" i="6"/>
  <c r="AG385" i="6"/>
  <c r="AH385" i="6"/>
  <c r="AG384" i="6"/>
  <c r="AH384" i="6"/>
  <c r="AG410" i="6"/>
  <c r="AH410" i="6"/>
  <c r="AG388" i="6"/>
  <c r="AH388" i="6"/>
  <c r="AG409" i="6"/>
  <c r="AH409" i="6"/>
  <c r="AG408" i="6"/>
  <c r="AH408" i="6"/>
  <c r="AG391" i="6"/>
  <c r="AH391" i="6"/>
  <c r="AG392" i="6"/>
  <c r="AH392" i="6"/>
  <c r="AG393" i="6"/>
  <c r="AH393" i="6"/>
  <c r="AG394" i="6"/>
  <c r="AH394" i="6"/>
  <c r="AG395" i="6"/>
  <c r="AH395" i="6"/>
  <c r="AG390" i="6"/>
  <c r="AH390" i="6"/>
  <c r="AG406" i="6"/>
  <c r="AH406" i="6"/>
  <c r="AG396" i="6"/>
  <c r="AH396" i="6"/>
  <c r="AG397" i="6"/>
  <c r="AH397" i="6"/>
  <c r="AG398" i="6"/>
  <c r="AH398" i="6"/>
  <c r="AG399" i="6"/>
  <c r="AH399" i="6"/>
  <c r="AG400" i="6"/>
  <c r="AH400" i="6"/>
  <c r="AG401" i="6"/>
  <c r="AH401" i="6"/>
  <c r="AG387" i="6"/>
  <c r="AH387" i="6"/>
  <c r="AG407" i="6"/>
  <c r="AH407" i="6"/>
  <c r="AG402" i="6"/>
  <c r="AH402" i="6"/>
  <c r="AG389" i="6"/>
  <c r="AH389" i="6"/>
  <c r="AG411" i="6"/>
  <c r="AH411" i="6"/>
  <c r="AG403" i="6"/>
  <c r="AH403" i="6"/>
  <c r="AG404" i="6"/>
  <c r="AH404" i="6"/>
  <c r="AG405" i="6"/>
  <c r="AH405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2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1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3" i="6"/>
  <c r="AF234" i="6"/>
  <c r="AF196" i="6"/>
  <c r="AF142" i="6"/>
  <c r="AF175" i="6"/>
  <c r="AF176" i="6"/>
  <c r="AF131" i="6"/>
  <c r="AF12" i="6"/>
  <c r="AF296" i="6"/>
  <c r="AF197" i="6"/>
  <c r="AF209" i="6"/>
  <c r="AF143" i="6"/>
  <c r="AF210" i="6"/>
  <c r="AF132" i="6"/>
  <c r="AF13" i="6"/>
  <c r="AF46" i="6"/>
  <c r="AF260" i="6"/>
  <c r="AF24" i="6"/>
  <c r="AF235" i="6"/>
  <c r="AF198" i="6"/>
  <c r="AF72" i="6"/>
  <c r="AF261" i="6"/>
  <c r="AF38" i="6"/>
  <c r="AF73" i="6"/>
  <c r="AF74" i="6"/>
  <c r="AF284" i="6"/>
  <c r="AF75" i="6"/>
  <c r="AF236" i="6"/>
  <c r="AF237" i="6"/>
  <c r="AF211" i="6"/>
  <c r="AF272" i="6"/>
  <c r="AF212" i="6"/>
  <c r="AF133" i="6"/>
  <c r="AF76" i="6"/>
  <c r="AF213" i="6"/>
  <c r="AF25" i="6"/>
  <c r="AF135" i="6"/>
  <c r="AF238" i="6"/>
  <c r="AF161" i="6"/>
  <c r="AF77" i="6"/>
  <c r="AF262" i="6"/>
  <c r="AF273" i="6"/>
  <c r="AF126" i="6"/>
  <c r="AF144" i="6"/>
  <c r="AF239" i="6"/>
  <c r="AF274" i="6"/>
  <c r="AF57" i="6"/>
  <c r="AF214" i="6"/>
  <c r="AF275" i="6"/>
  <c r="AF285" i="6"/>
  <c r="AF118" i="6"/>
  <c r="AF119" i="6"/>
  <c r="AF14" i="6"/>
  <c r="AF120" i="6"/>
  <c r="AF199" i="6"/>
  <c r="AF153" i="6"/>
  <c r="AF215" i="6"/>
  <c r="AF200" i="6"/>
  <c r="AF26" i="6"/>
  <c r="AF263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6" i="6"/>
  <c r="AF287" i="6"/>
  <c r="AF34" i="6"/>
  <c r="AF178" i="6"/>
  <c r="AF154" i="6"/>
  <c r="AF248" i="6"/>
  <c r="AF276" i="6"/>
  <c r="AF249" i="6"/>
  <c r="AF80" i="6"/>
  <c r="AF250" i="6"/>
  <c r="AF81" i="6"/>
  <c r="AF264" i="6"/>
  <c r="AF162" i="6"/>
  <c r="AF288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7" i="6"/>
  <c r="AF256" i="6"/>
  <c r="AF257" i="6"/>
  <c r="AF265" i="6"/>
  <c r="AF266" i="6"/>
  <c r="AF267" i="6"/>
  <c r="AF278" i="6"/>
  <c r="AF279" i="6"/>
  <c r="AF280" i="6"/>
  <c r="AF281" i="6"/>
  <c r="AF227" i="6"/>
  <c r="AF157" i="6"/>
  <c r="AF35" i="6"/>
  <c r="AF151" i="6"/>
  <c r="AF289" i="6"/>
  <c r="AF268" i="6"/>
  <c r="AF269" i="6"/>
  <c r="AF122" i="6"/>
  <c r="AF228" i="6"/>
  <c r="AF229" i="6"/>
  <c r="AF230" i="6"/>
  <c r="AF258" i="6"/>
  <c r="AF270" i="6"/>
  <c r="AF231" i="6"/>
  <c r="AF83" i="6"/>
  <c r="AF84" i="6"/>
  <c r="AF63" i="6"/>
  <c r="AF60" i="6"/>
  <c r="AF290" i="6"/>
  <c r="AF291" i="6"/>
  <c r="AF292" i="6"/>
  <c r="AF293" i="6"/>
  <c r="AF294" i="6"/>
  <c r="AF171" i="6"/>
  <c r="AF172" i="6"/>
  <c r="AF181" i="6"/>
  <c r="AF158" i="6"/>
  <c r="AF173" i="6"/>
  <c r="AF259" i="6"/>
  <c r="AF295" i="6"/>
  <c r="AF61" i="6"/>
  <c r="AF15" i="6"/>
  <c r="AF16" i="6"/>
  <c r="AF17" i="6"/>
  <c r="AF18" i="6"/>
  <c r="AF19" i="6"/>
  <c r="AF20" i="6"/>
  <c r="AF182" i="6"/>
  <c r="AF36" i="6"/>
  <c r="AF183" i="6"/>
  <c r="AF297" i="6"/>
  <c r="AF174" i="6"/>
  <c r="AF184" i="6"/>
  <c r="AF185" i="6"/>
  <c r="AF102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6" i="6"/>
  <c r="AF342" i="6"/>
  <c r="AF343" i="6"/>
  <c r="AF347" i="6"/>
  <c r="AF344" i="6"/>
  <c r="AF345" i="6"/>
  <c r="AF361" i="6"/>
  <c r="AF348" i="6"/>
  <c r="AF362" i="6"/>
  <c r="AF349" i="6"/>
  <c r="AF350" i="6"/>
  <c r="AF351" i="6"/>
  <c r="AF352" i="6"/>
  <c r="AF353" i="6"/>
  <c r="AF354" i="6"/>
  <c r="AF355" i="6"/>
  <c r="AF356" i="6"/>
  <c r="AF363" i="6"/>
  <c r="AF364" i="6"/>
  <c r="AF365" i="6"/>
  <c r="AF366" i="6"/>
  <c r="AF367" i="6"/>
  <c r="AF368" i="6"/>
  <c r="AF369" i="6"/>
  <c r="AF357" i="6"/>
  <c r="AF358" i="6"/>
  <c r="AF359" i="6"/>
  <c r="AF360" i="6"/>
  <c r="AF370" i="6"/>
  <c r="AF371" i="6"/>
  <c r="AF372" i="6"/>
  <c r="AF373" i="6"/>
  <c r="AF374" i="6"/>
  <c r="AF375" i="6"/>
  <c r="AF376" i="6"/>
  <c r="AF377" i="6"/>
  <c r="AF378" i="6"/>
  <c r="AF379" i="6"/>
  <c r="AF380" i="6"/>
  <c r="AF383" i="6"/>
  <c r="AF386" i="6"/>
  <c r="AF382" i="6"/>
  <c r="AF385" i="6"/>
  <c r="AF384" i="6"/>
  <c r="AF410" i="6"/>
  <c r="AF388" i="6"/>
  <c r="AF409" i="6"/>
  <c r="AF408" i="6"/>
  <c r="AF391" i="6"/>
  <c r="AF392" i="6"/>
  <c r="AF393" i="6"/>
  <c r="AF394" i="6"/>
  <c r="AF395" i="6"/>
  <c r="AF390" i="6"/>
  <c r="AF406" i="6"/>
  <c r="AF396" i="6"/>
  <c r="AF397" i="6"/>
  <c r="AF398" i="6"/>
  <c r="AF399" i="6"/>
  <c r="AF400" i="6"/>
  <c r="AF401" i="6"/>
  <c r="AF387" i="6"/>
  <c r="AF407" i="6"/>
  <c r="AF402" i="6"/>
  <c r="AF389" i="6"/>
  <c r="AF411" i="6"/>
  <c r="AF403" i="6"/>
  <c r="AF404" i="6"/>
  <c r="AF405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2" i="6"/>
  <c r="AC282" i="6"/>
  <c r="AD282" i="6"/>
  <c r="AE282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1" i="6"/>
  <c r="AC271" i="6"/>
  <c r="AD271" i="6"/>
  <c r="AE271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3" i="6"/>
  <c r="AC283" i="6"/>
  <c r="AD283" i="6"/>
  <c r="AE283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6" i="6"/>
  <c r="AC296" i="6"/>
  <c r="AD296" i="6"/>
  <c r="AE296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0" i="6"/>
  <c r="AC260" i="6"/>
  <c r="AD260" i="6"/>
  <c r="AE260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1" i="6"/>
  <c r="AC261" i="6"/>
  <c r="AD261" i="6"/>
  <c r="AE261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4" i="6"/>
  <c r="AC284" i="6"/>
  <c r="AD284" i="6"/>
  <c r="AE284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2" i="6"/>
  <c r="AC272" i="6"/>
  <c r="AD272" i="6"/>
  <c r="AE272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2" i="6"/>
  <c r="AC262" i="6"/>
  <c r="AD262" i="6"/>
  <c r="AE262" i="6"/>
  <c r="AB273" i="6"/>
  <c r="AC273" i="6"/>
  <c r="AD273" i="6"/>
  <c r="AE273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4" i="6"/>
  <c r="AC274" i="6"/>
  <c r="AD274" i="6"/>
  <c r="AE274" i="6"/>
  <c r="AB57" i="6"/>
  <c r="AC57" i="6"/>
  <c r="AD57" i="6"/>
  <c r="AE57" i="6"/>
  <c r="AB214" i="6"/>
  <c r="AC214" i="6"/>
  <c r="AD214" i="6"/>
  <c r="AE214" i="6"/>
  <c r="AB275" i="6"/>
  <c r="AC275" i="6"/>
  <c r="AD275" i="6"/>
  <c r="AE275" i="6"/>
  <c r="AB285" i="6"/>
  <c r="AC285" i="6"/>
  <c r="AD285" i="6"/>
  <c r="AE285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3" i="6"/>
  <c r="AC263" i="6"/>
  <c r="AD263" i="6"/>
  <c r="AE263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6" i="6"/>
  <c r="AC286" i="6"/>
  <c r="AD286" i="6"/>
  <c r="AE286" i="6"/>
  <c r="AB287" i="6"/>
  <c r="AC287" i="6"/>
  <c r="AD287" i="6"/>
  <c r="AE287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6" i="6"/>
  <c r="AC276" i="6"/>
  <c r="AD276" i="6"/>
  <c r="AE276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4" i="6"/>
  <c r="AC264" i="6"/>
  <c r="AD264" i="6"/>
  <c r="AE264" i="6"/>
  <c r="AB162" i="6"/>
  <c r="AC162" i="6"/>
  <c r="AD162" i="6"/>
  <c r="AE162" i="6"/>
  <c r="AB288" i="6"/>
  <c r="AC288" i="6"/>
  <c r="AD288" i="6"/>
  <c r="AE288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7" i="6"/>
  <c r="AC277" i="6"/>
  <c r="AD277" i="6"/>
  <c r="AE277" i="6"/>
  <c r="AB256" i="6"/>
  <c r="AC256" i="6"/>
  <c r="AD256" i="6"/>
  <c r="AE256" i="6"/>
  <c r="AB257" i="6"/>
  <c r="AC257" i="6"/>
  <c r="AD257" i="6"/>
  <c r="AE257" i="6"/>
  <c r="AB265" i="6"/>
  <c r="AC265" i="6"/>
  <c r="AD265" i="6"/>
  <c r="AE265" i="6"/>
  <c r="AB266" i="6"/>
  <c r="AC266" i="6"/>
  <c r="AD266" i="6"/>
  <c r="AE266" i="6"/>
  <c r="AB267" i="6"/>
  <c r="AC267" i="6"/>
  <c r="AD267" i="6"/>
  <c r="AE267" i="6"/>
  <c r="AB278" i="6"/>
  <c r="AC278" i="6"/>
  <c r="AD278" i="6"/>
  <c r="AE27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89" i="6"/>
  <c r="AC289" i="6"/>
  <c r="AD289" i="6"/>
  <c r="AE289" i="6"/>
  <c r="AB268" i="6"/>
  <c r="AC268" i="6"/>
  <c r="AD268" i="6"/>
  <c r="AE268" i="6"/>
  <c r="AB269" i="6"/>
  <c r="AC269" i="6"/>
  <c r="AD269" i="6"/>
  <c r="AE269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0" i="6"/>
  <c r="AC270" i="6"/>
  <c r="AD270" i="6"/>
  <c r="AE270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0" i="6"/>
  <c r="AC290" i="6"/>
  <c r="AD290" i="6"/>
  <c r="AE29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5" i="6"/>
  <c r="AC295" i="6"/>
  <c r="AD295" i="6"/>
  <c r="AE295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7" i="6"/>
  <c r="AC297" i="6"/>
  <c r="AD297" i="6"/>
  <c r="AE297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299" i="6"/>
  <c r="AC299" i="6"/>
  <c r="AD299" i="6"/>
  <c r="AE299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6" i="6"/>
  <c r="AC346" i="6"/>
  <c r="AD346" i="6"/>
  <c r="AE346" i="6"/>
  <c r="AB342" i="6"/>
  <c r="AC342" i="6"/>
  <c r="AD342" i="6"/>
  <c r="AE342" i="6"/>
  <c r="AB343" i="6"/>
  <c r="AC343" i="6"/>
  <c r="AD343" i="6"/>
  <c r="AE343" i="6"/>
  <c r="AB347" i="6"/>
  <c r="AC347" i="6"/>
  <c r="AD347" i="6"/>
  <c r="AE347" i="6"/>
  <c r="AB344" i="6"/>
  <c r="AC344" i="6"/>
  <c r="AD344" i="6"/>
  <c r="AE344" i="6"/>
  <c r="AB345" i="6"/>
  <c r="AC345" i="6"/>
  <c r="AD345" i="6"/>
  <c r="AE345" i="6"/>
  <c r="AB361" i="6"/>
  <c r="AC361" i="6"/>
  <c r="AD361" i="6"/>
  <c r="AE361" i="6"/>
  <c r="AB348" i="6"/>
  <c r="AC348" i="6"/>
  <c r="AD348" i="6"/>
  <c r="AE348" i="6"/>
  <c r="AB362" i="6"/>
  <c r="AC362" i="6"/>
  <c r="AD362" i="6"/>
  <c r="AE362" i="6"/>
  <c r="AB349" i="6"/>
  <c r="AC349" i="6"/>
  <c r="AD349" i="6"/>
  <c r="AE349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69" i="6"/>
  <c r="AC369" i="6"/>
  <c r="AD369" i="6"/>
  <c r="AE369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3" i="6"/>
  <c r="AC383" i="6"/>
  <c r="AD383" i="6"/>
  <c r="AE383" i="6"/>
  <c r="AB386" i="6"/>
  <c r="AC386" i="6"/>
  <c r="AD386" i="6"/>
  <c r="AE386" i="6"/>
  <c r="AB382" i="6"/>
  <c r="AC382" i="6"/>
  <c r="AD382" i="6"/>
  <c r="AE382" i="6"/>
  <c r="AB385" i="6"/>
  <c r="AC385" i="6"/>
  <c r="AD385" i="6"/>
  <c r="AE385" i="6"/>
  <c r="AB384" i="6"/>
  <c r="AC384" i="6"/>
  <c r="AD384" i="6"/>
  <c r="AE384" i="6"/>
  <c r="AB410" i="6"/>
  <c r="AC410" i="6"/>
  <c r="AD410" i="6"/>
  <c r="AE410" i="6"/>
  <c r="AB388" i="6"/>
  <c r="AC388" i="6"/>
  <c r="AD388" i="6"/>
  <c r="AE388" i="6"/>
  <c r="AB409" i="6"/>
  <c r="AC409" i="6"/>
  <c r="AD409" i="6"/>
  <c r="AE409" i="6"/>
  <c r="AB408" i="6"/>
  <c r="AC408" i="6"/>
  <c r="AD408" i="6"/>
  <c r="AE408" i="6"/>
  <c r="AB391" i="6"/>
  <c r="AC391" i="6"/>
  <c r="AD391" i="6"/>
  <c r="AE391" i="6"/>
  <c r="AB392" i="6"/>
  <c r="AC392" i="6"/>
  <c r="AD392" i="6"/>
  <c r="AE392" i="6"/>
  <c r="AB393" i="6"/>
  <c r="AC393" i="6"/>
  <c r="AD393" i="6"/>
  <c r="AE393" i="6"/>
  <c r="AB394" i="6"/>
  <c r="AC394" i="6"/>
  <c r="AD394" i="6"/>
  <c r="AE394" i="6"/>
  <c r="AB395" i="6"/>
  <c r="AC395" i="6"/>
  <c r="AD395" i="6"/>
  <c r="AE395" i="6"/>
  <c r="AB390" i="6"/>
  <c r="AC390" i="6"/>
  <c r="AD390" i="6"/>
  <c r="AE390" i="6"/>
  <c r="AB406" i="6"/>
  <c r="AC406" i="6"/>
  <c r="AD406" i="6"/>
  <c r="AE406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387" i="6"/>
  <c r="AC387" i="6"/>
  <c r="AD387" i="6"/>
  <c r="AE387" i="6"/>
  <c r="AB407" i="6"/>
  <c r="AC407" i="6"/>
  <c r="AD407" i="6"/>
  <c r="AE407" i="6"/>
  <c r="AB402" i="6"/>
  <c r="AC402" i="6"/>
  <c r="AD402" i="6"/>
  <c r="AE402" i="6"/>
  <c r="AB389" i="6"/>
  <c r="AC389" i="6"/>
  <c r="AD389" i="6"/>
  <c r="AE389" i="6"/>
  <c r="AB411" i="6"/>
  <c r="AC411" i="6"/>
  <c r="AD411" i="6"/>
  <c r="AE411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2" i="6"/>
  <c r="W282" i="6"/>
  <c r="X282" i="6"/>
  <c r="Y282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1" i="6"/>
  <c r="W271" i="6"/>
  <c r="X271" i="6"/>
  <c r="Y271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3" i="6"/>
  <c r="W283" i="6"/>
  <c r="X283" i="6"/>
  <c r="Y283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6" i="6"/>
  <c r="W296" i="6"/>
  <c r="X296" i="6"/>
  <c r="Y296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0" i="6"/>
  <c r="W260" i="6"/>
  <c r="X260" i="6"/>
  <c r="Y260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1" i="6"/>
  <c r="W261" i="6"/>
  <c r="X261" i="6"/>
  <c r="Y261" i="6"/>
  <c r="V38" i="6"/>
  <c r="W38" i="6"/>
  <c r="X38" i="6"/>
  <c r="Y38" i="6"/>
  <c r="V73" i="6"/>
  <c r="W73" i="6"/>
  <c r="X73" i="6"/>
  <c r="Y73" i="6"/>
  <c r="V74" i="6"/>
  <c r="W74" i="6"/>
  <c r="X74" i="6"/>
  <c r="Y74" i="6"/>
  <c r="V284" i="6"/>
  <c r="W284" i="6"/>
  <c r="X284" i="6"/>
  <c r="Y284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2" i="6"/>
  <c r="W272" i="6"/>
  <c r="X272" i="6"/>
  <c r="Y272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2" i="6"/>
  <c r="W262" i="6"/>
  <c r="X262" i="6"/>
  <c r="Y262" i="6"/>
  <c r="V273" i="6"/>
  <c r="W273" i="6"/>
  <c r="X273" i="6"/>
  <c r="Y273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4" i="6"/>
  <c r="W274" i="6"/>
  <c r="X274" i="6"/>
  <c r="Y274" i="6"/>
  <c r="V57" i="6"/>
  <c r="W57" i="6"/>
  <c r="X57" i="6"/>
  <c r="Y57" i="6"/>
  <c r="V214" i="6"/>
  <c r="W214" i="6"/>
  <c r="X214" i="6"/>
  <c r="Y214" i="6"/>
  <c r="V275" i="6"/>
  <c r="W275" i="6"/>
  <c r="X275" i="6"/>
  <c r="Y275" i="6"/>
  <c r="V285" i="6"/>
  <c r="W285" i="6"/>
  <c r="X285" i="6"/>
  <c r="Y285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3" i="6"/>
  <c r="W263" i="6"/>
  <c r="X263" i="6"/>
  <c r="Y263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6" i="6"/>
  <c r="W286" i="6"/>
  <c r="X286" i="6"/>
  <c r="Y286" i="6"/>
  <c r="V287" i="6"/>
  <c r="W287" i="6"/>
  <c r="X287" i="6"/>
  <c r="Y287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6" i="6"/>
  <c r="W276" i="6"/>
  <c r="X276" i="6"/>
  <c r="Y276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4" i="6"/>
  <c r="W264" i="6"/>
  <c r="X264" i="6"/>
  <c r="Y264" i="6"/>
  <c r="V162" i="6"/>
  <c r="W162" i="6"/>
  <c r="X162" i="6"/>
  <c r="Y162" i="6"/>
  <c r="V288" i="6"/>
  <c r="W288" i="6"/>
  <c r="X288" i="6"/>
  <c r="Y288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7" i="6"/>
  <c r="W277" i="6"/>
  <c r="X277" i="6"/>
  <c r="Y277" i="6"/>
  <c r="V256" i="6"/>
  <c r="W256" i="6"/>
  <c r="X256" i="6"/>
  <c r="Y256" i="6"/>
  <c r="V257" i="6"/>
  <c r="W257" i="6"/>
  <c r="X257" i="6"/>
  <c r="Y257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89" i="6"/>
  <c r="W289" i="6"/>
  <c r="X289" i="6"/>
  <c r="Y289" i="6"/>
  <c r="V268" i="6"/>
  <c r="W268" i="6"/>
  <c r="X268" i="6"/>
  <c r="Y268" i="6"/>
  <c r="V269" i="6"/>
  <c r="W269" i="6"/>
  <c r="X269" i="6"/>
  <c r="Y269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0" i="6"/>
  <c r="W270" i="6"/>
  <c r="X270" i="6"/>
  <c r="Y270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5" i="6"/>
  <c r="W295" i="6"/>
  <c r="X295" i="6"/>
  <c r="Y295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7" i="6"/>
  <c r="W297" i="6"/>
  <c r="X297" i="6"/>
  <c r="Y297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6" i="6"/>
  <c r="W346" i="6"/>
  <c r="X346" i="6"/>
  <c r="Y346" i="6"/>
  <c r="V342" i="6"/>
  <c r="W342" i="6"/>
  <c r="X342" i="6"/>
  <c r="Y342" i="6"/>
  <c r="V343" i="6"/>
  <c r="W343" i="6"/>
  <c r="X343" i="6"/>
  <c r="Y343" i="6"/>
  <c r="V347" i="6"/>
  <c r="W347" i="6"/>
  <c r="X347" i="6"/>
  <c r="Y347" i="6"/>
  <c r="V344" i="6"/>
  <c r="W344" i="6"/>
  <c r="X344" i="6"/>
  <c r="Y344" i="6"/>
  <c r="V345" i="6"/>
  <c r="W345" i="6"/>
  <c r="X345" i="6"/>
  <c r="Y345" i="6"/>
  <c r="V361" i="6"/>
  <c r="W361" i="6"/>
  <c r="X361" i="6"/>
  <c r="Y361" i="6"/>
  <c r="V348" i="6"/>
  <c r="W348" i="6"/>
  <c r="X348" i="6"/>
  <c r="Y348" i="6"/>
  <c r="V362" i="6"/>
  <c r="W362" i="6"/>
  <c r="X362" i="6"/>
  <c r="Y362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3" i="6"/>
  <c r="W383" i="6"/>
  <c r="X383" i="6"/>
  <c r="Y383" i="6"/>
  <c r="V386" i="6"/>
  <c r="W386" i="6"/>
  <c r="X386" i="6"/>
  <c r="Y386" i="6"/>
  <c r="V382" i="6"/>
  <c r="W382" i="6"/>
  <c r="X382" i="6"/>
  <c r="Y382" i="6"/>
  <c r="V385" i="6"/>
  <c r="W385" i="6"/>
  <c r="X385" i="6"/>
  <c r="Y385" i="6"/>
  <c r="V384" i="6"/>
  <c r="W384" i="6"/>
  <c r="X384" i="6"/>
  <c r="Y384" i="6"/>
  <c r="V410" i="6"/>
  <c r="W410" i="6"/>
  <c r="X410" i="6"/>
  <c r="Y410" i="6"/>
  <c r="V388" i="6"/>
  <c r="W388" i="6"/>
  <c r="X388" i="6"/>
  <c r="Y388" i="6"/>
  <c r="V409" i="6"/>
  <c r="W409" i="6"/>
  <c r="X409" i="6"/>
  <c r="Y409" i="6"/>
  <c r="V408" i="6"/>
  <c r="W408" i="6"/>
  <c r="X408" i="6"/>
  <c r="Y408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94" i="6"/>
  <c r="W394" i="6"/>
  <c r="X394" i="6"/>
  <c r="Y394" i="6"/>
  <c r="V395" i="6"/>
  <c r="W395" i="6"/>
  <c r="X395" i="6"/>
  <c r="Y395" i="6"/>
  <c r="V390" i="6"/>
  <c r="W390" i="6"/>
  <c r="X390" i="6"/>
  <c r="Y390" i="6"/>
  <c r="V406" i="6"/>
  <c r="W406" i="6"/>
  <c r="X406" i="6"/>
  <c r="Y406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387" i="6"/>
  <c r="W387" i="6"/>
  <c r="X387" i="6"/>
  <c r="Y387" i="6"/>
  <c r="V407" i="6"/>
  <c r="W407" i="6"/>
  <c r="X407" i="6"/>
  <c r="Y407" i="6"/>
  <c r="V402" i="6"/>
  <c r="W402" i="6"/>
  <c r="X402" i="6"/>
  <c r="Y402" i="6"/>
  <c r="V389" i="6"/>
  <c r="W389" i="6"/>
  <c r="X389" i="6"/>
  <c r="Y389" i="6"/>
  <c r="V411" i="6"/>
  <c r="W411" i="6"/>
  <c r="X411" i="6"/>
  <c r="Y411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C408" i="6"/>
  <c r="C155" i="6"/>
  <c r="C116" i="6"/>
  <c r="C115" i="6"/>
  <c r="C389" i="6"/>
  <c r="C325" i="6"/>
  <c r="C391" i="6"/>
  <c r="C399" i="6"/>
  <c r="C401" i="6"/>
  <c r="C134" i="6"/>
  <c r="C117" i="6"/>
  <c r="C288" i="6"/>
  <c r="C6" i="6"/>
  <c r="C34" i="6"/>
  <c r="C7" i="6"/>
  <c r="C388" i="6"/>
  <c r="C407" i="6"/>
  <c r="C175" i="6"/>
  <c r="C387" i="6"/>
  <c r="C282" i="6"/>
  <c r="C179" i="6"/>
  <c r="C224" i="6"/>
  <c r="C335" i="6"/>
  <c r="C129" i="6"/>
  <c r="C5" i="6"/>
  <c r="C4" i="6"/>
  <c r="C3" i="6"/>
  <c r="C340" i="6"/>
  <c r="C396" i="6"/>
  <c r="C404" i="6"/>
  <c r="C2" i="6"/>
  <c r="C114" i="6"/>
  <c r="C286" i="6"/>
  <c r="C333" i="6"/>
  <c r="C10" i="6"/>
  <c r="C372" i="6"/>
  <c r="C377" i="6"/>
  <c r="C370" i="6"/>
  <c r="C359" i="6"/>
  <c r="C411" i="6"/>
  <c r="C30" i="6"/>
  <c r="C153" i="6"/>
  <c r="C406" i="6"/>
  <c r="C40" i="6"/>
  <c r="C45" i="6"/>
  <c r="C390" i="6"/>
  <c r="C11" i="6"/>
  <c r="C200" i="6"/>
  <c r="C255" i="6"/>
  <c r="C358" i="6"/>
  <c r="C27" i="6"/>
  <c r="C410" i="6"/>
  <c r="C392" i="6"/>
  <c r="C394" i="6"/>
  <c r="C397" i="6"/>
  <c r="C398" i="6"/>
  <c r="C400" i="6"/>
  <c r="C405" i="6"/>
  <c r="C275" i="6"/>
  <c r="C287" i="6"/>
  <c r="C402" i="6"/>
  <c r="C273" i="6"/>
  <c r="C331" i="6"/>
  <c r="C29" i="6"/>
  <c r="C403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3" i="6"/>
  <c r="C395" i="6"/>
  <c r="C61" i="6"/>
  <c r="C295" i="6"/>
  <c r="C16" i="6"/>
  <c r="C18" i="6"/>
  <c r="C251" i="6"/>
  <c r="C12" i="6"/>
  <c r="C367" i="6"/>
  <c r="C409" i="6"/>
  <c r="C260" i="6"/>
  <c r="C383" i="6"/>
  <c r="C230" i="6"/>
  <c r="C360" i="6"/>
  <c r="C80" i="6"/>
  <c r="C238" i="6"/>
  <c r="C227" i="6"/>
  <c r="C131" i="6"/>
  <c r="C15" i="6"/>
  <c r="C25" i="6"/>
  <c r="C43" i="6"/>
  <c r="C20" i="6"/>
  <c r="C322" i="6"/>
  <c r="C393" i="6"/>
  <c r="C259" i="6"/>
  <c r="C68" i="6"/>
  <c r="C266" i="6"/>
  <c r="C302" i="6"/>
  <c r="C311" i="6"/>
  <c r="C301" i="6"/>
  <c r="C329" i="6"/>
  <c r="C160" i="6"/>
  <c r="C161" i="6"/>
  <c r="C235" i="6"/>
  <c r="C276" i="6"/>
  <c r="C35" i="6"/>
  <c r="C233" i="6"/>
  <c r="C374" i="6"/>
  <c r="C323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6" i="6"/>
  <c r="C346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5" i="6"/>
  <c r="C176" i="6"/>
  <c r="C110" i="6"/>
  <c r="C111" i="6"/>
  <c r="C81" i="6"/>
  <c r="C188" i="6"/>
  <c r="C74" i="6"/>
  <c r="C252" i="6"/>
  <c r="C384" i="6"/>
  <c r="C73" i="6"/>
  <c r="C14" i="6"/>
  <c r="C385" i="6"/>
  <c r="C38" i="6"/>
  <c r="C250" i="6"/>
  <c r="C162" i="6"/>
  <c r="C108" i="6"/>
  <c r="C109" i="6"/>
  <c r="C107" i="6"/>
  <c r="C163" i="6"/>
  <c r="C313" i="6"/>
  <c r="C324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4" i="6"/>
  <c r="C130" i="6"/>
  <c r="C59" i="6"/>
  <c r="C65" i="6"/>
  <c r="C93" i="6"/>
  <c r="C261" i="6"/>
  <c r="C96" i="6"/>
  <c r="C71" i="6"/>
  <c r="C216" i="6"/>
  <c r="C148" i="6"/>
  <c r="C308" i="6"/>
  <c r="C328" i="6"/>
  <c r="C283" i="6"/>
  <c r="C137" i="6"/>
  <c r="C75" i="6"/>
  <c r="C92" i="6"/>
  <c r="C262" i="6"/>
  <c r="C149" i="6"/>
  <c r="C312" i="6"/>
  <c r="C363" i="6"/>
  <c r="C269" i="6"/>
  <c r="C172" i="6"/>
  <c r="C203" i="6"/>
  <c r="C69" i="6"/>
  <c r="C124" i="6"/>
  <c r="C145" i="6"/>
  <c r="C94" i="6"/>
  <c r="C208" i="6"/>
  <c r="C123" i="6"/>
  <c r="C371" i="6"/>
  <c r="C321" i="6"/>
  <c r="C254" i="6"/>
  <c r="C243" i="6"/>
  <c r="C207" i="6"/>
  <c r="C272" i="6"/>
  <c r="C31" i="6"/>
  <c r="C138" i="6"/>
  <c r="C297" i="6"/>
  <c r="C173" i="6"/>
  <c r="C105" i="6"/>
  <c r="C205" i="6"/>
  <c r="C304" i="6"/>
  <c r="C98" i="6"/>
  <c r="C170" i="6"/>
  <c r="C169" i="6"/>
  <c r="C379" i="6"/>
  <c r="C53" i="6"/>
  <c r="C127" i="6"/>
  <c r="C84" i="6"/>
  <c r="C375" i="6"/>
  <c r="C60" i="6"/>
  <c r="C277" i="6"/>
  <c r="C247" i="6"/>
  <c r="C300" i="6"/>
  <c r="C307" i="6"/>
  <c r="C320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6" i="6"/>
  <c r="C369" i="6"/>
  <c r="C365" i="6"/>
  <c r="C368" i="6"/>
  <c r="C142" i="6"/>
  <c r="C241" i="6"/>
  <c r="C67" i="6"/>
  <c r="C85" i="6"/>
  <c r="C199" i="6"/>
  <c r="C206" i="6"/>
  <c r="C113" i="6"/>
  <c r="C174" i="6"/>
  <c r="C299" i="6"/>
  <c r="C58" i="6"/>
  <c r="C253" i="6"/>
  <c r="C290" i="6"/>
  <c r="C146" i="6"/>
  <c r="C234" i="6"/>
  <c r="C87" i="6"/>
  <c r="C336" i="6"/>
  <c r="C183" i="6"/>
  <c r="C244" i="6"/>
  <c r="C177" i="6"/>
  <c r="C104" i="6"/>
  <c r="C239" i="6"/>
  <c r="C47" i="6"/>
  <c r="C158" i="6"/>
  <c r="C63" i="6"/>
  <c r="C36" i="6"/>
  <c r="C330" i="6"/>
  <c r="C167" i="6"/>
  <c r="C82" i="6"/>
  <c r="C293" i="6"/>
  <c r="C32" i="6"/>
  <c r="C119" i="6"/>
  <c r="C182" i="6"/>
  <c r="C83" i="6"/>
  <c r="C215" i="6"/>
  <c r="C354" i="6"/>
  <c r="C292" i="6"/>
  <c r="C226" i="6"/>
  <c r="C72" i="6"/>
  <c r="C197" i="6"/>
  <c r="C184" i="6"/>
  <c r="C211" i="6"/>
  <c r="C357" i="6"/>
  <c r="C62" i="6"/>
  <c r="C202" i="6"/>
  <c r="C147" i="6"/>
  <c r="C378" i="6"/>
  <c r="C157" i="6"/>
  <c r="C355" i="6"/>
  <c r="C334" i="6"/>
  <c r="C23" i="6"/>
  <c r="C201" i="6"/>
  <c r="C294" i="6"/>
  <c r="C21" i="6"/>
  <c r="C242" i="6"/>
  <c r="C186" i="6"/>
  <c r="C122" i="6"/>
  <c r="C166" i="6"/>
  <c r="C382" i="6"/>
  <c r="C8" i="6"/>
  <c r="C231" i="6"/>
  <c r="C51" i="6"/>
  <c r="C220" i="6"/>
  <c r="C22" i="6"/>
  <c r="C348" i="6"/>
  <c r="C218" i="6"/>
  <c r="C344" i="6"/>
  <c r="C306" i="6"/>
  <c r="C181" i="6"/>
  <c r="C196" i="6"/>
  <c r="C144" i="6"/>
  <c r="C118" i="6"/>
  <c r="C352" i="6"/>
  <c r="C219" i="6"/>
  <c r="C28" i="6"/>
  <c r="C209" i="6"/>
  <c r="C54" i="6"/>
  <c r="C55" i="6"/>
  <c r="C48" i="6"/>
  <c r="C309" i="6"/>
  <c r="C310" i="6"/>
  <c r="C187" i="6"/>
  <c r="C195" i="6"/>
  <c r="C332" i="6"/>
  <c r="C353" i="6"/>
  <c r="C190" i="6"/>
  <c r="C9" i="6"/>
  <c r="C52" i="6"/>
  <c r="C78" i="6"/>
  <c r="C345" i="6"/>
  <c r="C268" i="6"/>
  <c r="C120" i="6"/>
  <c r="C373" i="6"/>
  <c r="C50" i="6"/>
  <c r="C49" i="6"/>
  <c r="C143" i="6"/>
  <c r="C362" i="6"/>
  <c r="C198" i="6"/>
  <c r="C13" i="6"/>
  <c r="C376" i="6"/>
  <c r="C361" i="6"/>
  <c r="C315" i="6"/>
  <c r="C380" i="6"/>
  <c r="C46" i="6"/>
  <c r="C316" i="6"/>
  <c r="C317" i="6"/>
  <c r="C342" i="6"/>
  <c r="C343" i="6"/>
  <c r="C210" i="6"/>
  <c r="C217" i="6"/>
  <c r="C339" i="6"/>
  <c r="C356" i="6"/>
  <c r="C296" i="6"/>
  <c r="C338" i="6"/>
  <c r="C319" i="6"/>
  <c r="C337" i="6"/>
  <c r="C318" i="6"/>
  <c r="C366" i="6"/>
  <c r="C341" i="6"/>
  <c r="C349" i="6"/>
  <c r="C347" i="6"/>
  <c r="C350" i="6"/>
  <c r="C351" i="6"/>
  <c r="C168" i="6"/>
  <c r="C280" i="6"/>
  <c r="C327" i="6"/>
  <c r="C225" i="6"/>
  <c r="B327" i="6"/>
  <c r="B280" i="6"/>
  <c r="B168" i="6"/>
  <c r="B351" i="6"/>
  <c r="B350" i="6"/>
  <c r="B347" i="6"/>
  <c r="B349" i="6"/>
  <c r="B341" i="6"/>
  <c r="B366" i="6"/>
  <c r="B318" i="6"/>
  <c r="B337" i="6"/>
  <c r="B319" i="6"/>
  <c r="B338" i="6"/>
  <c r="B296" i="6"/>
  <c r="B356" i="6"/>
  <c r="B339" i="6"/>
  <c r="B217" i="6"/>
  <c r="B210" i="6"/>
  <c r="B343" i="6"/>
  <c r="B342" i="6"/>
  <c r="B317" i="6"/>
  <c r="B316" i="6"/>
  <c r="B46" i="6"/>
  <c r="B380" i="6"/>
  <c r="B315" i="6"/>
  <c r="B361" i="6"/>
  <c r="B376" i="6"/>
  <c r="B13" i="6"/>
  <c r="B198" i="6"/>
  <c r="B362" i="6"/>
  <c r="B143" i="6"/>
  <c r="B49" i="6"/>
  <c r="B50" i="6"/>
  <c r="B373" i="6"/>
  <c r="B120" i="6"/>
  <c r="B268" i="6"/>
  <c r="B345" i="6"/>
  <c r="B78" i="6"/>
  <c r="B52" i="6"/>
  <c r="B9" i="6"/>
  <c r="B190" i="6"/>
  <c r="B353" i="6"/>
  <c r="B332" i="6"/>
  <c r="B195" i="6"/>
  <c r="B310" i="6"/>
  <c r="B309" i="6"/>
  <c r="B48" i="6"/>
  <c r="B55" i="6"/>
  <c r="B54" i="6"/>
  <c r="B209" i="6"/>
  <c r="B28" i="6"/>
  <c r="B219" i="6"/>
  <c r="B352" i="6"/>
  <c r="B118" i="6"/>
  <c r="B144" i="6"/>
  <c r="B196" i="6"/>
  <c r="B181" i="6"/>
  <c r="B306" i="6"/>
  <c r="B344" i="6"/>
  <c r="B218" i="6"/>
  <c r="B348" i="6"/>
  <c r="B22" i="6"/>
  <c r="B220" i="6"/>
  <c r="B51" i="6"/>
  <c r="B231" i="6"/>
  <c r="B8" i="6"/>
  <c r="B382" i="6"/>
  <c r="B166" i="6"/>
  <c r="B122" i="6"/>
  <c r="B186" i="6"/>
  <c r="B242" i="6"/>
  <c r="B21" i="6"/>
  <c r="B294" i="6"/>
  <c r="B201" i="6"/>
  <c r="B23" i="6"/>
  <c r="B334" i="6"/>
  <c r="B355" i="6"/>
  <c r="B157" i="6"/>
  <c r="B378" i="6"/>
  <c r="B147" i="6"/>
  <c r="B202" i="6"/>
  <c r="B62" i="6"/>
  <c r="B357" i="6"/>
  <c r="B211" i="6"/>
  <c r="B184" i="6"/>
  <c r="B197" i="6"/>
  <c r="B72" i="6"/>
  <c r="B226" i="6"/>
  <c r="B292" i="6"/>
  <c r="B354" i="6"/>
  <c r="B215" i="6"/>
  <c r="B83" i="6"/>
  <c r="B182" i="6"/>
  <c r="B119" i="6"/>
  <c r="B32" i="6"/>
  <c r="B293" i="6"/>
  <c r="B82" i="6"/>
  <c r="B167" i="6"/>
  <c r="B330" i="6"/>
  <c r="B36" i="6"/>
  <c r="B63" i="6"/>
  <c r="B158" i="6"/>
  <c r="B47" i="6"/>
  <c r="B239" i="6"/>
  <c r="B104" i="6"/>
  <c r="B177" i="6"/>
  <c r="B244" i="6"/>
  <c r="B183" i="6"/>
  <c r="B336" i="6"/>
  <c r="B87" i="6"/>
  <c r="B234" i="6"/>
  <c r="B146" i="6"/>
  <c r="B290" i="6"/>
  <c r="B253" i="6"/>
  <c r="B58" i="6"/>
  <c r="B299" i="6"/>
  <c r="B174" i="6"/>
  <c r="B113" i="6"/>
  <c r="B206" i="6"/>
  <c r="B199" i="6"/>
  <c r="B85" i="6"/>
  <c r="B67" i="6"/>
  <c r="B241" i="6"/>
  <c r="B142" i="6"/>
  <c r="B368" i="6"/>
  <c r="B365" i="6"/>
  <c r="B369" i="6"/>
  <c r="B326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20" i="6"/>
  <c r="B307" i="6"/>
  <c r="B300" i="6"/>
  <c r="B247" i="6"/>
  <c r="B277" i="6"/>
  <c r="B60" i="6"/>
  <c r="B375" i="6"/>
  <c r="B84" i="6"/>
  <c r="B127" i="6"/>
  <c r="B53" i="6"/>
  <c r="B379" i="6"/>
  <c r="B169" i="6"/>
  <c r="B170" i="6"/>
  <c r="B98" i="6"/>
  <c r="B304" i="6"/>
  <c r="B205" i="6"/>
  <c r="B105" i="6"/>
  <c r="B173" i="6"/>
  <c r="B297" i="6"/>
  <c r="B138" i="6"/>
  <c r="B31" i="6"/>
  <c r="B272" i="6"/>
  <c r="B207" i="6"/>
  <c r="B243" i="6"/>
  <c r="B254" i="6"/>
  <c r="B321" i="6"/>
  <c r="B371" i="6"/>
  <c r="B123" i="6"/>
  <c r="B208" i="6"/>
  <c r="B94" i="6"/>
  <c r="B145" i="6"/>
  <c r="B124" i="6"/>
  <c r="B69" i="6"/>
  <c r="B203" i="6"/>
  <c r="B172" i="6"/>
  <c r="B269" i="6"/>
  <c r="B363" i="6"/>
  <c r="B312" i="6"/>
  <c r="B149" i="6"/>
  <c r="B262" i="6"/>
  <c r="B92" i="6"/>
  <c r="B75" i="6"/>
  <c r="B137" i="6"/>
  <c r="B283" i="6"/>
  <c r="B328" i="6"/>
  <c r="B308" i="6"/>
  <c r="B148" i="6"/>
  <c r="B216" i="6"/>
  <c r="B71" i="6"/>
  <c r="B96" i="6"/>
  <c r="B261" i="6"/>
  <c r="B93" i="6"/>
  <c r="B65" i="6"/>
  <c r="B59" i="6"/>
  <c r="B130" i="6"/>
  <c r="B364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4" i="6"/>
  <c r="B313" i="6"/>
  <c r="B163" i="6"/>
  <c r="B107" i="6"/>
  <c r="B109" i="6"/>
  <c r="B108" i="6"/>
  <c r="B162" i="6"/>
  <c r="B250" i="6"/>
  <c r="B38" i="6"/>
  <c r="B385" i="6"/>
  <c r="B14" i="6"/>
  <c r="B73" i="6"/>
  <c r="B384" i="6"/>
  <c r="B252" i="6"/>
  <c r="B74" i="6"/>
  <c r="B81" i="6"/>
  <c r="B111" i="6"/>
  <c r="B110" i="6"/>
  <c r="B176" i="6"/>
  <c r="B305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6" i="6"/>
  <c r="B386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3" i="6"/>
  <c r="B374" i="6"/>
  <c r="B233" i="6"/>
  <c r="B35" i="6"/>
  <c r="B276" i="6"/>
  <c r="B235" i="6"/>
  <c r="B161" i="6"/>
  <c r="B160" i="6"/>
  <c r="B329" i="6"/>
  <c r="B301" i="6"/>
  <c r="B311" i="6"/>
  <c r="B302" i="6"/>
  <c r="B266" i="6"/>
  <c r="B68" i="6"/>
  <c r="B259" i="6"/>
  <c r="B393" i="6"/>
  <c r="B322" i="6"/>
  <c r="B20" i="6"/>
  <c r="B43" i="6"/>
  <c r="B25" i="6"/>
  <c r="B15" i="6"/>
  <c r="B131" i="6"/>
  <c r="B227" i="6"/>
  <c r="B238" i="6"/>
  <c r="B80" i="6"/>
  <c r="B360" i="6"/>
  <c r="B230" i="6"/>
  <c r="B383" i="6"/>
  <c r="B260" i="6"/>
  <c r="B409" i="6"/>
  <c r="B367" i="6"/>
  <c r="B12" i="6"/>
  <c r="B251" i="6"/>
  <c r="B18" i="6"/>
  <c r="B16" i="6"/>
  <c r="B295" i="6"/>
  <c r="B61" i="6"/>
  <c r="B395" i="6"/>
  <c r="B303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3" i="6"/>
  <c r="B29" i="6"/>
  <c r="B331" i="6"/>
  <c r="B273" i="6"/>
  <c r="B402" i="6"/>
  <c r="B287" i="6"/>
  <c r="B275" i="6"/>
  <c r="B405" i="6"/>
  <c r="B400" i="6"/>
  <c r="B398" i="6"/>
  <c r="B397" i="6"/>
  <c r="B394" i="6"/>
  <c r="B392" i="6"/>
  <c r="B410" i="6"/>
  <c r="B27" i="6"/>
  <c r="B358" i="6"/>
  <c r="B255" i="6"/>
  <c r="B200" i="6"/>
  <c r="B11" i="6"/>
  <c r="B390" i="6"/>
  <c r="B45" i="6"/>
  <c r="B40" i="6"/>
  <c r="B406" i="6"/>
  <c r="B153" i="6"/>
  <c r="B30" i="6"/>
  <c r="B411" i="6"/>
  <c r="B359" i="6"/>
  <c r="B370" i="6"/>
  <c r="B377" i="6"/>
  <c r="B372" i="6"/>
  <c r="B10" i="6"/>
  <c r="B333" i="6"/>
  <c r="B286" i="6"/>
  <c r="B114" i="6"/>
  <c r="B2" i="6"/>
  <c r="B404" i="6"/>
  <c r="B396" i="6"/>
  <c r="B340" i="6"/>
  <c r="B3" i="6"/>
  <c r="B4" i="6"/>
  <c r="B5" i="6"/>
  <c r="B129" i="6"/>
  <c r="B335" i="6"/>
  <c r="B224" i="6"/>
  <c r="B179" i="6"/>
  <c r="B282" i="6"/>
  <c r="B387" i="6"/>
  <c r="B175" i="6"/>
  <c r="B407" i="6"/>
  <c r="B388" i="6"/>
  <c r="B7" i="6"/>
  <c r="B34" i="6"/>
  <c r="B6" i="6"/>
  <c r="B288" i="6"/>
  <c r="B117" i="6"/>
  <c r="B134" i="6"/>
  <c r="B401" i="6"/>
  <c r="B399" i="6"/>
  <c r="B391" i="6"/>
  <c r="B325" i="6"/>
  <c r="B389" i="6"/>
  <c r="B115" i="6"/>
  <c r="B116" i="6"/>
  <c r="B155" i="6"/>
  <c r="B408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5" i="5"/>
  <c r="BA117" i="5"/>
  <c r="BA335" i="5"/>
  <c r="BA341" i="5"/>
  <c r="BA333" i="5"/>
  <c r="BA372" i="5"/>
  <c r="BA377" i="5"/>
  <c r="BA370" i="5"/>
  <c r="BA368" i="5"/>
  <c r="BA367" i="5"/>
  <c r="BA331" i="5"/>
  <c r="BA304" i="5"/>
  <c r="BA363" i="5"/>
  <c r="BA382" i="5"/>
  <c r="BA369" i="5"/>
  <c r="BA322" i="5"/>
  <c r="BA302" i="5"/>
  <c r="BA312" i="5"/>
  <c r="BA301" i="5"/>
  <c r="BA329" i="5"/>
  <c r="BA374" i="5"/>
  <c r="BA323" i="5"/>
  <c r="BA383" i="5"/>
  <c r="BA343" i="5"/>
  <c r="BA306" i="5"/>
  <c r="BA386" i="5"/>
  <c r="BA385" i="5"/>
  <c r="BA314" i="5"/>
  <c r="BA324" i="5"/>
  <c r="BA295" i="5"/>
  <c r="BA294" i="5"/>
  <c r="BA360" i="5"/>
  <c r="BA309" i="5"/>
  <c r="BA328" i="5"/>
  <c r="BA313" i="5"/>
  <c r="BA359" i="5"/>
  <c r="BA371" i="5"/>
  <c r="BA321" i="5"/>
  <c r="BA305" i="5"/>
  <c r="BA379" i="5"/>
  <c r="BA375" i="5"/>
  <c r="BA300" i="5"/>
  <c r="BA308" i="5"/>
  <c r="BA320" i="5"/>
  <c r="BA326" i="5"/>
  <c r="BA365" i="5"/>
  <c r="BA361" i="5"/>
  <c r="BA364" i="5"/>
  <c r="BA299" i="5"/>
  <c r="BA337" i="5"/>
  <c r="BA29" i="5"/>
  <c r="BA330" i="5"/>
  <c r="BA356" i="5"/>
  <c r="BA366" i="5"/>
  <c r="BA70" i="5"/>
  <c r="BA378" i="5"/>
  <c r="BA357" i="5"/>
  <c r="BA334" i="5"/>
  <c r="BA384" i="5"/>
  <c r="BA349" i="5"/>
  <c r="BA336" i="5"/>
  <c r="BA307" i="5"/>
  <c r="BA354" i="5"/>
  <c r="BA310" i="5"/>
  <c r="BA311" i="5"/>
  <c r="BA332" i="5"/>
  <c r="BA355" i="5"/>
  <c r="BA347" i="5"/>
  <c r="BA373" i="5"/>
  <c r="BA350" i="5"/>
  <c r="BA376" i="5"/>
  <c r="BA348" i="5"/>
  <c r="BA315" i="5"/>
  <c r="BA380" i="5"/>
  <c r="BA316" i="5"/>
  <c r="BA317" i="5"/>
  <c r="BA344" i="5"/>
  <c r="BA345" i="5"/>
  <c r="BA340" i="5"/>
  <c r="BA358" i="5"/>
  <c r="BA339" i="5"/>
  <c r="BA319" i="5"/>
  <c r="BA338" i="5"/>
  <c r="BA318" i="5"/>
  <c r="BA362" i="5"/>
  <c r="BA342" i="5"/>
  <c r="BA351" i="5"/>
  <c r="BA346" i="5"/>
  <c r="BA352" i="5"/>
  <c r="BA353" i="5"/>
  <c r="BA327" i="5"/>
  <c r="BA390" i="5"/>
  <c r="BF219" i="5"/>
  <c r="BF325" i="5"/>
  <c r="BF327" i="5"/>
  <c r="BF333" i="5"/>
  <c r="BF335" i="5"/>
  <c r="BF341" i="5"/>
  <c r="BF390" i="5"/>
  <c r="BF253" i="5"/>
  <c r="BF262" i="5"/>
  <c r="BF407" i="5"/>
  <c r="BF391" i="5"/>
  <c r="BF401" i="5"/>
  <c r="BF403" i="5"/>
  <c r="BF97" i="5"/>
  <c r="BF161" i="5"/>
  <c r="BF188" i="5"/>
  <c r="BF42" i="5"/>
  <c r="BF47" i="5"/>
  <c r="BF177" i="5"/>
  <c r="BF388" i="5"/>
  <c r="BF404" i="5"/>
  <c r="BF405" i="5"/>
  <c r="BF61" i="5"/>
  <c r="BF117" i="5"/>
  <c r="BF283" i="5"/>
  <c r="BF290" i="5"/>
  <c r="BF39" i="5"/>
  <c r="BF40" i="5"/>
  <c r="BF41" i="5"/>
  <c r="BF102" i="5"/>
  <c r="BF331" i="5"/>
  <c r="BF398" i="5"/>
  <c r="BF410" i="5"/>
  <c r="BF38" i="5"/>
  <c r="BF66" i="5"/>
  <c r="BF175" i="5"/>
  <c r="BF65" i="5"/>
  <c r="BF67" i="5"/>
  <c r="BF368" i="5"/>
  <c r="BF370" i="5"/>
  <c r="BF372" i="5"/>
  <c r="BF377" i="5"/>
  <c r="BF396" i="5"/>
  <c r="BF397" i="5"/>
  <c r="BF408" i="5"/>
  <c r="BF53" i="5"/>
  <c r="BF56" i="5"/>
  <c r="BF59" i="5"/>
  <c r="BF153" i="5"/>
  <c r="BF257" i="5"/>
  <c r="BF367" i="5"/>
  <c r="BF50" i="5"/>
  <c r="BF387" i="5"/>
  <c r="BF392" i="5"/>
  <c r="BF394" i="5"/>
  <c r="BF399" i="5"/>
  <c r="BF400" i="5"/>
  <c r="BF402" i="5"/>
  <c r="BF411" i="5"/>
  <c r="BF148" i="5"/>
  <c r="BF152" i="5"/>
  <c r="BF322" i="5"/>
  <c r="BF176" i="5"/>
  <c r="BF329" i="5"/>
  <c r="BF406" i="5"/>
  <c r="BF142" i="5"/>
  <c r="BF409" i="5"/>
  <c r="BF52" i="5"/>
  <c r="BF263" i="5"/>
  <c r="BF140" i="5"/>
  <c r="BF154" i="5"/>
  <c r="BF323" i="5"/>
  <c r="BF129" i="5"/>
  <c r="BF137" i="5"/>
  <c r="BF149" i="5"/>
  <c r="BF256" i="5"/>
  <c r="BF179" i="5"/>
  <c r="BF244" i="5"/>
  <c r="BF246" i="5"/>
  <c r="BF124" i="5"/>
  <c r="BF255" i="5"/>
  <c r="BF27" i="5"/>
  <c r="BF225" i="5"/>
  <c r="BF304" i="5"/>
  <c r="BF395" i="5"/>
  <c r="BF118" i="5"/>
  <c r="BF209" i="5"/>
  <c r="BF241" i="5"/>
  <c r="BF243" i="5"/>
  <c r="BF245" i="5"/>
  <c r="BF363" i="5"/>
  <c r="BF389" i="5"/>
  <c r="BF123" i="5"/>
  <c r="BF8" i="5"/>
  <c r="BF343" i="5"/>
  <c r="BF369" i="5"/>
  <c r="BF382" i="5"/>
  <c r="BF269" i="5"/>
  <c r="BF138" i="5"/>
  <c r="BF183" i="5"/>
  <c r="BF221" i="5"/>
  <c r="BF240" i="5"/>
  <c r="BF242" i="5"/>
  <c r="BF60" i="5"/>
  <c r="BF254" i="5"/>
  <c r="BF247" i="5"/>
  <c r="BF393" i="5"/>
  <c r="BF74" i="5"/>
  <c r="BF216" i="5"/>
  <c r="BF239" i="5"/>
  <c r="BF301" i="5"/>
  <c r="BF302" i="5"/>
  <c r="BF312" i="5"/>
  <c r="BF105" i="5"/>
  <c r="BF139" i="5"/>
  <c r="BF88" i="5"/>
  <c r="BF15" i="5"/>
  <c r="BF181" i="5"/>
  <c r="BF324" i="5"/>
  <c r="BF374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3" i="5"/>
  <c r="BF284" i="5"/>
  <c r="BE284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1" i="5"/>
  <c r="T42" i="2"/>
  <c r="T22" i="2"/>
  <c r="K46" i="2"/>
  <c r="K42" i="2"/>
  <c r="K22" i="2"/>
  <c r="BE386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9" i="5"/>
  <c r="BE300" i="5"/>
  <c r="BE301" i="5"/>
  <c r="BE302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7" i="5"/>
  <c r="BE338" i="5"/>
  <c r="BE339" i="5"/>
  <c r="BE340" i="5"/>
  <c r="BE341" i="5"/>
  <c r="BE342" i="5"/>
  <c r="BE343" i="5"/>
  <c r="BE344" i="5"/>
  <c r="BE345" i="5"/>
  <c r="BE346" i="5"/>
  <c r="BE33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2" i="5"/>
  <c r="BE383" i="5"/>
  <c r="BE384" i="5"/>
  <c r="BE385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291" i="5"/>
  <c r="BC291" i="5"/>
  <c r="BC386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9" i="5"/>
  <c r="BC300" i="5"/>
  <c r="BC301" i="5"/>
  <c r="BC302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7" i="5"/>
  <c r="BC338" i="5"/>
  <c r="BC339" i="5"/>
  <c r="BC340" i="5"/>
  <c r="BC341" i="5"/>
  <c r="BC342" i="5"/>
  <c r="BC343" i="5"/>
  <c r="BC344" i="5"/>
  <c r="BC345" i="5"/>
  <c r="BC346" i="5"/>
  <c r="BC33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2" i="5"/>
  <c r="BC383" i="5"/>
  <c r="BC384" i="5"/>
  <c r="BC385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B386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9" i="5"/>
  <c r="BB300" i="5"/>
  <c r="BB301" i="5"/>
  <c r="BB302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7" i="5"/>
  <c r="BB338" i="5"/>
  <c r="BB339" i="5"/>
  <c r="BB340" i="5"/>
  <c r="BB341" i="5"/>
  <c r="BB342" i="5"/>
  <c r="BB343" i="5"/>
  <c r="BB344" i="5"/>
  <c r="BB345" i="5"/>
  <c r="BB346" i="5"/>
  <c r="BB33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2" i="5"/>
  <c r="BB383" i="5"/>
  <c r="BB384" i="5"/>
  <c r="BB385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291" i="5"/>
  <c r="W46" i="2"/>
  <c r="H46" i="2"/>
  <c r="T32" i="2"/>
  <c r="T41" i="2"/>
  <c r="T43" i="2"/>
  <c r="T35" i="2"/>
  <c r="T34" i="2"/>
  <c r="T33" i="2"/>
  <c r="T26" i="2"/>
  <c r="T15" i="2"/>
  <c r="T8" i="2"/>
  <c r="T30" i="2"/>
  <c r="T7" i="2"/>
  <c r="T39" i="2"/>
  <c r="T40" i="2"/>
  <c r="T38" i="2"/>
  <c r="T36" i="2"/>
  <c r="T16" i="2"/>
  <c r="T28" i="2"/>
  <c r="T5" i="2"/>
  <c r="T10" i="2"/>
  <c r="T12" i="2"/>
  <c r="T11" i="2"/>
  <c r="T13" i="2"/>
  <c r="AI304" i="4"/>
  <c r="AI305" i="4"/>
  <c r="AI306" i="4"/>
  <c r="AI307" i="4"/>
  <c r="AI311" i="4"/>
  <c r="AI312" i="4"/>
  <c r="AI313" i="4"/>
  <c r="AI301" i="4"/>
  <c r="AI299" i="4"/>
  <c r="AI302" i="4"/>
  <c r="AI303" i="4"/>
  <c r="AI314" i="4"/>
  <c r="AI308" i="4"/>
  <c r="AI342" i="4"/>
  <c r="AI333" i="4"/>
  <c r="AI331" i="4"/>
  <c r="AI332" i="4"/>
  <c r="AI324" i="4"/>
  <c r="AI334" i="4"/>
  <c r="AI323" i="4"/>
  <c r="AI341" i="4"/>
  <c r="AI316" i="4"/>
  <c r="AI339" i="4"/>
  <c r="AI322" i="4"/>
  <c r="AI346" i="4"/>
  <c r="AI325" i="4"/>
  <c r="AI318" i="4"/>
  <c r="AI319" i="4"/>
  <c r="AI320" i="4"/>
  <c r="AI321" i="4"/>
  <c r="AI347" i="4"/>
  <c r="AI337" i="4"/>
  <c r="AI338" i="4"/>
  <c r="AI340" i="4"/>
  <c r="AI326" i="4"/>
  <c r="AI327" i="4"/>
  <c r="AI328" i="4"/>
  <c r="AI329" i="4"/>
  <c r="AI330" i="4"/>
  <c r="AI317" i="4"/>
  <c r="AI315" i="4"/>
  <c r="AI335" i="4"/>
  <c r="AI336" i="4"/>
  <c r="AI345" i="4"/>
  <c r="AI343" i="4"/>
  <c r="AI344" i="4"/>
  <c r="AI351" i="4"/>
  <c r="AI350" i="4"/>
  <c r="AI361" i="4"/>
  <c r="AI362" i="4"/>
  <c r="AI348" i="4"/>
  <c r="AI358" i="4"/>
  <c r="AI359" i="4"/>
  <c r="AI364" i="4"/>
  <c r="AI349" i="4"/>
  <c r="AI365" i="4"/>
  <c r="AI366" i="4"/>
  <c r="AI367" i="4"/>
  <c r="AI352" i="4"/>
  <c r="AI353" i="4"/>
  <c r="AI354" i="4"/>
  <c r="AI356" i="4"/>
  <c r="AI357" i="4"/>
  <c r="AI355" i="4"/>
  <c r="AI368" i="4"/>
  <c r="AI363" i="4"/>
  <c r="AI369" i="4"/>
  <c r="AI360" i="4"/>
  <c r="AI379" i="4"/>
  <c r="AI377" i="4"/>
  <c r="AI373" i="4"/>
  <c r="AI374" i="4"/>
  <c r="AI370" i="4"/>
  <c r="AI371" i="4"/>
  <c r="AI375" i="4"/>
  <c r="AI376" i="4"/>
  <c r="AI378" i="4"/>
  <c r="AI372" i="4"/>
  <c r="AI381" i="4"/>
  <c r="AI384" i="4"/>
  <c r="AI386" i="4"/>
  <c r="AI385" i="4"/>
  <c r="AI383" i="4"/>
  <c r="AI382" i="4"/>
  <c r="AI390" i="4"/>
  <c r="AI389" i="4"/>
  <c r="AI396" i="4"/>
  <c r="AI388" i="4"/>
  <c r="AI397" i="4"/>
  <c r="AI398" i="4"/>
  <c r="AI399" i="4"/>
  <c r="AI400" i="4"/>
  <c r="AI401" i="4"/>
  <c r="AI391" i="4"/>
  <c r="AI392" i="4"/>
  <c r="AI393" i="4"/>
  <c r="AI402" i="4"/>
  <c r="AI403" i="4"/>
  <c r="AI404" i="4"/>
  <c r="AI405" i="4"/>
  <c r="AI394" i="4"/>
  <c r="AI395" i="4"/>
  <c r="AI406" i="4"/>
  <c r="AI407" i="4"/>
  <c r="AI408" i="4"/>
  <c r="AI409" i="4"/>
  <c r="AI410" i="4"/>
  <c r="AI411" i="4"/>
  <c r="AI387" i="4"/>
  <c r="BF79" i="5"/>
  <c r="I41" i="3"/>
  <c r="E10" i="3"/>
  <c r="E11" i="3"/>
  <c r="E12" i="3"/>
  <c r="E13" i="3"/>
  <c r="E15" i="3"/>
  <c r="E16" i="3"/>
  <c r="E17" i="3"/>
  <c r="E18" i="3"/>
  <c r="E19" i="3"/>
  <c r="E20" i="3"/>
  <c r="E21" i="3"/>
  <c r="E22" i="3"/>
  <c r="E23" i="3"/>
  <c r="E25" i="3"/>
  <c r="E26" i="3"/>
  <c r="E27" i="3"/>
  <c r="E38" i="3"/>
  <c r="E28" i="3"/>
  <c r="E29" i="3"/>
  <c r="E39" i="3"/>
  <c r="E40" i="3"/>
  <c r="E41" i="3"/>
  <c r="E30" i="3"/>
  <c r="E31" i="3"/>
  <c r="E32" i="3"/>
  <c r="E33" i="3"/>
  <c r="E34" i="3"/>
  <c r="E35" i="3"/>
  <c r="E36" i="3"/>
  <c r="E37" i="3"/>
  <c r="E6" i="3"/>
  <c r="I34" i="3"/>
  <c r="I29" i="3"/>
  <c r="I20" i="3"/>
  <c r="I27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4" i="2"/>
  <c r="K24" i="2"/>
  <c r="G33" i="2"/>
  <c r="G34" i="2"/>
  <c r="G43" i="2"/>
  <c r="K43" i="2"/>
  <c r="G32" i="2"/>
  <c r="G18" i="2"/>
  <c r="K18" i="2"/>
  <c r="G17" i="2"/>
  <c r="K17" i="2"/>
  <c r="T17" i="2"/>
  <c r="G16" i="2"/>
  <c r="G10" i="2"/>
  <c r="K10" i="2"/>
  <c r="G15" i="2"/>
  <c r="K15" i="2"/>
  <c r="G13" i="2"/>
  <c r="K13" i="2"/>
  <c r="G11" i="2"/>
  <c r="K11" i="2"/>
  <c r="G12" i="2"/>
  <c r="K12" i="2"/>
  <c r="G38" i="2"/>
  <c r="K38" i="2"/>
  <c r="G36" i="2"/>
  <c r="K36" i="2"/>
  <c r="G5" i="2"/>
  <c r="K5" i="2"/>
  <c r="G39" i="2"/>
  <c r="K39" i="2"/>
  <c r="G40" i="2"/>
  <c r="K40" i="2"/>
  <c r="G8" i="2"/>
  <c r="G27" i="2"/>
  <c r="G37" i="2"/>
  <c r="K37" i="2"/>
  <c r="T37" i="2"/>
  <c r="G42" i="2"/>
  <c r="G41" i="2"/>
  <c r="K41" i="2"/>
  <c r="G26" i="2"/>
  <c r="K26" i="2"/>
  <c r="G46" i="2"/>
  <c r="G47" i="2"/>
  <c r="K47" i="2"/>
  <c r="W47" i="2"/>
  <c r="G51" i="2"/>
  <c r="G50" i="2"/>
  <c r="G52" i="2"/>
  <c r="G23" i="2"/>
  <c r="G31" i="2"/>
  <c r="T31" i="2"/>
  <c r="G22" i="2"/>
  <c r="G35" i="2"/>
  <c r="G28" i="2"/>
  <c r="G29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2" i="5"/>
  <c r="AR302" i="5"/>
  <c r="AS302" i="5"/>
  <c r="AT302" i="5"/>
  <c r="AU302" i="5"/>
  <c r="AV302" i="5"/>
  <c r="AW302" i="5"/>
  <c r="AX302" i="5"/>
  <c r="AY302" i="5"/>
  <c r="AZ302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8" i="5"/>
  <c r="AR308" i="5"/>
  <c r="AS308" i="5"/>
  <c r="AT308" i="5"/>
  <c r="AU308" i="5"/>
  <c r="AV308" i="5"/>
  <c r="AW308" i="5"/>
  <c r="AX308" i="5"/>
  <c r="AY308" i="5"/>
  <c r="AZ308" i="5"/>
  <c r="AP304" i="5"/>
  <c r="AR304" i="5"/>
  <c r="AS304" i="5"/>
  <c r="AT304" i="5"/>
  <c r="AU304" i="5"/>
  <c r="AV304" i="5"/>
  <c r="AW304" i="5"/>
  <c r="AX304" i="5"/>
  <c r="AY304" i="5"/>
  <c r="AZ304" i="5"/>
  <c r="AP309" i="5"/>
  <c r="AR309" i="5"/>
  <c r="AS309" i="5"/>
  <c r="AT309" i="5"/>
  <c r="AU309" i="5"/>
  <c r="AV309" i="5"/>
  <c r="AW309" i="5"/>
  <c r="AX309" i="5"/>
  <c r="AY309" i="5"/>
  <c r="AZ309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331" i="5"/>
  <c r="AR331" i="5"/>
  <c r="AS331" i="5"/>
  <c r="AT331" i="5"/>
  <c r="AU331" i="5"/>
  <c r="AV331" i="5"/>
  <c r="AW331" i="5"/>
  <c r="AX331" i="5"/>
  <c r="AY331" i="5"/>
  <c r="AZ331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7" i="5"/>
  <c r="AR347" i="5"/>
  <c r="AS347" i="5"/>
  <c r="AT347" i="5"/>
  <c r="AU347" i="5"/>
  <c r="AV347" i="5"/>
  <c r="AW347" i="5"/>
  <c r="AX347" i="5"/>
  <c r="AY347" i="5"/>
  <c r="AZ347" i="5"/>
  <c r="AP334" i="5"/>
  <c r="AR334" i="5"/>
  <c r="AS334" i="5"/>
  <c r="AT334" i="5"/>
  <c r="AU334" i="5"/>
  <c r="AV334" i="5"/>
  <c r="AW334" i="5"/>
  <c r="AX334" i="5"/>
  <c r="AY334" i="5"/>
  <c r="AZ334" i="5"/>
  <c r="AP342" i="5"/>
  <c r="AR342" i="5"/>
  <c r="AS342" i="5"/>
  <c r="AT342" i="5"/>
  <c r="AU342" i="5"/>
  <c r="AV342" i="5"/>
  <c r="AW342" i="5"/>
  <c r="AX342" i="5"/>
  <c r="AY342" i="5"/>
  <c r="AZ342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2" i="5"/>
  <c r="AR332" i="5"/>
  <c r="AS332" i="5"/>
  <c r="AT332" i="5"/>
  <c r="AU332" i="5"/>
  <c r="AV332" i="5"/>
  <c r="AW332" i="5"/>
  <c r="AX332" i="5"/>
  <c r="AY332" i="5"/>
  <c r="AZ332" i="5"/>
  <c r="AP335" i="5"/>
  <c r="AR335" i="5"/>
  <c r="AS335" i="5"/>
  <c r="AT335" i="5"/>
  <c r="AU335" i="5"/>
  <c r="AV335" i="5"/>
  <c r="AW335" i="5"/>
  <c r="AX335" i="5"/>
  <c r="AY335" i="5"/>
  <c r="AZ335" i="5"/>
  <c r="AP337" i="5"/>
  <c r="AR337" i="5"/>
  <c r="AS337" i="5"/>
  <c r="AT337" i="5"/>
  <c r="AU337" i="5"/>
  <c r="AV337" i="5"/>
  <c r="AW337" i="5"/>
  <c r="AX337" i="5"/>
  <c r="AY337" i="5"/>
  <c r="AZ337" i="5"/>
  <c r="AP336" i="5"/>
  <c r="AR336" i="5"/>
  <c r="AS336" i="5"/>
  <c r="AT336" i="5"/>
  <c r="AU336" i="5"/>
  <c r="AV336" i="5"/>
  <c r="AW336" i="5"/>
  <c r="AX336" i="5"/>
  <c r="AY336" i="5"/>
  <c r="AZ336" i="5"/>
  <c r="AP320" i="5"/>
  <c r="AR320" i="5"/>
  <c r="AS320" i="5"/>
  <c r="AT320" i="5"/>
  <c r="AU320" i="5"/>
  <c r="AV320" i="5"/>
  <c r="AW320" i="5"/>
  <c r="AX320" i="5"/>
  <c r="AY320" i="5"/>
  <c r="AZ320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0" i="5"/>
  <c r="AR330" i="5"/>
  <c r="AS330" i="5"/>
  <c r="AT330" i="5"/>
  <c r="AU330" i="5"/>
  <c r="AV330" i="5"/>
  <c r="AW330" i="5"/>
  <c r="AX330" i="5"/>
  <c r="AY330" i="5"/>
  <c r="AZ330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41" i="5"/>
  <c r="AR341" i="5"/>
  <c r="AS341" i="5"/>
  <c r="AT341" i="5"/>
  <c r="AU341" i="5"/>
  <c r="AV341" i="5"/>
  <c r="AW341" i="5"/>
  <c r="AX341" i="5"/>
  <c r="AY341" i="5"/>
  <c r="AZ341" i="5"/>
  <c r="AP333" i="5"/>
  <c r="AR333" i="5"/>
  <c r="AS333" i="5"/>
  <c r="AT333" i="5"/>
  <c r="AU333" i="5"/>
  <c r="AV333" i="5"/>
  <c r="AW333" i="5"/>
  <c r="AX333" i="5"/>
  <c r="AY333" i="5"/>
  <c r="AZ333" i="5"/>
  <c r="AP343" i="5"/>
  <c r="AR343" i="5"/>
  <c r="AS343" i="5"/>
  <c r="AT343" i="5"/>
  <c r="AU343" i="5"/>
  <c r="AV343" i="5"/>
  <c r="AW343" i="5"/>
  <c r="AX343" i="5"/>
  <c r="AY343" i="5"/>
  <c r="AZ343" i="5"/>
  <c r="AP321" i="5"/>
  <c r="AR321" i="5"/>
  <c r="AS321" i="5"/>
  <c r="AT321" i="5"/>
  <c r="AU321" i="5"/>
  <c r="AV321" i="5"/>
  <c r="AW321" i="5"/>
  <c r="AX321" i="5"/>
  <c r="AY321" i="5"/>
  <c r="AZ321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7" i="5"/>
  <c r="AR317" i="5"/>
  <c r="AS317" i="5"/>
  <c r="AT317" i="5"/>
  <c r="AU317" i="5"/>
  <c r="AV317" i="5"/>
  <c r="AW317" i="5"/>
  <c r="AX317" i="5"/>
  <c r="AY317" i="5"/>
  <c r="AZ317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7" i="5"/>
  <c r="AR357" i="5"/>
  <c r="AS357" i="5"/>
  <c r="AT357" i="5"/>
  <c r="AU357" i="5"/>
  <c r="AV357" i="5"/>
  <c r="AW357" i="5"/>
  <c r="AX357" i="5"/>
  <c r="AY357" i="5"/>
  <c r="AZ357" i="5"/>
  <c r="AP348" i="5"/>
  <c r="AR348" i="5"/>
  <c r="AS348" i="5"/>
  <c r="AT348" i="5"/>
  <c r="AU348" i="5"/>
  <c r="AV348" i="5"/>
  <c r="AW348" i="5"/>
  <c r="AX348" i="5"/>
  <c r="AY348" i="5"/>
  <c r="AZ348" i="5"/>
  <c r="AP352" i="5"/>
  <c r="AR352" i="5"/>
  <c r="AS352" i="5"/>
  <c r="AT352" i="5"/>
  <c r="AU352" i="5"/>
  <c r="AV352" i="5"/>
  <c r="AW352" i="5"/>
  <c r="AX352" i="5"/>
  <c r="AY352" i="5"/>
  <c r="AZ352" i="5"/>
  <c r="AP353" i="5"/>
  <c r="AR353" i="5"/>
  <c r="AS353" i="5"/>
  <c r="AT353" i="5"/>
  <c r="AU353" i="5"/>
  <c r="AV353" i="5"/>
  <c r="AW353" i="5"/>
  <c r="AX353" i="5"/>
  <c r="AY353" i="5"/>
  <c r="AZ353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1" i="5"/>
  <c r="AR351" i="5"/>
  <c r="AS351" i="5"/>
  <c r="AT351" i="5"/>
  <c r="AU351" i="5"/>
  <c r="AV351" i="5"/>
  <c r="AW351" i="5"/>
  <c r="AX351" i="5"/>
  <c r="AY351" i="5"/>
  <c r="AZ351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66" i="5"/>
  <c r="AR366" i="5"/>
  <c r="AS366" i="5"/>
  <c r="AT366" i="5"/>
  <c r="AU366" i="5"/>
  <c r="AV366" i="5"/>
  <c r="AW366" i="5"/>
  <c r="AX366" i="5"/>
  <c r="AY366" i="5"/>
  <c r="AZ366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78" i="5"/>
  <c r="AR378" i="5"/>
  <c r="AS378" i="5"/>
  <c r="AT378" i="5"/>
  <c r="AU378" i="5"/>
  <c r="AV378" i="5"/>
  <c r="AW378" i="5"/>
  <c r="AX378" i="5"/>
  <c r="AY378" i="5"/>
  <c r="AZ378" i="5"/>
  <c r="AP380" i="5"/>
  <c r="AR380" i="5"/>
  <c r="AS380" i="5"/>
  <c r="AT380" i="5"/>
  <c r="AU380" i="5"/>
  <c r="AV380" i="5"/>
  <c r="AW380" i="5"/>
  <c r="AX380" i="5"/>
  <c r="AY380" i="5"/>
  <c r="AZ380" i="5"/>
  <c r="AP383" i="5"/>
  <c r="AQ383" i="5"/>
  <c r="AR383" i="5"/>
  <c r="AS383" i="5"/>
  <c r="AT383" i="5"/>
  <c r="AU383" i="5"/>
  <c r="AV383" i="5"/>
  <c r="AW383" i="5"/>
  <c r="AX383" i="5"/>
  <c r="AY383" i="5"/>
  <c r="AZ383" i="5"/>
  <c r="AP384" i="5"/>
  <c r="AQ384" i="5"/>
  <c r="AR384" i="5"/>
  <c r="AS384" i="5"/>
  <c r="AT384" i="5"/>
  <c r="AU384" i="5"/>
  <c r="AV384" i="5"/>
  <c r="AW384" i="5"/>
  <c r="AX384" i="5"/>
  <c r="AY384" i="5"/>
  <c r="AZ384" i="5"/>
  <c r="AP385" i="5"/>
  <c r="AQ385" i="5"/>
  <c r="AR385" i="5"/>
  <c r="AS385" i="5"/>
  <c r="AT385" i="5"/>
  <c r="AU385" i="5"/>
  <c r="AV385" i="5"/>
  <c r="AW385" i="5"/>
  <c r="AX385" i="5"/>
  <c r="AY385" i="5"/>
  <c r="AZ385" i="5"/>
  <c r="AP382" i="5"/>
  <c r="AQ382" i="5"/>
  <c r="AR382" i="5"/>
  <c r="AS382" i="5"/>
  <c r="AT382" i="5"/>
  <c r="AU382" i="5"/>
  <c r="AV382" i="5"/>
  <c r="AW382" i="5"/>
  <c r="AX382" i="5"/>
  <c r="AY382" i="5"/>
  <c r="AZ382" i="5"/>
  <c r="AP386" i="5"/>
  <c r="AQ386" i="5"/>
  <c r="AR386" i="5"/>
  <c r="AS386" i="5"/>
  <c r="AT386" i="5"/>
  <c r="AU386" i="5"/>
  <c r="AV386" i="5"/>
  <c r="AW386" i="5"/>
  <c r="AX386" i="5"/>
  <c r="AY386" i="5"/>
  <c r="AZ386" i="5"/>
  <c r="AR390" i="5"/>
  <c r="AS390" i="5"/>
  <c r="AT390" i="5"/>
  <c r="AU390" i="5"/>
  <c r="AV390" i="5"/>
  <c r="AW390" i="5"/>
  <c r="AX390" i="5"/>
  <c r="AY390" i="5"/>
  <c r="AR389" i="5"/>
  <c r="AS389" i="5"/>
  <c r="AT389" i="5"/>
  <c r="AU389" i="5"/>
  <c r="AV389" i="5"/>
  <c r="AW389" i="5"/>
  <c r="AX389" i="5"/>
  <c r="AY389" i="5"/>
  <c r="AR387" i="5"/>
  <c r="AS387" i="5"/>
  <c r="AT387" i="5"/>
  <c r="AU387" i="5"/>
  <c r="AV387" i="5"/>
  <c r="AW387" i="5"/>
  <c r="AX387" i="5"/>
  <c r="AY387" i="5"/>
  <c r="AR388" i="5"/>
  <c r="AS388" i="5"/>
  <c r="AT388" i="5"/>
  <c r="AU388" i="5"/>
  <c r="AV388" i="5"/>
  <c r="AW388" i="5"/>
  <c r="AX388" i="5"/>
  <c r="AY388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01" i="5"/>
  <c r="AS401" i="5"/>
  <c r="AT401" i="5"/>
  <c r="AU401" i="5"/>
  <c r="AV401" i="5"/>
  <c r="AW401" i="5"/>
  <c r="AX401" i="5"/>
  <c r="AY401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26" i="4"/>
  <c r="AC288" i="4"/>
  <c r="AC4" i="4"/>
  <c r="AC5" i="4"/>
  <c r="AC204" i="4"/>
  <c r="AC6" i="4"/>
  <c r="AC130" i="4"/>
  <c r="AC132" i="4"/>
  <c r="AC133" i="4"/>
  <c r="AC277" i="4"/>
  <c r="AC128" i="4"/>
  <c r="AC129" i="4"/>
  <c r="AC253" i="4"/>
  <c r="AC59" i="4"/>
  <c r="AC105" i="4"/>
  <c r="AC120" i="4"/>
  <c r="AC14" i="4"/>
  <c r="AC233" i="4"/>
  <c r="AC265" i="4"/>
  <c r="AC266" i="4"/>
  <c r="AC239" i="4"/>
  <c r="AC241" i="4"/>
  <c r="AC242" i="4"/>
  <c r="AC267" i="4"/>
  <c r="AC244" i="4"/>
  <c r="AC268" i="4"/>
  <c r="AC247" i="4"/>
  <c r="AC269" i="4"/>
  <c r="AC270" i="4"/>
  <c r="AC271" i="4"/>
  <c r="AC272" i="4"/>
  <c r="AC273" i="4"/>
  <c r="AC151" i="4"/>
  <c r="AC2" i="4"/>
  <c r="AC295" i="4"/>
  <c r="AC287" i="4"/>
  <c r="AC263" i="4"/>
  <c r="AC238" i="4"/>
  <c r="AC240" i="4"/>
  <c r="AC243" i="4"/>
  <c r="AC64" i="4"/>
  <c r="AC65" i="4"/>
  <c r="AC203" i="4"/>
  <c r="AC274" i="4"/>
  <c r="AC153" i="4"/>
  <c r="AC125" i="4"/>
  <c r="AC190" i="4"/>
  <c r="AC249" i="4"/>
  <c r="AC73" i="4"/>
  <c r="AC213" i="4"/>
  <c r="AC110" i="4"/>
  <c r="AC47" i="4"/>
  <c r="AC85" i="4"/>
  <c r="AC86" i="4"/>
  <c r="AC255" i="4"/>
  <c r="AC281" i="4"/>
  <c r="AC256" i="4"/>
  <c r="AC290" i="4"/>
  <c r="AC291" i="4"/>
  <c r="AC113" i="4"/>
  <c r="AC134" i="4"/>
  <c r="AC135" i="4"/>
  <c r="AC176" i="4"/>
  <c r="AC177" i="4"/>
  <c r="AC137" i="4"/>
  <c r="AC138" i="4"/>
  <c r="AC139" i="4"/>
  <c r="AC140" i="4"/>
  <c r="AC258" i="4"/>
  <c r="AC98" i="4"/>
  <c r="AC115" i="4"/>
  <c r="AC116" i="4"/>
  <c r="AC117" i="4"/>
  <c r="AC142" i="4"/>
  <c r="AC118" i="4"/>
  <c r="AC27" i="4"/>
  <c r="AC143" i="4"/>
  <c r="AC144" i="4"/>
  <c r="AC28" i="4"/>
  <c r="AC145" i="4"/>
  <c r="AC285" i="4"/>
  <c r="AC183" i="4"/>
  <c r="AC102" i="4"/>
  <c r="AC103" i="4"/>
  <c r="AC104" i="4"/>
  <c r="AC29" i="4"/>
  <c r="AC58" i="4"/>
  <c r="AC30" i="4"/>
  <c r="AC13" i="4"/>
  <c r="AC264" i="4"/>
  <c r="AC32" i="4"/>
  <c r="AC33" i="4"/>
  <c r="AC34" i="4"/>
  <c r="AC35" i="4"/>
  <c r="AC36" i="4"/>
  <c r="AC37" i="4"/>
  <c r="AC60" i="4"/>
  <c r="AC61" i="4"/>
  <c r="AC62" i="4"/>
  <c r="AC15" i="4"/>
  <c r="AC106" i="4"/>
  <c r="AC107" i="4"/>
  <c r="AC38" i="4"/>
  <c r="AC39" i="4"/>
  <c r="AC40" i="4"/>
  <c r="AC63" i="4"/>
  <c r="AC234" i="4"/>
  <c r="AC235" i="4"/>
  <c r="AC219" i="4"/>
  <c r="AC236" i="4"/>
  <c r="AC237" i="4"/>
  <c r="AC202" i="4"/>
  <c r="AC186" i="4"/>
  <c r="AC187" i="4"/>
  <c r="AC188" i="4"/>
  <c r="AC150" i="4"/>
  <c r="AC246" i="4"/>
  <c r="AC189" i="4"/>
  <c r="AC121" i="4"/>
  <c r="AC41" i="4"/>
  <c r="AC276" i="4"/>
  <c r="AC152" i="4"/>
  <c r="AC16" i="4"/>
  <c r="AC8" i="4"/>
  <c r="AC9" i="4"/>
  <c r="AC210" i="4"/>
  <c r="AC220" i="4"/>
  <c r="AC221" i="4"/>
  <c r="AC122" i="4"/>
  <c r="AC123" i="4"/>
  <c r="AC124" i="4"/>
  <c r="AC154" i="4"/>
  <c r="AC211" i="4"/>
  <c r="AC108" i="4"/>
  <c r="AC69" i="4"/>
  <c r="AC296" i="4"/>
  <c r="AC127" i="4"/>
  <c r="AC191" i="4"/>
  <c r="AC70" i="4"/>
  <c r="AC248" i="4"/>
  <c r="AC250" i="4"/>
  <c r="AC289" i="4"/>
  <c r="AC192" i="4"/>
  <c r="AC222" i="4"/>
  <c r="AC251" i="4"/>
  <c r="AC74" i="4"/>
  <c r="AC20" i="4"/>
  <c r="AC75" i="4"/>
  <c r="AC278" i="4"/>
  <c r="AC43" i="4"/>
  <c r="AC212" i="4"/>
  <c r="AC77" i="4"/>
  <c r="AC223" i="4"/>
  <c r="AC158" i="4"/>
  <c r="AC252" i="4"/>
  <c r="AC10" i="4"/>
  <c r="AC159" i="4"/>
  <c r="AC21" i="4"/>
  <c r="AC160" i="4"/>
  <c r="AC44" i="4"/>
  <c r="AC45" i="4"/>
  <c r="AC11" i="4"/>
  <c r="AC254" i="4"/>
  <c r="AC193" i="4"/>
  <c r="AC194" i="4"/>
  <c r="AC279" i="4"/>
  <c r="AC280" i="4"/>
  <c r="AC46" i="4"/>
  <c r="AC80" i="4"/>
  <c r="AC81" i="4"/>
  <c r="AC215" i="4"/>
  <c r="AC7" i="4"/>
  <c r="AC111" i="4"/>
  <c r="AC112" i="4"/>
  <c r="AC24" i="4"/>
  <c r="AC25" i="4"/>
  <c r="AC131" i="4"/>
  <c r="AC165" i="4"/>
  <c r="AC166" i="4"/>
  <c r="AC167" i="4"/>
  <c r="AC168" i="4"/>
  <c r="AC169" i="4"/>
  <c r="AC170" i="4"/>
  <c r="AC171" i="4"/>
  <c r="AC195" i="4"/>
  <c r="AC207" i="4"/>
  <c r="AC208" i="4"/>
  <c r="AC136" i="4"/>
  <c r="AC172" i="4"/>
  <c r="AC173" i="4"/>
  <c r="AC174" i="4"/>
  <c r="AC175" i="4"/>
  <c r="AC298" i="4"/>
  <c r="AC196" i="4"/>
  <c r="AC88" i="4"/>
  <c r="AC89" i="4"/>
  <c r="AC90" i="4"/>
  <c r="AC91" i="4"/>
  <c r="AC92" i="4"/>
  <c r="AC93" i="4"/>
  <c r="AC95" i="4"/>
  <c r="AC96" i="4"/>
  <c r="AC216" i="4"/>
  <c r="AC217" i="4"/>
  <c r="AC218" i="4"/>
  <c r="AC228" i="4"/>
  <c r="AC97" i="4"/>
  <c r="AC292" i="4"/>
  <c r="AC229" i="4"/>
  <c r="AC230" i="4"/>
  <c r="AC257" i="4"/>
  <c r="AC141" i="4"/>
  <c r="AC297" i="4"/>
  <c r="AC259" i="4"/>
  <c r="AC260" i="4"/>
  <c r="AC261" i="4"/>
  <c r="AC197" i="4"/>
  <c r="AC178" i="4"/>
  <c r="AC179" i="4"/>
  <c r="AC180" i="4"/>
  <c r="AC199" i="4"/>
  <c r="AC181" i="4"/>
  <c r="AC294" i="4"/>
  <c r="AC231" i="4"/>
  <c r="AC209" i="4"/>
  <c r="AC283" i="4"/>
  <c r="AC284" i="4"/>
  <c r="AC51" i="4"/>
  <c r="AC52" i="4"/>
  <c r="AC53" i="4"/>
  <c r="AC54" i="4"/>
  <c r="AC55" i="4"/>
  <c r="AC56" i="4"/>
  <c r="AC57" i="4"/>
  <c r="AC99" i="4"/>
  <c r="AC184" i="4"/>
  <c r="AC185" i="4"/>
  <c r="AC101" i="4"/>
  <c r="AC146" i="4"/>
  <c r="AC119" i="4"/>
  <c r="AC147" i="4"/>
  <c r="AC31" i="4"/>
  <c r="AC148" i="4"/>
  <c r="AC66" i="4"/>
  <c r="AC155" i="4"/>
  <c r="AC156" i="4"/>
  <c r="AC71" i="4"/>
  <c r="AC109" i="4"/>
  <c r="AC79" i="4"/>
  <c r="AC23" i="4"/>
  <c r="AC205" i="4"/>
  <c r="AC206" i="4"/>
  <c r="AC94" i="4"/>
  <c r="AC182" i="4"/>
  <c r="AC157" i="4"/>
  <c r="AC42" i="4"/>
  <c r="AC224" i="4"/>
  <c r="AC78" i="4"/>
  <c r="AC225" i="4"/>
  <c r="AC226" i="4"/>
  <c r="AC227" i="4"/>
  <c r="AC200" i="4"/>
  <c r="AC201" i="4"/>
  <c r="AC18" i="4"/>
  <c r="AC72" i="4"/>
  <c r="AC3" i="4"/>
  <c r="AC19" i="4"/>
  <c r="AC76" i="4"/>
  <c r="AC214" i="4"/>
  <c r="AC12" i="4"/>
  <c r="AC293" i="4"/>
  <c r="AC114" i="4"/>
  <c r="AC286" i="4"/>
  <c r="AC275" i="4"/>
  <c r="AC162" i="4"/>
  <c r="AC48" i="4"/>
  <c r="AC149" i="4"/>
  <c r="AC161" i="4"/>
  <c r="AC163" i="4"/>
  <c r="AC164" i="4"/>
  <c r="AC198" i="4"/>
  <c r="AC68" i="4"/>
  <c r="AC82" i="4"/>
  <c r="AC83" i="4"/>
  <c r="AC84" i="4"/>
  <c r="AC87" i="4"/>
  <c r="AC49" i="4"/>
  <c r="AC50" i="4"/>
  <c r="AC100" i="4"/>
  <c r="AC126" i="4"/>
  <c r="AC22" i="4"/>
  <c r="AC17" i="4"/>
  <c r="AC307" i="4"/>
  <c r="AC306" i="4"/>
  <c r="AC304" i="4"/>
  <c r="AC305" i="4"/>
  <c r="AC300" i="4"/>
  <c r="AC301" i="4"/>
  <c r="AC299" i="4"/>
  <c r="AC302" i="4"/>
  <c r="AC303" i="4"/>
  <c r="AC310" i="4"/>
  <c r="AC311" i="4"/>
  <c r="AC312" i="4"/>
  <c r="AC313" i="4"/>
  <c r="AC308" i="4"/>
  <c r="AC314" i="4"/>
  <c r="AC335" i="4"/>
  <c r="AC336" i="4"/>
  <c r="AC318" i="4"/>
  <c r="AC315" i="4"/>
  <c r="AC319" i="4"/>
  <c r="AC320" i="4"/>
  <c r="AC321" i="4"/>
  <c r="AC347" i="4"/>
  <c r="AC326" i="4"/>
  <c r="AC327" i="4"/>
  <c r="AC328" i="4"/>
  <c r="AC329" i="4"/>
  <c r="AC341" i="4"/>
  <c r="AC331" i="4"/>
  <c r="AC332" i="4"/>
  <c r="AC333" i="4"/>
  <c r="AC343" i="4"/>
  <c r="AC344" i="4"/>
  <c r="AC345" i="4"/>
  <c r="AC342" i="4"/>
  <c r="AC322" i="4"/>
  <c r="AC317" i="4"/>
  <c r="AC323" i="4"/>
  <c r="AC330" i="4"/>
  <c r="AC325" i="4"/>
  <c r="AC334" i="4"/>
  <c r="AC324" i="4"/>
  <c r="AC338" i="4"/>
  <c r="AC337" i="4"/>
  <c r="AC316" i="4"/>
  <c r="AC339" i="4"/>
  <c r="AC340" i="4"/>
  <c r="AC346" i="4"/>
  <c r="AC350" i="4"/>
  <c r="AC361" i="4"/>
  <c r="AC362" i="4"/>
  <c r="AC368" i="4"/>
  <c r="AC363" i="4"/>
  <c r="AC369" i="4"/>
  <c r="AC351" i="4"/>
  <c r="AC348" i="4"/>
  <c r="AC358" i="4"/>
  <c r="AC359" i="4"/>
  <c r="AC364" i="4"/>
  <c r="AC349" i="4"/>
  <c r="AC365" i="4"/>
  <c r="AC366" i="4"/>
  <c r="AC367" i="4"/>
  <c r="AC360" i="4"/>
  <c r="AC352" i="4"/>
  <c r="AC353" i="4"/>
  <c r="AC354" i="4"/>
  <c r="AC355" i="4"/>
  <c r="AC356" i="4"/>
  <c r="AC357" i="4"/>
  <c r="AC371" i="4"/>
  <c r="AC377" i="4"/>
  <c r="AC378" i="4"/>
  <c r="AC379" i="4"/>
  <c r="AC373" i="4"/>
  <c r="AC370" i="4"/>
  <c r="AC376" i="4"/>
  <c r="AC381" i="4"/>
  <c r="AC374" i="4"/>
  <c r="AC375" i="4"/>
  <c r="AC372" i="4"/>
  <c r="AC383" i="4"/>
  <c r="AC385" i="4"/>
  <c r="AC386" i="4"/>
  <c r="AC384" i="4"/>
  <c r="AC382" i="4"/>
  <c r="AC390" i="4"/>
  <c r="AC395" i="4"/>
  <c r="AC408" i="4"/>
  <c r="AC397" i="4"/>
  <c r="AC398" i="4"/>
  <c r="AC399" i="4"/>
  <c r="AC400" i="4"/>
  <c r="AC403" i="4"/>
  <c r="AC387" i="4"/>
  <c r="AC404" i="4"/>
  <c r="AC405" i="4"/>
  <c r="AC407" i="4"/>
  <c r="AC396" i="4"/>
  <c r="AC388" i="4"/>
  <c r="AC389" i="4"/>
  <c r="AC391" i="4"/>
  <c r="AC392" i="4"/>
  <c r="AC393" i="4"/>
  <c r="AC402" i="4"/>
  <c r="AC394" i="4"/>
  <c r="AC406" i="4"/>
  <c r="AC409" i="4"/>
  <c r="AC410" i="4"/>
  <c r="AC411" i="4"/>
  <c r="AC401" i="4"/>
  <c r="AC245" i="4"/>
  <c r="AD245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1" i="5"/>
  <c r="BD386" i="5"/>
  <c r="BD382" i="5"/>
  <c r="BD383" i="5"/>
  <c r="BD391" i="5"/>
  <c r="BD407" i="5"/>
  <c r="BD408" i="5"/>
  <c r="BD388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2" i="5"/>
  <c r="BD314" i="5"/>
  <c r="BD304" i="5"/>
  <c r="BD305" i="5"/>
  <c r="BD300" i="5"/>
  <c r="BD308" i="5"/>
  <c r="BD312" i="5"/>
  <c r="BD313" i="5"/>
  <c r="BD306" i="5"/>
  <c r="BD311" i="5"/>
  <c r="BD301" i="5"/>
  <c r="BD309" i="5"/>
  <c r="BD307" i="5"/>
  <c r="BD299" i="5"/>
  <c r="BD310" i="5"/>
  <c r="BD325" i="5"/>
  <c r="BD324" i="5"/>
  <c r="BD323" i="5"/>
  <c r="BD338" i="5"/>
  <c r="BD340" i="5"/>
  <c r="BD345" i="5"/>
  <c r="BD344" i="5"/>
  <c r="BD346" i="5"/>
  <c r="BD336" i="5"/>
  <c r="BD330" i="5"/>
  <c r="BD320" i="5"/>
  <c r="BD315" i="5"/>
  <c r="BD316" i="5"/>
  <c r="BD317" i="5"/>
  <c r="BD318" i="5"/>
  <c r="BD319" i="5"/>
  <c r="BD321" i="5"/>
  <c r="BD322" i="5"/>
  <c r="BD326" i="5"/>
  <c r="BD327" i="5"/>
  <c r="BD328" i="5"/>
  <c r="BD329" i="5"/>
  <c r="BD332" i="5"/>
  <c r="BD333" i="5"/>
  <c r="BD334" i="5"/>
  <c r="BD335" i="5"/>
  <c r="BD337" i="5"/>
  <c r="BD339" i="5"/>
  <c r="BD341" i="5"/>
  <c r="BD342" i="5"/>
  <c r="BD343" i="5"/>
  <c r="BD347" i="5"/>
  <c r="BD351" i="5"/>
  <c r="BD353" i="5"/>
  <c r="BD352" i="5"/>
  <c r="BD350" i="5"/>
  <c r="BD368" i="5"/>
  <c r="BD367" i="5"/>
  <c r="BD359" i="5"/>
  <c r="BD369" i="5"/>
  <c r="BD360" i="5"/>
  <c r="BD362" i="5"/>
  <c r="BD365" i="5"/>
  <c r="BD363" i="5"/>
  <c r="BD361" i="5"/>
  <c r="BD364" i="5"/>
  <c r="BD349" i="5"/>
  <c r="BD358" i="5"/>
  <c r="BD348" i="5"/>
  <c r="BD357" i="5"/>
  <c r="BD356" i="5"/>
  <c r="BD366" i="5"/>
  <c r="BD355" i="5"/>
  <c r="BD354" i="5"/>
  <c r="BD376" i="5"/>
  <c r="BD373" i="5"/>
  <c r="BD374" i="5"/>
  <c r="BD371" i="5"/>
  <c r="BD380" i="5"/>
  <c r="BD379" i="5"/>
  <c r="BD375" i="5"/>
  <c r="BD372" i="5"/>
  <c r="BD377" i="5"/>
  <c r="BD378" i="5"/>
  <c r="BD370" i="5"/>
  <c r="BD384" i="5"/>
  <c r="BD385" i="5"/>
  <c r="BD387" i="5"/>
  <c r="BD389" i="5"/>
  <c r="BD392" i="5"/>
  <c r="BD393" i="5"/>
  <c r="BD394" i="5"/>
  <c r="BD398" i="5"/>
  <c r="BD399" i="5"/>
  <c r="BD400" i="5"/>
  <c r="BD401" i="5"/>
  <c r="BD402" i="5"/>
  <c r="BD403" i="5"/>
  <c r="BD405" i="5"/>
  <c r="BD406" i="5"/>
  <c r="BD409" i="5"/>
  <c r="BD410" i="5"/>
  <c r="BD411" i="5"/>
  <c r="BD390" i="5"/>
  <c r="BD395" i="5"/>
  <c r="BD404" i="5"/>
  <c r="BD397" i="5"/>
  <c r="BD396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26" i="4"/>
  <c r="AD288" i="4"/>
  <c r="AD4" i="4"/>
  <c r="AD5" i="4"/>
  <c r="AD204" i="4"/>
  <c r="AD6" i="4"/>
  <c r="AD130" i="4"/>
  <c r="AD132" i="4"/>
  <c r="AD133" i="4"/>
  <c r="AD277" i="4"/>
  <c r="AD128" i="4"/>
  <c r="AD129" i="4"/>
  <c r="AD253" i="4"/>
  <c r="AD59" i="4"/>
  <c r="AD105" i="4"/>
  <c r="AD120" i="4"/>
  <c r="AD14" i="4"/>
  <c r="AD233" i="4"/>
  <c r="AD265" i="4"/>
  <c r="AD266" i="4"/>
  <c r="AD239" i="4"/>
  <c r="AD241" i="4"/>
  <c r="AD242" i="4"/>
  <c r="AD267" i="4"/>
  <c r="AD244" i="4"/>
  <c r="AD268" i="4"/>
  <c r="AD247" i="4"/>
  <c r="AD269" i="4"/>
  <c r="AD270" i="4"/>
  <c r="AD271" i="4"/>
  <c r="AD272" i="4"/>
  <c r="AD273" i="4"/>
  <c r="AD151" i="4"/>
  <c r="AD2" i="4"/>
  <c r="AD295" i="4"/>
  <c r="AD287" i="4"/>
  <c r="AD263" i="4"/>
  <c r="AD238" i="4"/>
  <c r="AD240" i="4"/>
  <c r="AD243" i="4"/>
  <c r="AD64" i="4"/>
  <c r="AD65" i="4"/>
  <c r="AD203" i="4"/>
  <c r="AD274" i="4"/>
  <c r="AD153" i="4"/>
  <c r="AD125" i="4"/>
  <c r="AD190" i="4"/>
  <c r="AD249" i="4"/>
  <c r="AD73" i="4"/>
  <c r="AD213" i="4"/>
  <c r="AD110" i="4"/>
  <c r="AD47" i="4"/>
  <c r="AD85" i="4"/>
  <c r="AD86" i="4"/>
  <c r="AD255" i="4"/>
  <c r="AD281" i="4"/>
  <c r="AD256" i="4"/>
  <c r="AD290" i="4"/>
  <c r="AD291" i="4"/>
  <c r="AD113" i="4"/>
  <c r="AD134" i="4"/>
  <c r="AD135" i="4"/>
  <c r="AD176" i="4"/>
  <c r="AD177" i="4"/>
  <c r="AD137" i="4"/>
  <c r="AD138" i="4"/>
  <c r="AD139" i="4"/>
  <c r="AD140" i="4"/>
  <c r="AD258" i="4"/>
  <c r="AD98" i="4"/>
  <c r="AD115" i="4"/>
  <c r="AD116" i="4"/>
  <c r="AD117" i="4"/>
  <c r="AD142" i="4"/>
  <c r="AD118" i="4"/>
  <c r="AD27" i="4"/>
  <c r="AD143" i="4"/>
  <c r="AD144" i="4"/>
  <c r="AD28" i="4"/>
  <c r="AD145" i="4"/>
  <c r="AD285" i="4"/>
  <c r="AD183" i="4"/>
  <c r="AD102" i="4"/>
  <c r="AD103" i="4"/>
  <c r="AD104" i="4"/>
  <c r="AD29" i="4"/>
  <c r="AD58" i="4"/>
  <c r="AD30" i="4"/>
  <c r="AD13" i="4"/>
  <c r="AD264" i="4"/>
  <c r="AD32" i="4"/>
  <c r="AD33" i="4"/>
  <c r="AD34" i="4"/>
  <c r="AD35" i="4"/>
  <c r="AD36" i="4"/>
  <c r="AD37" i="4"/>
  <c r="AD60" i="4"/>
  <c r="AD61" i="4"/>
  <c r="AD62" i="4"/>
  <c r="AD15" i="4"/>
  <c r="AD106" i="4"/>
  <c r="AD107" i="4"/>
  <c r="AD38" i="4"/>
  <c r="AD39" i="4"/>
  <c r="AD40" i="4"/>
  <c r="AD63" i="4"/>
  <c r="AD234" i="4"/>
  <c r="AD235" i="4"/>
  <c r="AD219" i="4"/>
  <c r="AD236" i="4"/>
  <c r="AD237" i="4"/>
  <c r="AD202" i="4"/>
  <c r="AD186" i="4"/>
  <c r="AD187" i="4"/>
  <c r="AD188" i="4"/>
  <c r="AD150" i="4"/>
  <c r="AD246" i="4"/>
  <c r="AD189" i="4"/>
  <c r="AD121" i="4"/>
  <c r="AD41" i="4"/>
  <c r="AD276" i="4"/>
  <c r="AD152" i="4"/>
  <c r="AD16" i="4"/>
  <c r="AD8" i="4"/>
  <c r="AD9" i="4"/>
  <c r="AD210" i="4"/>
  <c r="AD220" i="4"/>
  <c r="AD221" i="4"/>
  <c r="AD122" i="4"/>
  <c r="AD123" i="4"/>
  <c r="AD124" i="4"/>
  <c r="AD154" i="4"/>
  <c r="AD211" i="4"/>
  <c r="AD108" i="4"/>
  <c r="AD69" i="4"/>
  <c r="AD296" i="4"/>
  <c r="AD127" i="4"/>
  <c r="AD191" i="4"/>
  <c r="AD70" i="4"/>
  <c r="AD248" i="4"/>
  <c r="AD250" i="4"/>
  <c r="AD289" i="4"/>
  <c r="AD192" i="4"/>
  <c r="AD222" i="4"/>
  <c r="AD251" i="4"/>
  <c r="AD74" i="4"/>
  <c r="AD20" i="4"/>
  <c r="AD75" i="4"/>
  <c r="AD278" i="4"/>
  <c r="AD43" i="4"/>
  <c r="AD212" i="4"/>
  <c r="AD77" i="4"/>
  <c r="AD223" i="4"/>
  <c r="AD158" i="4"/>
  <c r="AD252" i="4"/>
  <c r="AD10" i="4"/>
  <c r="AD159" i="4"/>
  <c r="AD21" i="4"/>
  <c r="AD160" i="4"/>
  <c r="AD44" i="4"/>
  <c r="AD45" i="4"/>
  <c r="AD11" i="4"/>
  <c r="AD254" i="4"/>
  <c r="AD193" i="4"/>
  <c r="AD194" i="4"/>
  <c r="AD279" i="4"/>
  <c r="AD280" i="4"/>
  <c r="AD46" i="4"/>
  <c r="AD80" i="4"/>
  <c r="AD81" i="4"/>
  <c r="AD215" i="4"/>
  <c r="AD7" i="4"/>
  <c r="AD111" i="4"/>
  <c r="AD112" i="4"/>
  <c r="AD24" i="4"/>
  <c r="AD25" i="4"/>
  <c r="AD131" i="4"/>
  <c r="AD165" i="4"/>
  <c r="AD166" i="4"/>
  <c r="AD167" i="4"/>
  <c r="AD168" i="4"/>
  <c r="AD169" i="4"/>
  <c r="AD170" i="4"/>
  <c r="AD171" i="4"/>
  <c r="AD195" i="4"/>
  <c r="AD207" i="4"/>
  <c r="AD208" i="4"/>
  <c r="AD136" i="4"/>
  <c r="AD172" i="4"/>
  <c r="AD173" i="4"/>
  <c r="AD174" i="4"/>
  <c r="AD175" i="4"/>
  <c r="AD298" i="4"/>
  <c r="AD196" i="4"/>
  <c r="AD88" i="4"/>
  <c r="AD89" i="4"/>
  <c r="AD90" i="4"/>
  <c r="AD91" i="4"/>
  <c r="AD92" i="4"/>
  <c r="AD93" i="4"/>
  <c r="AD95" i="4"/>
  <c r="AD96" i="4"/>
  <c r="AD216" i="4"/>
  <c r="AD217" i="4"/>
  <c r="AD218" i="4"/>
  <c r="AD228" i="4"/>
  <c r="AD97" i="4"/>
  <c r="AD292" i="4"/>
  <c r="AD229" i="4"/>
  <c r="AD230" i="4"/>
  <c r="AD257" i="4"/>
  <c r="AD141" i="4"/>
  <c r="AD297" i="4"/>
  <c r="AD259" i="4"/>
  <c r="AD260" i="4"/>
  <c r="AD261" i="4"/>
  <c r="AD197" i="4"/>
  <c r="AD178" i="4"/>
  <c r="AD179" i="4"/>
  <c r="AD180" i="4"/>
  <c r="AD199" i="4"/>
  <c r="AD181" i="4"/>
  <c r="AD294" i="4"/>
  <c r="AD231" i="4"/>
  <c r="AD209" i="4"/>
  <c r="AD283" i="4"/>
  <c r="AD284" i="4"/>
  <c r="AD51" i="4"/>
  <c r="AD52" i="4"/>
  <c r="AD53" i="4"/>
  <c r="AD54" i="4"/>
  <c r="AD55" i="4"/>
  <c r="AD56" i="4"/>
  <c r="AD57" i="4"/>
  <c r="AD99" i="4"/>
  <c r="AD184" i="4"/>
  <c r="AD185" i="4"/>
  <c r="AD101" i="4"/>
  <c r="AD146" i="4"/>
  <c r="AD119" i="4"/>
  <c r="AD147" i="4"/>
  <c r="AD31" i="4"/>
  <c r="AD148" i="4"/>
  <c r="AD66" i="4"/>
  <c r="AD155" i="4"/>
  <c r="AD156" i="4"/>
  <c r="AD71" i="4"/>
  <c r="AD109" i="4"/>
  <c r="AD79" i="4"/>
  <c r="AD23" i="4"/>
  <c r="AD205" i="4"/>
  <c r="AD206" i="4"/>
  <c r="AD94" i="4"/>
  <c r="AD182" i="4"/>
  <c r="AD157" i="4"/>
  <c r="AD42" i="4"/>
  <c r="AD224" i="4"/>
  <c r="AD78" i="4"/>
  <c r="AD225" i="4"/>
  <c r="AD226" i="4"/>
  <c r="AD227" i="4"/>
  <c r="AD200" i="4"/>
  <c r="AD201" i="4"/>
  <c r="AD18" i="4"/>
  <c r="AD72" i="4"/>
  <c r="AD3" i="4"/>
  <c r="AD19" i="4"/>
  <c r="AD76" i="4"/>
  <c r="AD214" i="4"/>
  <c r="AD12" i="4"/>
  <c r="AD293" i="4"/>
  <c r="AD114" i="4"/>
  <c r="AD286" i="4"/>
  <c r="AD275" i="4"/>
  <c r="AD162" i="4"/>
  <c r="AD48" i="4"/>
  <c r="AD149" i="4"/>
  <c r="AD161" i="4"/>
  <c r="AD163" i="4"/>
  <c r="AD164" i="4"/>
  <c r="AD198" i="4"/>
  <c r="AD68" i="4"/>
  <c r="AD82" i="4"/>
  <c r="AD83" i="4"/>
  <c r="AD84" i="4"/>
  <c r="AD87" i="4"/>
  <c r="AD49" i="4"/>
  <c r="AD50" i="4"/>
  <c r="AD100" i="4"/>
  <c r="AD126" i="4"/>
  <c r="AD22" i="4"/>
  <c r="AD17" i="4"/>
  <c r="AD307" i="4"/>
  <c r="AD306" i="4"/>
  <c r="AD304" i="4"/>
  <c r="AD305" i="4"/>
  <c r="AD300" i="4"/>
  <c r="AD301" i="4"/>
  <c r="AD299" i="4"/>
  <c r="AD302" i="4"/>
  <c r="AD303" i="4"/>
  <c r="AD310" i="4"/>
  <c r="AD311" i="4"/>
  <c r="AD312" i="4"/>
  <c r="AD313" i="4"/>
  <c r="AD308" i="4"/>
  <c r="AD314" i="4"/>
  <c r="AD335" i="4"/>
  <c r="AD336" i="4"/>
  <c r="AD318" i="4"/>
  <c r="AD315" i="4"/>
  <c r="AD319" i="4"/>
  <c r="AD320" i="4"/>
  <c r="AD321" i="4"/>
  <c r="AD347" i="4"/>
  <c r="AD326" i="4"/>
  <c r="AD327" i="4"/>
  <c r="AD328" i="4"/>
  <c r="AD329" i="4"/>
  <c r="AD341" i="4"/>
  <c r="AD331" i="4"/>
  <c r="AD332" i="4"/>
  <c r="AD333" i="4"/>
  <c r="AD343" i="4"/>
  <c r="AD344" i="4"/>
  <c r="AD345" i="4"/>
  <c r="AD342" i="4"/>
  <c r="AD322" i="4"/>
  <c r="AD317" i="4"/>
  <c r="AD323" i="4"/>
  <c r="AD330" i="4"/>
  <c r="AD325" i="4"/>
  <c r="AD334" i="4"/>
  <c r="AD324" i="4"/>
  <c r="AD338" i="4"/>
  <c r="AD337" i="4"/>
  <c r="AD316" i="4"/>
  <c r="AD339" i="4"/>
  <c r="AD340" i="4"/>
  <c r="AD346" i="4"/>
  <c r="AD350" i="4"/>
  <c r="AD361" i="4"/>
  <c r="AD362" i="4"/>
  <c r="AD368" i="4"/>
  <c r="AD363" i="4"/>
  <c r="AD369" i="4"/>
  <c r="AD351" i="4"/>
  <c r="AD348" i="4"/>
  <c r="AD358" i="4"/>
  <c r="AD359" i="4"/>
  <c r="AD364" i="4"/>
  <c r="AD349" i="4"/>
  <c r="AD365" i="4"/>
  <c r="AD366" i="4"/>
  <c r="AD367" i="4"/>
  <c r="AD360" i="4"/>
  <c r="AD352" i="4"/>
  <c r="AD353" i="4"/>
  <c r="AD354" i="4"/>
  <c r="AD355" i="4"/>
  <c r="AD356" i="4"/>
  <c r="AD357" i="4"/>
  <c r="AD371" i="4"/>
  <c r="AD377" i="4"/>
  <c r="AD378" i="4"/>
  <c r="AD379" i="4"/>
  <c r="AD373" i="4"/>
  <c r="AD370" i="4"/>
  <c r="AD376" i="4"/>
  <c r="AD381" i="4"/>
  <c r="AD374" i="4"/>
  <c r="AD375" i="4"/>
  <c r="AD372" i="4"/>
  <c r="AD383" i="4"/>
  <c r="AD385" i="4"/>
  <c r="AD386" i="4"/>
  <c r="AD384" i="4"/>
  <c r="AD382" i="4"/>
  <c r="AD390" i="4"/>
  <c r="AD395" i="4"/>
  <c r="AD408" i="4"/>
  <c r="AD397" i="4"/>
  <c r="AD398" i="4"/>
  <c r="AD399" i="4"/>
  <c r="AD400" i="4"/>
  <c r="AD403" i="4"/>
  <c r="AD387" i="4"/>
  <c r="AD404" i="4"/>
  <c r="AD405" i="4"/>
  <c r="AD407" i="4"/>
  <c r="AD396" i="4"/>
  <c r="AD388" i="4"/>
  <c r="AD389" i="4"/>
  <c r="AD391" i="4"/>
  <c r="AD392" i="4"/>
  <c r="AD393" i="4"/>
  <c r="AD402" i="4"/>
  <c r="AD394" i="4"/>
  <c r="AD406" i="4"/>
  <c r="AD409" i="4"/>
  <c r="AD410" i="4"/>
  <c r="AD411" i="4"/>
  <c r="AD401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3" i="4"/>
  <c r="AE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66" i="4"/>
  <c r="AE58" i="4"/>
  <c r="AE59" i="4"/>
  <c r="AE60" i="4"/>
  <c r="AE61" i="4"/>
  <c r="AE62" i="4"/>
  <c r="AE63" i="4"/>
  <c r="AE64" i="4"/>
  <c r="AE65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81" i="4"/>
  <c r="AE182" i="4"/>
  <c r="AE183" i="4"/>
  <c r="AE184" i="4"/>
  <c r="AE185" i="4"/>
  <c r="AE178" i="4"/>
  <c r="AE179" i="4"/>
  <c r="AE180" i="4"/>
  <c r="AE186" i="4"/>
  <c r="AE187" i="4"/>
  <c r="AE188" i="4"/>
  <c r="AE189" i="4"/>
  <c r="AE190" i="4"/>
  <c r="AE191" i="4"/>
  <c r="AE192" i="4"/>
  <c r="AE193" i="4"/>
  <c r="AE194" i="4"/>
  <c r="AE195" i="4"/>
  <c r="AE196" i="4"/>
  <c r="AE198" i="4"/>
  <c r="AE199" i="4"/>
  <c r="AE200" i="4"/>
  <c r="AE201" i="4"/>
  <c r="AE197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3" i="4"/>
  <c r="AE234" i="4"/>
  <c r="AE235" i="4"/>
  <c r="AE236" i="4"/>
  <c r="AE237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3" i="4"/>
  <c r="AE238" i="4"/>
  <c r="AE239" i="4"/>
  <c r="AE240" i="4"/>
  <c r="AE241" i="4"/>
  <c r="AE242" i="4"/>
  <c r="AE243" i="4"/>
  <c r="AE244" i="4"/>
  <c r="AE264" i="4"/>
  <c r="AE265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3" i="4"/>
  <c r="AE284" i="4"/>
  <c r="AE285" i="4"/>
  <c r="AE286" i="4"/>
  <c r="AE287" i="4"/>
  <c r="AE266" i="4"/>
  <c r="AE267" i="4"/>
  <c r="AE268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10" i="4"/>
  <c r="AE311" i="4"/>
  <c r="AE312" i="4"/>
  <c r="AE313" i="4"/>
  <c r="AE314" i="4"/>
  <c r="AE315" i="4"/>
  <c r="AE317" i="4"/>
  <c r="AE318" i="4"/>
  <c r="AE319" i="4"/>
  <c r="AE320" i="4"/>
  <c r="AE321" i="4"/>
  <c r="AE322" i="4"/>
  <c r="AE323" i="4"/>
  <c r="AE324" i="4"/>
  <c r="AE326" i="4"/>
  <c r="AE327" i="4"/>
  <c r="AE328" i="4"/>
  <c r="AE329" i="4"/>
  <c r="AE330" i="4"/>
  <c r="AE331" i="4"/>
  <c r="AE332" i="4"/>
  <c r="AE333" i="4"/>
  <c r="AE325" i="4"/>
  <c r="AE334" i="4"/>
  <c r="AE335" i="4"/>
  <c r="AE336" i="4"/>
  <c r="AE337" i="4"/>
  <c r="AE316" i="4"/>
  <c r="AE338" i="4"/>
  <c r="AE339" i="4"/>
  <c r="AE340" i="4"/>
  <c r="AE341" i="4"/>
  <c r="AE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60" i="4"/>
  <c r="AE356" i="4"/>
  <c r="AE357" i="4"/>
  <c r="AE358" i="4"/>
  <c r="AE359" i="4"/>
  <c r="AE361" i="4"/>
  <c r="AE362" i="4"/>
  <c r="AE363" i="4"/>
  <c r="AE368" i="4"/>
  <c r="AE369" i="4"/>
  <c r="AE364" i="4"/>
  <c r="AE365" i="4"/>
  <c r="AE366" i="4"/>
  <c r="AE367" i="4"/>
  <c r="AE370" i="4"/>
  <c r="AE371" i="4"/>
  <c r="AE372" i="4"/>
  <c r="AE373" i="4"/>
  <c r="AE374" i="4"/>
  <c r="AE375" i="4"/>
  <c r="AE376" i="4"/>
  <c r="AE377" i="4"/>
  <c r="AE378" i="4"/>
  <c r="AE379" i="4"/>
  <c r="AE381" i="4"/>
  <c r="AE382" i="4"/>
  <c r="AE383" i="4"/>
  <c r="AE384" i="4"/>
  <c r="AE385" i="4"/>
  <c r="AE386" i="4"/>
  <c r="AE387" i="4"/>
  <c r="AE388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E411" i="4"/>
  <c r="AE2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5" i="4"/>
  <c r="AG386" i="4"/>
  <c r="AG382" i="4"/>
  <c r="AG384" i="4"/>
  <c r="AG383" i="4"/>
  <c r="AG396" i="4"/>
  <c r="AG388" i="4"/>
  <c r="AG389" i="4"/>
  <c r="AG390" i="4"/>
  <c r="AG397" i="4"/>
  <c r="AG398" i="4"/>
  <c r="AG399" i="4"/>
  <c r="AG400" i="4"/>
  <c r="AG401" i="4"/>
  <c r="AG391" i="4"/>
  <c r="AG392" i="4"/>
  <c r="AG393" i="4"/>
  <c r="AG402" i="4"/>
  <c r="AG403" i="4"/>
  <c r="AG387" i="4"/>
  <c r="AG404" i="4"/>
  <c r="AG405" i="4"/>
  <c r="AG394" i="4"/>
  <c r="AG395" i="4"/>
  <c r="AG406" i="4"/>
  <c r="AG407" i="4"/>
  <c r="AG408" i="4"/>
  <c r="AG409" i="4"/>
  <c r="AG410" i="4"/>
  <c r="AG411" i="4"/>
  <c r="AJ304" i="4"/>
  <c r="AJ305" i="4"/>
  <c r="AJ306" i="4"/>
  <c r="AJ307" i="4"/>
  <c r="AJ300" i="4"/>
  <c r="AJ310" i="4"/>
  <c r="AJ311" i="4"/>
  <c r="AJ312" i="4"/>
  <c r="AJ313" i="4"/>
  <c r="AJ301" i="4"/>
  <c r="AJ314" i="4"/>
  <c r="AJ308" i="4"/>
  <c r="AJ299" i="4"/>
  <c r="AJ302" i="4"/>
  <c r="AJ303" i="4"/>
  <c r="AJ343" i="4"/>
  <c r="AJ344" i="4"/>
  <c r="AJ345" i="4"/>
  <c r="AJ335" i="4"/>
  <c r="AJ336" i="4"/>
  <c r="AJ318" i="4"/>
  <c r="AJ315" i="4"/>
  <c r="AJ319" i="4"/>
  <c r="AJ320" i="4"/>
  <c r="AJ321" i="4"/>
  <c r="AJ347" i="4"/>
  <c r="AJ337" i="4"/>
  <c r="AJ316" i="4"/>
  <c r="AJ338" i="4"/>
  <c r="AJ339" i="4"/>
  <c r="AJ340" i="4"/>
  <c r="AJ342" i="4"/>
  <c r="AJ322" i="4"/>
  <c r="AJ317" i="4"/>
  <c r="AJ323" i="4"/>
  <c r="AJ346" i="4"/>
  <c r="AJ326" i="4"/>
  <c r="AJ327" i="4"/>
  <c r="AJ328" i="4"/>
  <c r="AJ329" i="4"/>
  <c r="AJ341" i="4"/>
  <c r="AJ331" i="4"/>
  <c r="AJ332" i="4"/>
  <c r="AJ333" i="4"/>
  <c r="AJ325" i="4"/>
  <c r="AJ334" i="4"/>
  <c r="AJ324" i="4"/>
  <c r="AJ330" i="4"/>
  <c r="AJ350" i="4"/>
  <c r="AJ356" i="4"/>
  <c r="AJ357" i="4"/>
  <c r="AJ355" i="4"/>
  <c r="AJ361" i="4"/>
  <c r="AJ362" i="4"/>
  <c r="AJ368" i="4"/>
  <c r="AJ363" i="4"/>
  <c r="AJ369" i="4"/>
  <c r="AJ351" i="4"/>
  <c r="AJ348" i="4"/>
  <c r="AJ358" i="4"/>
  <c r="AJ359" i="4"/>
  <c r="AJ364" i="4"/>
  <c r="AJ349" i="4"/>
  <c r="AJ365" i="4"/>
  <c r="AJ366" i="4"/>
  <c r="AJ367" i="4"/>
  <c r="AJ360" i="4"/>
  <c r="AJ352" i="4"/>
  <c r="AJ353" i="4"/>
  <c r="AJ354" i="4"/>
  <c r="AJ379" i="4"/>
  <c r="AJ377" i="4"/>
  <c r="AJ373" i="4"/>
  <c r="AJ374" i="4"/>
  <c r="AJ370" i="4"/>
  <c r="AJ371" i="4"/>
  <c r="AJ375" i="4"/>
  <c r="AJ376" i="4"/>
  <c r="AJ372" i="4"/>
  <c r="AJ378" i="4"/>
  <c r="AJ381" i="4"/>
  <c r="AJ385" i="4"/>
  <c r="AJ386" i="4"/>
  <c r="AJ382" i="4"/>
  <c r="AJ384" i="4"/>
  <c r="AJ383" i="4"/>
  <c r="AJ396" i="4"/>
  <c r="AJ388" i="4"/>
  <c r="AJ389" i="4"/>
  <c r="AJ390" i="4"/>
  <c r="AJ397" i="4"/>
  <c r="AJ398" i="4"/>
  <c r="AJ399" i="4"/>
  <c r="AJ400" i="4"/>
  <c r="AJ401" i="4"/>
  <c r="AJ391" i="4"/>
  <c r="AJ392" i="4"/>
  <c r="AJ393" i="4"/>
  <c r="AJ402" i="4"/>
  <c r="AJ403" i="4"/>
  <c r="AJ387" i="4"/>
  <c r="AJ404" i="4"/>
  <c r="AJ405" i="4"/>
  <c r="AJ394" i="4"/>
  <c r="AJ395" i="4"/>
  <c r="AJ406" i="4"/>
  <c r="AJ407" i="4"/>
  <c r="AJ408" i="4"/>
  <c r="AJ409" i="4"/>
  <c r="AJ410" i="4"/>
  <c r="AJ411" i="4"/>
  <c r="AG30" i="4"/>
  <c r="AG61" i="4"/>
  <c r="AG62" i="4"/>
  <c r="AG38" i="4"/>
  <c r="AG39" i="4"/>
  <c r="AG40" i="4"/>
  <c r="AG63" i="4"/>
  <c r="AG203" i="4"/>
  <c r="AG274" i="4"/>
  <c r="AG69" i="4"/>
  <c r="AG159" i="4"/>
  <c r="AG80" i="4"/>
  <c r="AG49" i="4"/>
  <c r="AG50" i="4"/>
  <c r="AG51" i="4"/>
  <c r="AG32" i="4"/>
  <c r="AG33" i="4"/>
  <c r="AG36" i="4"/>
  <c r="AG46" i="4"/>
  <c r="AG70" i="4"/>
  <c r="AG75" i="4"/>
  <c r="AG18" i="4"/>
  <c r="AG42" i="4"/>
  <c r="AG64" i="4"/>
  <c r="AG65" i="4"/>
  <c r="AG128" i="4"/>
  <c r="AG5" i="4"/>
  <c r="AG47" i="4"/>
  <c r="AG85" i="4"/>
  <c r="AG86" i="4"/>
  <c r="AG34" i="4"/>
  <c r="AG35" i="4"/>
  <c r="AG37" i="4"/>
  <c r="AG81" i="4"/>
  <c r="AG110" i="4"/>
  <c r="AG66" i="4"/>
  <c r="AG106" i="4"/>
  <c r="AG107" i="4"/>
  <c r="AG41" i="4"/>
  <c r="AG43" i="4"/>
  <c r="AG78" i="4"/>
  <c r="AG3" i="4"/>
  <c r="AG160" i="4"/>
  <c r="AG22" i="4"/>
  <c r="AG90" i="4"/>
  <c r="AG91" i="4"/>
  <c r="AG93" i="4"/>
  <c r="AG94" i="4"/>
  <c r="AG95" i="4"/>
  <c r="AG96" i="4"/>
  <c r="AG88" i="4"/>
  <c r="AG89" i="4"/>
  <c r="AG92" i="4"/>
  <c r="AG102" i="4"/>
  <c r="AG103" i="4"/>
  <c r="AG104" i="4"/>
  <c r="AG29" i="4"/>
  <c r="AG58" i="4"/>
  <c r="AG31" i="4"/>
  <c r="AG13" i="4"/>
  <c r="AG148" i="4"/>
  <c r="AG60" i="4"/>
  <c r="AG15" i="4"/>
  <c r="AG2" i="4"/>
  <c r="AG19" i="4"/>
  <c r="AG114" i="4"/>
  <c r="AG52" i="4"/>
  <c r="AG53" i="4"/>
  <c r="AG54" i="4"/>
  <c r="AG55" i="4"/>
  <c r="AG56" i="4"/>
  <c r="AG57" i="4"/>
  <c r="AG4" i="4"/>
  <c r="AG6" i="4"/>
  <c r="AG115" i="4"/>
  <c r="AG116" i="4"/>
  <c r="AG117" i="4"/>
  <c r="AG142" i="4"/>
  <c r="AG118" i="4"/>
  <c r="AG149" i="4"/>
  <c r="AG161" i="4"/>
  <c r="AG162" i="4"/>
  <c r="AG164" i="4"/>
  <c r="AG59" i="4"/>
  <c r="AG105" i="4"/>
  <c r="AG120" i="4"/>
  <c r="AG14" i="4"/>
  <c r="AG68" i="4"/>
  <c r="AG83" i="4"/>
  <c r="AG87" i="4"/>
  <c r="AG163" i="4"/>
  <c r="AG293" i="4"/>
  <c r="AG100" i="4"/>
  <c r="AG146" i="4"/>
  <c r="AG119" i="4"/>
  <c r="AG147" i="4"/>
  <c r="AG71" i="4"/>
  <c r="AG76" i="4"/>
  <c r="AG79" i="4"/>
  <c r="AG84" i="4"/>
  <c r="AG123" i="4"/>
  <c r="AG124" i="4"/>
  <c r="AG190" i="4"/>
  <c r="AG277" i="4"/>
  <c r="AG215" i="4"/>
  <c r="AG111" i="4"/>
  <c r="AG134" i="4"/>
  <c r="AG140" i="4"/>
  <c r="AG144" i="4"/>
  <c r="AG145" i="4"/>
  <c r="AG99" i="4"/>
  <c r="AG183" i="4"/>
  <c r="AG101" i="4"/>
  <c r="AG275" i="4"/>
  <c r="AG276" i="4"/>
  <c r="AG153" i="4"/>
  <c r="AG122" i="4"/>
  <c r="AG155" i="4"/>
  <c r="AG213" i="4"/>
  <c r="AG290" i="4"/>
  <c r="AG23" i="4"/>
  <c r="AG130" i="4"/>
  <c r="AG132" i="4"/>
  <c r="AG133" i="4"/>
  <c r="AG166" i="4"/>
  <c r="AG137" i="4"/>
  <c r="AG218" i="4"/>
  <c r="AG186" i="4"/>
  <c r="AG125" i="4"/>
  <c r="AG138" i="4"/>
  <c r="AG139" i="4"/>
  <c r="AG27" i="4"/>
  <c r="AG143" i="4"/>
  <c r="AG184" i="4"/>
  <c r="AG185" i="4"/>
  <c r="AG112" i="4"/>
  <c r="AG135" i="4"/>
  <c r="AG176" i="4"/>
  <c r="AG177" i="4"/>
  <c r="AG199" i="4"/>
  <c r="AG98" i="4"/>
  <c r="AG28" i="4"/>
  <c r="AG8" i="4"/>
  <c r="AG9" i="4"/>
  <c r="AG289" i="4"/>
  <c r="AG129" i="4"/>
  <c r="AG204" i="4"/>
  <c r="AG10" i="4"/>
  <c r="AG253" i="4"/>
  <c r="AG255" i="4"/>
  <c r="AG281" i="4"/>
  <c r="AG256" i="4"/>
  <c r="AG24" i="4"/>
  <c r="AG141" i="4"/>
  <c r="AG197" i="4"/>
  <c r="AG178" i="4"/>
  <c r="AG179" i="4"/>
  <c r="AG180" i="4"/>
  <c r="AG202" i="4"/>
  <c r="AG150" i="4"/>
  <c r="AG152" i="4"/>
  <c r="AG154" i="4"/>
  <c r="AG126" i="4"/>
  <c r="AG157" i="4"/>
  <c r="AG72" i="4"/>
  <c r="AG74" i="4"/>
  <c r="AG20" i="4"/>
  <c r="AG158" i="4"/>
  <c r="AG21" i="4"/>
  <c r="AG44" i="4"/>
  <c r="AG45" i="4"/>
  <c r="AG11" i="4"/>
  <c r="AG193" i="4"/>
  <c r="AG167" i="4"/>
  <c r="AG168" i="4"/>
  <c r="AG169" i="4"/>
  <c r="AG170" i="4"/>
  <c r="AG171" i="4"/>
  <c r="AG195" i="4"/>
  <c r="AG207" i="4"/>
  <c r="AG208" i="4"/>
  <c r="AG136" i="4"/>
  <c r="AG172" i="4"/>
  <c r="AG173" i="4"/>
  <c r="AG174" i="4"/>
  <c r="AG175" i="4"/>
  <c r="AG298" i="4"/>
  <c r="AG216" i="4"/>
  <c r="AG217" i="4"/>
  <c r="AG97" i="4"/>
  <c r="AG200" i="4"/>
  <c r="AG201" i="4"/>
  <c r="AG182" i="4"/>
  <c r="AG209" i="4"/>
  <c r="AG211" i="4"/>
  <c r="AG127" i="4"/>
  <c r="AG191" i="4"/>
  <c r="AG224" i="4"/>
  <c r="AG165" i="4"/>
  <c r="AG205" i="4"/>
  <c r="AG206" i="4"/>
  <c r="AG225" i="4"/>
  <c r="AG226" i="4"/>
  <c r="AG227" i="4"/>
  <c r="AG198" i="4"/>
  <c r="AG12" i="4"/>
  <c r="AG295" i="4"/>
  <c r="AG248" i="4"/>
  <c r="AG223" i="4"/>
  <c r="AG214" i="4"/>
  <c r="AG254" i="4"/>
  <c r="AG259" i="4"/>
  <c r="AG260" i="4"/>
  <c r="AG261" i="4"/>
  <c r="AG181" i="4"/>
  <c r="AG231" i="4"/>
  <c r="AG286" i="4"/>
  <c r="AG288" i="4"/>
  <c r="AG233" i="4"/>
  <c r="AG265" i="4"/>
  <c r="AG238" i="4"/>
  <c r="AG266" i="4"/>
  <c r="AG239" i="4"/>
  <c r="AG240" i="4"/>
  <c r="AG241" i="4"/>
  <c r="AG242" i="4"/>
  <c r="AG243" i="4"/>
  <c r="AG267" i="4"/>
  <c r="AG244" i="4"/>
  <c r="AG268" i="4"/>
  <c r="AG245" i="4"/>
  <c r="AG247" i="4"/>
  <c r="AG269" i="4"/>
  <c r="AG270" i="4"/>
  <c r="AG151" i="4"/>
  <c r="AG108" i="4"/>
  <c r="AG156" i="4"/>
  <c r="AG263" i="4"/>
  <c r="AG264" i="4"/>
  <c r="AG234" i="4"/>
  <c r="AG235" i="4"/>
  <c r="AG219" i="4"/>
  <c r="AG236" i="4"/>
  <c r="AG237" i="4"/>
  <c r="AG187" i="4"/>
  <c r="AG121" i="4"/>
  <c r="AG250" i="4"/>
  <c r="AG192" i="4"/>
  <c r="AG222" i="4"/>
  <c r="AG278" i="4"/>
  <c r="AG77" i="4"/>
  <c r="AG82" i="4"/>
  <c r="AG113" i="4"/>
  <c r="AG26" i="4"/>
  <c r="AG131" i="4"/>
  <c r="AG196" i="4"/>
  <c r="AG283" i="4"/>
  <c r="AG284" i="4"/>
  <c r="AG188" i="4"/>
  <c r="AG271" i="4"/>
  <c r="AG272" i="4"/>
  <c r="AG273" i="4"/>
  <c r="AG210" i="4"/>
  <c r="AG220" i="4"/>
  <c r="AG221" i="4"/>
  <c r="AG291" i="4"/>
  <c r="AG17" i="4"/>
  <c r="AG109" i="4"/>
  <c r="AG287" i="4"/>
  <c r="AG246" i="4"/>
  <c r="AG189" i="4"/>
  <c r="AG296" i="4"/>
  <c r="AG249" i="4"/>
  <c r="AG251" i="4"/>
  <c r="AG73" i="4"/>
  <c r="AG212" i="4"/>
  <c r="AG252" i="4"/>
  <c r="AG194" i="4"/>
  <c r="AG279" i="4"/>
  <c r="AG280" i="4"/>
  <c r="AG7" i="4"/>
  <c r="AG25" i="4"/>
  <c r="AG228" i="4"/>
  <c r="AG292" i="4"/>
  <c r="AG229" i="4"/>
  <c r="AG230" i="4"/>
  <c r="AG257" i="4"/>
  <c r="AG258" i="4"/>
  <c r="AG297" i="4"/>
  <c r="AG48" i="4"/>
  <c r="AG294" i="4"/>
  <c r="AG285" i="4"/>
  <c r="AG304" i="4"/>
  <c r="AG305" i="4"/>
  <c r="AG306" i="4"/>
  <c r="AG307" i="4"/>
  <c r="AG300" i="4"/>
  <c r="AG310" i="4"/>
  <c r="AG311" i="4"/>
  <c r="AG312" i="4"/>
  <c r="AG313" i="4"/>
  <c r="AG301" i="4"/>
  <c r="AG314" i="4"/>
  <c r="AG308" i="4"/>
  <c r="AG299" i="4"/>
  <c r="AG302" i="4"/>
  <c r="AG303" i="4"/>
  <c r="AG343" i="4"/>
  <c r="AG344" i="4"/>
  <c r="AG345" i="4"/>
  <c r="AG335" i="4"/>
  <c r="AG336" i="4"/>
  <c r="AG318" i="4"/>
  <c r="AG315" i="4"/>
  <c r="AG319" i="4"/>
  <c r="AG320" i="4"/>
  <c r="AG321" i="4"/>
  <c r="AG347" i="4"/>
  <c r="AG337" i="4"/>
  <c r="AG316" i="4"/>
  <c r="AG338" i="4"/>
  <c r="AG339" i="4"/>
  <c r="AG340" i="4"/>
  <c r="AG342" i="4"/>
  <c r="AG322" i="4"/>
  <c r="AG317" i="4"/>
  <c r="AG323" i="4"/>
  <c r="AG346" i="4"/>
  <c r="AG326" i="4"/>
  <c r="AG327" i="4"/>
  <c r="AG328" i="4"/>
  <c r="AG329" i="4"/>
  <c r="AG341" i="4"/>
  <c r="AG331" i="4"/>
  <c r="AG332" i="4"/>
  <c r="AG333" i="4"/>
  <c r="AG325" i="4"/>
  <c r="AG334" i="4"/>
  <c r="AG324" i="4"/>
  <c r="AG330" i="4"/>
  <c r="AG350" i="4"/>
  <c r="AG356" i="4"/>
  <c r="AG357" i="4"/>
  <c r="AG355" i="4"/>
  <c r="AG361" i="4"/>
  <c r="AG362" i="4"/>
  <c r="AG368" i="4"/>
  <c r="AG363" i="4"/>
  <c r="AG369" i="4"/>
  <c r="AG351" i="4"/>
  <c r="AG348" i="4"/>
  <c r="AG358" i="4"/>
  <c r="AG359" i="4"/>
  <c r="AG364" i="4"/>
  <c r="AG349" i="4"/>
  <c r="AG365" i="4"/>
  <c r="AG366" i="4"/>
  <c r="AG367" i="4"/>
  <c r="AG360" i="4"/>
  <c r="AG352" i="4"/>
  <c r="AG353" i="4"/>
  <c r="AG354" i="4"/>
  <c r="AG379" i="4"/>
  <c r="AG377" i="4"/>
  <c r="AG373" i="4"/>
  <c r="AG374" i="4"/>
  <c r="AG370" i="4"/>
  <c r="AG371" i="4"/>
  <c r="AG375" i="4"/>
  <c r="AG376" i="4"/>
  <c r="AG372" i="4"/>
  <c r="AG378" i="4"/>
  <c r="AG381" i="4"/>
  <c r="AG16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74" i="2"/>
  <c r="AP73" i="2"/>
  <c r="AP75" i="2"/>
  <c r="AP80" i="2"/>
  <c r="AP77" i="2"/>
  <c r="AP76" i="2"/>
  <c r="AP78" i="2"/>
  <c r="AP79" i="2"/>
  <c r="AP81" i="2"/>
  <c r="AP83" i="2"/>
  <c r="AP82" i="2"/>
  <c r="AP84" i="2"/>
  <c r="AP85" i="2"/>
  <c r="AQ74" i="2"/>
  <c r="AQ73" i="2"/>
  <c r="AQ75" i="2"/>
  <c r="AQ80" i="2"/>
  <c r="AQ77" i="2"/>
  <c r="AQ76" i="2"/>
  <c r="AQ78" i="2"/>
  <c r="AQ79" i="2"/>
  <c r="AQ81" i="2"/>
  <c r="AQ83" i="2"/>
  <c r="AQ82" i="2"/>
  <c r="AQ84" i="2"/>
  <c r="AQ85" i="2"/>
  <c r="AR74" i="2"/>
  <c r="AR73" i="2"/>
  <c r="AR75" i="2"/>
  <c r="AR80" i="2"/>
  <c r="AR77" i="2"/>
  <c r="AR76" i="2"/>
  <c r="AR78" i="2"/>
  <c r="AR79" i="2"/>
  <c r="AR81" i="2"/>
  <c r="AR83" i="2"/>
  <c r="AR82" i="2"/>
  <c r="AR84" i="2"/>
  <c r="AR85" i="2"/>
  <c r="AS74" i="2"/>
  <c r="AS73" i="2"/>
  <c r="AS75" i="2"/>
  <c r="AS80" i="2"/>
  <c r="AS77" i="2"/>
  <c r="AS76" i="2"/>
  <c r="AS78" i="2"/>
  <c r="AS79" i="2"/>
  <c r="AS81" i="2"/>
  <c r="AS83" i="2"/>
  <c r="AS82" i="2"/>
  <c r="AS84" i="2"/>
  <c r="AS85" i="2"/>
  <c r="AT74" i="2"/>
  <c r="AT73" i="2"/>
  <c r="AT75" i="2"/>
  <c r="AT80" i="2"/>
  <c r="AT77" i="2"/>
  <c r="AT76" i="2"/>
  <c r="AT78" i="2"/>
  <c r="AT79" i="2"/>
  <c r="AT81" i="2"/>
  <c r="AT83" i="2"/>
  <c r="AT82" i="2"/>
  <c r="AT84" i="2"/>
  <c r="AT85" i="2"/>
  <c r="AU74" i="2"/>
  <c r="AU73" i="2"/>
  <c r="AU75" i="2"/>
  <c r="AU80" i="2"/>
  <c r="AU77" i="2"/>
  <c r="AU76" i="2"/>
  <c r="AU78" i="2"/>
  <c r="AU79" i="2"/>
  <c r="AU81" i="2"/>
  <c r="AU83" i="2"/>
  <c r="AU82" i="2"/>
  <c r="AU84" i="2"/>
  <c r="AU85" i="2"/>
  <c r="AV74" i="2"/>
  <c r="AV73" i="2"/>
  <c r="AV75" i="2"/>
  <c r="AV80" i="2"/>
  <c r="AV77" i="2"/>
  <c r="AV76" i="2"/>
  <c r="AV78" i="2"/>
  <c r="AV79" i="2"/>
  <c r="AV81" i="2"/>
  <c r="AV83" i="2"/>
  <c r="AV82" i="2"/>
  <c r="AV84" i="2"/>
  <c r="AV85" i="2"/>
  <c r="AW74" i="2"/>
  <c r="AW73" i="2"/>
  <c r="AW75" i="2"/>
  <c r="AW80" i="2"/>
  <c r="AW77" i="2"/>
  <c r="AW76" i="2"/>
  <c r="AW78" i="2"/>
  <c r="AW79" i="2"/>
  <c r="AW81" i="2"/>
  <c r="AW83" i="2"/>
  <c r="AW82" i="2"/>
  <c r="AW84" i="2"/>
  <c r="AW85" i="2"/>
  <c r="AX74" i="2"/>
  <c r="AX73" i="2"/>
  <c r="AX75" i="2"/>
  <c r="AX80" i="2"/>
  <c r="AX77" i="2"/>
  <c r="AX76" i="2"/>
  <c r="AX78" i="2"/>
  <c r="AX79" i="2"/>
  <c r="AX81" i="2"/>
  <c r="AX83" i="2"/>
  <c r="AX82" i="2"/>
  <c r="AX84" i="2"/>
  <c r="AX85" i="2"/>
  <c r="AY74" i="2"/>
  <c r="AY73" i="2"/>
  <c r="AY75" i="2"/>
  <c r="AY80" i="2"/>
  <c r="AY77" i="2"/>
  <c r="AY76" i="2"/>
  <c r="AY78" i="2"/>
  <c r="AY79" i="2"/>
  <c r="AY81" i="2"/>
  <c r="AY83" i="2"/>
  <c r="AY82" i="2"/>
  <c r="AY84" i="2"/>
  <c r="AY85" i="2"/>
  <c r="AZ74" i="2"/>
  <c r="AZ73" i="2"/>
  <c r="AZ75" i="2"/>
  <c r="AZ80" i="2"/>
  <c r="AZ77" i="2"/>
  <c r="AZ76" i="2"/>
  <c r="AZ78" i="2"/>
  <c r="AZ79" i="2"/>
  <c r="AZ81" i="2"/>
  <c r="AZ83" i="2"/>
  <c r="AZ82" i="2"/>
  <c r="AZ84" i="2"/>
  <c r="AZ85" i="2"/>
  <c r="BA74" i="2"/>
  <c r="BA73" i="2"/>
  <c r="BA75" i="2"/>
  <c r="BA80" i="2"/>
  <c r="BA77" i="2"/>
  <c r="BA76" i="2"/>
  <c r="BA78" i="2"/>
  <c r="BA79" i="2"/>
  <c r="BA81" i="2"/>
  <c r="BA83" i="2"/>
  <c r="BA82" i="2"/>
  <c r="BA84" i="2"/>
  <c r="BA85" i="2"/>
  <c r="BB74" i="2"/>
  <c r="BB73" i="2"/>
  <c r="BB75" i="2"/>
  <c r="BB80" i="2"/>
  <c r="BB77" i="2"/>
  <c r="BB76" i="2"/>
  <c r="BB78" i="2"/>
  <c r="BB79" i="2"/>
  <c r="BB81" i="2"/>
  <c r="BB83" i="2"/>
  <c r="BB82" i="2"/>
  <c r="BB84" i="2"/>
  <c r="BB85" i="2"/>
  <c r="BC74" i="2"/>
  <c r="BC73" i="2"/>
  <c r="BC75" i="2"/>
  <c r="BC80" i="2"/>
  <c r="BC77" i="2"/>
  <c r="BC76" i="2"/>
  <c r="BC78" i="2"/>
  <c r="BC79" i="2"/>
  <c r="BC81" i="2"/>
  <c r="BC83" i="2"/>
  <c r="BC82" i="2"/>
  <c r="BC84" i="2"/>
  <c r="BC85" i="2"/>
  <c r="BD74" i="2"/>
  <c r="BD73" i="2"/>
  <c r="BD75" i="2"/>
  <c r="BD80" i="2"/>
  <c r="BD77" i="2"/>
  <c r="BD76" i="2"/>
  <c r="BD78" i="2"/>
  <c r="BD79" i="2"/>
  <c r="BD81" i="2"/>
  <c r="BD83" i="2"/>
  <c r="BD82" i="2"/>
  <c r="BD84" i="2"/>
  <c r="BD85" i="2"/>
  <c r="BE80" i="2"/>
  <c r="BE77" i="2"/>
  <c r="BE76" i="2"/>
  <c r="BE78" i="2"/>
  <c r="BE79" i="2"/>
  <c r="BE81" i="2"/>
  <c r="BE83" i="2"/>
  <c r="BE82" i="2"/>
  <c r="BE84" i="2"/>
  <c r="BF80" i="2"/>
  <c r="BF77" i="2"/>
  <c r="BF76" i="2"/>
  <c r="BF78" i="2"/>
  <c r="BF79" i="2"/>
  <c r="BF81" i="2"/>
  <c r="BF83" i="2"/>
  <c r="BF82" i="2"/>
  <c r="BF84" i="2"/>
  <c r="U30" i="2"/>
  <c r="U41" i="2"/>
  <c r="BG80" i="2"/>
  <c r="U37" i="2"/>
  <c r="U5" i="2"/>
  <c r="U22" i="2"/>
  <c r="U25" i="2"/>
  <c r="U38" i="2"/>
  <c r="U43" i="2"/>
  <c r="BG77" i="2"/>
  <c r="BG76" i="2"/>
  <c r="BG78" i="2"/>
  <c r="BG79" i="2"/>
  <c r="BG81" i="2"/>
  <c r="BG83" i="2"/>
  <c r="BG82" i="2"/>
  <c r="BG84" i="2"/>
  <c r="V41" i="2"/>
  <c r="BH80" i="2"/>
  <c r="V37" i="2"/>
  <c r="V22" i="2"/>
  <c r="V25" i="2"/>
  <c r="V38" i="2"/>
  <c r="V43" i="2"/>
  <c r="BH77" i="2"/>
  <c r="BH76" i="2"/>
  <c r="BH78" i="2"/>
  <c r="BH79" i="2"/>
  <c r="BH81" i="2"/>
  <c r="BH83" i="2"/>
  <c r="BH82" i="2"/>
  <c r="BH84" i="2"/>
  <c r="W41" i="2"/>
  <c r="BI80" i="2"/>
  <c r="W37" i="2"/>
  <c r="W5" i="2"/>
  <c r="W38" i="2"/>
  <c r="BI77" i="2"/>
  <c r="BI76" i="2"/>
  <c r="BI78" i="2"/>
  <c r="BI79" i="2"/>
  <c r="BI81" i="2"/>
  <c r="BI83" i="2"/>
  <c r="BI82" i="2"/>
  <c r="BI84" i="2"/>
  <c r="BJ80" i="2"/>
  <c r="BJ77" i="2"/>
  <c r="BJ76" i="2"/>
  <c r="BJ78" i="2"/>
  <c r="BJ79" i="2"/>
  <c r="BJ81" i="2"/>
  <c r="BJ83" i="2"/>
  <c r="BJ82" i="2"/>
  <c r="BJ84" i="2"/>
  <c r="BK80" i="2"/>
  <c r="BK77" i="2"/>
  <c r="BK76" i="2"/>
  <c r="BK78" i="2"/>
  <c r="BK79" i="2"/>
  <c r="BK81" i="2"/>
  <c r="BK83" i="2"/>
  <c r="BK82" i="2"/>
  <c r="BK84" i="2"/>
  <c r="BL80" i="2"/>
  <c r="BL77" i="2"/>
  <c r="BL76" i="2"/>
  <c r="BL78" i="2"/>
  <c r="BL79" i="2"/>
  <c r="BL81" i="2"/>
  <c r="BL83" i="2"/>
  <c r="BL82" i="2"/>
  <c r="BL84" i="2"/>
  <c r="AO74" i="2"/>
  <c r="AO73" i="2"/>
  <c r="AO75" i="2"/>
  <c r="AO80" i="2"/>
  <c r="AO77" i="2"/>
  <c r="AO76" i="2"/>
  <c r="AO78" i="2"/>
  <c r="AO79" i="2"/>
  <c r="AO81" i="2"/>
  <c r="AO83" i="2"/>
  <c r="AO82" i="2"/>
  <c r="AO84" i="2"/>
  <c r="AO85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9" i="5"/>
  <c r="B300" i="5"/>
  <c r="B301" i="5"/>
  <c r="B302" i="5"/>
  <c r="B304" i="5"/>
  <c r="B305" i="5"/>
  <c r="B306" i="5"/>
  <c r="B307" i="5"/>
  <c r="B308" i="5"/>
  <c r="B309" i="5"/>
  <c r="B310" i="5"/>
  <c r="B311" i="5"/>
  <c r="B312" i="5"/>
  <c r="B313" i="5"/>
  <c r="B314" i="5"/>
  <c r="B331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2" i="5"/>
  <c r="B333" i="5"/>
  <c r="B334" i="5"/>
  <c r="B335" i="5"/>
  <c r="B337" i="5"/>
  <c r="B338" i="5"/>
  <c r="B339" i="5"/>
  <c r="B340" i="5"/>
  <c r="B341" i="5"/>
  <c r="B342" i="5"/>
  <c r="B343" i="5"/>
  <c r="B344" i="5"/>
  <c r="B345" i="5"/>
  <c r="B346" i="5"/>
  <c r="B33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4" i="5"/>
  <c r="B370" i="5"/>
  <c r="B371" i="5"/>
  <c r="B372" i="5"/>
  <c r="B373" i="5"/>
  <c r="B375" i="5"/>
  <c r="B376" i="5"/>
  <c r="B377" i="5"/>
  <c r="B378" i="5"/>
  <c r="B379" i="5"/>
  <c r="B380" i="5"/>
  <c r="B382" i="5"/>
  <c r="B383" i="5"/>
  <c r="B386" i="5"/>
  <c r="B384" i="5"/>
  <c r="B385" i="5"/>
  <c r="B390" i="5"/>
  <c r="B405" i="5"/>
  <c r="B408" i="5"/>
  <c r="B387" i="5"/>
  <c r="B391" i="5"/>
  <c r="B392" i="5"/>
  <c r="B393" i="5"/>
  <c r="B394" i="5"/>
  <c r="B400" i="5"/>
  <c r="B401" i="5"/>
  <c r="B402" i="5"/>
  <c r="B403" i="5"/>
  <c r="B407" i="5"/>
  <c r="B388" i="5"/>
  <c r="B389" i="5"/>
  <c r="B398" i="5"/>
  <c r="B399" i="5"/>
  <c r="B406" i="5"/>
  <c r="B409" i="5"/>
  <c r="B410" i="5"/>
  <c r="B411" i="5"/>
  <c r="B395" i="5"/>
  <c r="B404" i="5"/>
  <c r="B397" i="5"/>
  <c r="B396" i="5"/>
  <c r="B34" i="5"/>
  <c r="AA103" i="4"/>
  <c r="AA104" i="4"/>
  <c r="AA30" i="4"/>
  <c r="AA29" i="4"/>
  <c r="AA58" i="4"/>
  <c r="AA146" i="4"/>
  <c r="AA31" i="4"/>
  <c r="AA119" i="4"/>
  <c r="AA147" i="4"/>
  <c r="AA13" i="4"/>
  <c r="AA148" i="4"/>
  <c r="AA59" i="4"/>
  <c r="AA105" i="4"/>
  <c r="AA120" i="4"/>
  <c r="AA14" i="4"/>
  <c r="AA288" i="4"/>
  <c r="AA233" i="4"/>
  <c r="AA264" i="4"/>
  <c r="AA265" i="4"/>
  <c r="AA32" i="4"/>
  <c r="AA33" i="4"/>
  <c r="AA34" i="4"/>
  <c r="AA35" i="4"/>
  <c r="AA36" i="4"/>
  <c r="AA37" i="4"/>
  <c r="AA149" i="4"/>
  <c r="AA60" i="4"/>
  <c r="AA61" i="4"/>
  <c r="AA62" i="4"/>
  <c r="AA15" i="4"/>
  <c r="AA106" i="4"/>
  <c r="AA107" i="4"/>
  <c r="AA38" i="4"/>
  <c r="AA39" i="4"/>
  <c r="AA40" i="4"/>
  <c r="AA63" i="4"/>
  <c r="AA234" i="4"/>
  <c r="AA235" i="4"/>
  <c r="AA219" i="4"/>
  <c r="AA236" i="4"/>
  <c r="AA237" i="4"/>
  <c r="AA202" i="4"/>
  <c r="AA186" i="4"/>
  <c r="AA187" i="4"/>
  <c r="AA188" i="4"/>
  <c r="AA150" i="4"/>
  <c r="AA238" i="4"/>
  <c r="AA266" i="4"/>
  <c r="AA239" i="4"/>
  <c r="AA240" i="4"/>
  <c r="AA241" i="4"/>
  <c r="AA242" i="4"/>
  <c r="AA243" i="4"/>
  <c r="AA267" i="4"/>
  <c r="AA244" i="4"/>
  <c r="AA268" i="4"/>
  <c r="AA245" i="4"/>
  <c r="AA246" i="4"/>
  <c r="AA189" i="4"/>
  <c r="AA121" i="4"/>
  <c r="AA64" i="4"/>
  <c r="AA65" i="4"/>
  <c r="AA247" i="4"/>
  <c r="AA269" i="4"/>
  <c r="AA270" i="4"/>
  <c r="AA271" i="4"/>
  <c r="AA272" i="4"/>
  <c r="AA273" i="4"/>
  <c r="AA151" i="4"/>
  <c r="AA203" i="4"/>
  <c r="AA41" i="4"/>
  <c r="AA66" i="4"/>
  <c r="AA274" i="4"/>
  <c r="AA275" i="4"/>
  <c r="AA276" i="4"/>
  <c r="AA152" i="4"/>
  <c r="AA16" i="4"/>
  <c r="AA8" i="4"/>
  <c r="AA9" i="4"/>
  <c r="AA153" i="4"/>
  <c r="AA210" i="4"/>
  <c r="AA220" i="4"/>
  <c r="AA221" i="4"/>
  <c r="AA68" i="4"/>
  <c r="AA122" i="4"/>
  <c r="AA123" i="4"/>
  <c r="AA124" i="4"/>
  <c r="AA154" i="4"/>
  <c r="AA211" i="4"/>
  <c r="AA125" i="4"/>
  <c r="AA108" i="4"/>
  <c r="AA69" i="4"/>
  <c r="AA296" i="4"/>
  <c r="AA126" i="4"/>
  <c r="AA155" i="4"/>
  <c r="AA190" i="4"/>
  <c r="AA156" i="4"/>
  <c r="AA277" i="4"/>
  <c r="AA2" i="4"/>
  <c r="AA17" i="4"/>
  <c r="AA157" i="4"/>
  <c r="AA127" i="4"/>
  <c r="AA191" i="4"/>
  <c r="AA18" i="4"/>
  <c r="AA70" i="4"/>
  <c r="AA19" i="4"/>
  <c r="AA42" i="4"/>
  <c r="AA248" i="4"/>
  <c r="AA71" i="4"/>
  <c r="AA249" i="4"/>
  <c r="AA72" i="4"/>
  <c r="AA250" i="4"/>
  <c r="AA289" i="4"/>
  <c r="AA128" i="4"/>
  <c r="AA295" i="4"/>
  <c r="AA192" i="4"/>
  <c r="AA4" i="4"/>
  <c r="AA222" i="4"/>
  <c r="AA251" i="4"/>
  <c r="AA73" i="4"/>
  <c r="AA74" i="4"/>
  <c r="AA129" i="4"/>
  <c r="AA20" i="4"/>
  <c r="AA75" i="4"/>
  <c r="AA278" i="4"/>
  <c r="AA43" i="4"/>
  <c r="AA76" i="4"/>
  <c r="AA5" i="4"/>
  <c r="AA212" i="4"/>
  <c r="AA213" i="4"/>
  <c r="AA77" i="4"/>
  <c r="AA223" i="4"/>
  <c r="AA204" i="4"/>
  <c r="AA158" i="4"/>
  <c r="AA224" i="4"/>
  <c r="AA252" i="4"/>
  <c r="AA10" i="4"/>
  <c r="AA159" i="4"/>
  <c r="AA21" i="4"/>
  <c r="AA253" i="4"/>
  <c r="AA6" i="4"/>
  <c r="AA78" i="4"/>
  <c r="AA3" i="4"/>
  <c r="AA160" i="4"/>
  <c r="AA109" i="4"/>
  <c r="AA44" i="4"/>
  <c r="AA214" i="4"/>
  <c r="AA45" i="4"/>
  <c r="AA11" i="4"/>
  <c r="AA79" i="4"/>
  <c r="AA254" i="4"/>
  <c r="AA22" i="4"/>
  <c r="AA193" i="4"/>
  <c r="AA194" i="4"/>
  <c r="AA279" i="4"/>
  <c r="AA280" i="4"/>
  <c r="AA46" i="4"/>
  <c r="AA80" i="4"/>
  <c r="AA81" i="4"/>
  <c r="AA110" i="4"/>
  <c r="AA215" i="4"/>
  <c r="AA82" i="4"/>
  <c r="AA83" i="4"/>
  <c r="AA84" i="4"/>
  <c r="AA47" i="4"/>
  <c r="AA85" i="4"/>
  <c r="AA86" i="4"/>
  <c r="AA255" i="4"/>
  <c r="AA281" i="4"/>
  <c r="AA256" i="4"/>
  <c r="AA87" i="4"/>
  <c r="AA290" i="4"/>
  <c r="AA291" i="4"/>
  <c r="AA23" i="4"/>
  <c r="AA7" i="4"/>
  <c r="AA161" i="4"/>
  <c r="AA162" i="4"/>
  <c r="AA163" i="4"/>
  <c r="AA111" i="4"/>
  <c r="AA112" i="4"/>
  <c r="AA113" i="4"/>
  <c r="AA24" i="4"/>
  <c r="AA25" i="4"/>
  <c r="AA26" i="4"/>
  <c r="AA130" i="4"/>
  <c r="AA131" i="4"/>
  <c r="AA132" i="4"/>
  <c r="AA133" i="4"/>
  <c r="AA164" i="4"/>
  <c r="AA165" i="4"/>
  <c r="AA166" i="4"/>
  <c r="AA167" i="4"/>
  <c r="AA168" i="4"/>
  <c r="AA169" i="4"/>
  <c r="AA170" i="4"/>
  <c r="AA171" i="4"/>
  <c r="AA195" i="4"/>
  <c r="AA205" i="4"/>
  <c r="AA206" i="4"/>
  <c r="AA134" i="4"/>
  <c r="AA135" i="4"/>
  <c r="AA207" i="4"/>
  <c r="AA208" i="4"/>
  <c r="AA136" i="4"/>
  <c r="AA172" i="4"/>
  <c r="AA173" i="4"/>
  <c r="AA174" i="4"/>
  <c r="AA175" i="4"/>
  <c r="AA298" i="4"/>
  <c r="AA225" i="4"/>
  <c r="AA226" i="4"/>
  <c r="AA227" i="4"/>
  <c r="AA196" i="4"/>
  <c r="AA88" i="4"/>
  <c r="AA89" i="4"/>
  <c r="AA90" i="4"/>
  <c r="AA176" i="4"/>
  <c r="AA177" i="4"/>
  <c r="AA137" i="4"/>
  <c r="AA138" i="4"/>
  <c r="AA139" i="4"/>
  <c r="AA140" i="4"/>
  <c r="AA91" i="4"/>
  <c r="AA92" i="4"/>
  <c r="AA93" i="4"/>
  <c r="AA94" i="4"/>
  <c r="AA95" i="4"/>
  <c r="AA96" i="4"/>
  <c r="AA216" i="4"/>
  <c r="AA217" i="4"/>
  <c r="AA218" i="4"/>
  <c r="AA228" i="4"/>
  <c r="AA97" i="4"/>
  <c r="AA292" i="4"/>
  <c r="AA229" i="4"/>
  <c r="AA230" i="4"/>
  <c r="AA257" i="4"/>
  <c r="AA141" i="4"/>
  <c r="AA261" i="4"/>
  <c r="AA197" i="4"/>
  <c r="AA178" i="4"/>
  <c r="AA179" i="4"/>
  <c r="AA180" i="4"/>
  <c r="AA198" i="4"/>
  <c r="AA199" i="4"/>
  <c r="AA98" i="4"/>
  <c r="AA12" i="4"/>
  <c r="AA258" i="4"/>
  <c r="AA293" i="4"/>
  <c r="AA181" i="4"/>
  <c r="AA114" i="4"/>
  <c r="AA48" i="4"/>
  <c r="AA200" i="4"/>
  <c r="AA201" i="4"/>
  <c r="AA182" i="4"/>
  <c r="AA49" i="4"/>
  <c r="AA231" i="4"/>
  <c r="AA209" i="4"/>
  <c r="AA283" i="4"/>
  <c r="AA284" i="4"/>
  <c r="AA297" i="4"/>
  <c r="AA50" i="4"/>
  <c r="AA115" i="4"/>
  <c r="AA116" i="4"/>
  <c r="AA117" i="4"/>
  <c r="AA142" i="4"/>
  <c r="AA118" i="4"/>
  <c r="AA27" i="4"/>
  <c r="AA143" i="4"/>
  <c r="AA144" i="4"/>
  <c r="AA28" i="4"/>
  <c r="AA259" i="4"/>
  <c r="AA260" i="4"/>
  <c r="AA145" i="4"/>
  <c r="AA285" i="4"/>
  <c r="AA286" i="4"/>
  <c r="AA51" i="4"/>
  <c r="AA294" i="4"/>
  <c r="AA52" i="4"/>
  <c r="AA53" i="4"/>
  <c r="AA54" i="4"/>
  <c r="AA55" i="4"/>
  <c r="AA56" i="4"/>
  <c r="AA57" i="4"/>
  <c r="AA99" i="4"/>
  <c r="AA100" i="4"/>
  <c r="AA183" i="4"/>
  <c r="AA287" i="4"/>
  <c r="AA184" i="4"/>
  <c r="AA185" i="4"/>
  <c r="AA101" i="4"/>
  <c r="AA263" i="4"/>
  <c r="AA304" i="4"/>
  <c r="AA305" i="4"/>
  <c r="AA306" i="4"/>
  <c r="AA307" i="4"/>
  <c r="AA300" i="4"/>
  <c r="AA310" i="4"/>
  <c r="AA311" i="4"/>
  <c r="AA312" i="4"/>
  <c r="AA313" i="4"/>
  <c r="AA301" i="4"/>
  <c r="AA314" i="4"/>
  <c r="AA308" i="4"/>
  <c r="AA299" i="4"/>
  <c r="AA302" i="4"/>
  <c r="AA303" i="4"/>
  <c r="AA343" i="4"/>
  <c r="AA344" i="4"/>
  <c r="AA345" i="4"/>
  <c r="AA335" i="4"/>
  <c r="AA336" i="4"/>
  <c r="AA318" i="4"/>
  <c r="AA315" i="4"/>
  <c r="AA319" i="4"/>
  <c r="AA320" i="4"/>
  <c r="AA321" i="4"/>
  <c r="AA347" i="4"/>
  <c r="AA337" i="4"/>
  <c r="AA316" i="4"/>
  <c r="AA338" i="4"/>
  <c r="AA339" i="4"/>
  <c r="AA340" i="4"/>
  <c r="AA342" i="4"/>
  <c r="AA322" i="4"/>
  <c r="AA317" i="4"/>
  <c r="AA323" i="4"/>
  <c r="AA324" i="4"/>
  <c r="AA346" i="4"/>
  <c r="AA326" i="4"/>
  <c r="AA327" i="4"/>
  <c r="AA328" i="4"/>
  <c r="AA329" i="4"/>
  <c r="AA341" i="4"/>
  <c r="AA330" i="4"/>
  <c r="AA331" i="4"/>
  <c r="AA332" i="4"/>
  <c r="AA333" i="4"/>
  <c r="AA325" i="4"/>
  <c r="AA334" i="4"/>
  <c r="AA350" i="4"/>
  <c r="AA356" i="4"/>
  <c r="AA360" i="4"/>
  <c r="AA357" i="4"/>
  <c r="AA355" i="4"/>
  <c r="AA361" i="4"/>
  <c r="AA362" i="4"/>
  <c r="AA368" i="4"/>
  <c r="AA363" i="4"/>
  <c r="AA369" i="4"/>
  <c r="AA351" i="4"/>
  <c r="AA348" i="4"/>
  <c r="AA358" i="4"/>
  <c r="AA359" i="4"/>
  <c r="AA364" i="4"/>
  <c r="AA349" i="4"/>
  <c r="AA365" i="4"/>
  <c r="AA366" i="4"/>
  <c r="AA352" i="4"/>
  <c r="AA353" i="4"/>
  <c r="AA367" i="4"/>
  <c r="AA354" i="4"/>
  <c r="AA379" i="4"/>
  <c r="AA377" i="4"/>
  <c r="AA373" i="4"/>
  <c r="AA374" i="4"/>
  <c r="AA370" i="4"/>
  <c r="AA371" i="4"/>
  <c r="AA375" i="4"/>
  <c r="AA376" i="4"/>
  <c r="AA372" i="4"/>
  <c r="AA378" i="4"/>
  <c r="AA381" i="4"/>
  <c r="AA382" i="4"/>
  <c r="AA384" i="4"/>
  <c r="AA386" i="4"/>
  <c r="AA385" i="4"/>
  <c r="AA383" i="4"/>
  <c r="AA396" i="4"/>
  <c r="AA388" i="4"/>
  <c r="AA389" i="4"/>
  <c r="AA390" i="4"/>
  <c r="AA397" i="4"/>
  <c r="AA398" i="4"/>
  <c r="AA399" i="4"/>
  <c r="AA400" i="4"/>
  <c r="AA401" i="4"/>
  <c r="AA391" i="4"/>
  <c r="AA392" i="4"/>
  <c r="AA393" i="4"/>
  <c r="AA402" i="4"/>
  <c r="AA403" i="4"/>
  <c r="AA387" i="4"/>
  <c r="AA404" i="4"/>
  <c r="AA405" i="4"/>
  <c r="AA394" i="4"/>
  <c r="AA395" i="4"/>
  <c r="AA406" i="4"/>
  <c r="AA407" i="4"/>
  <c r="AA408" i="4"/>
  <c r="AA409" i="4"/>
  <c r="AA410" i="4"/>
  <c r="AA411" i="4"/>
  <c r="AA102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17" i="3"/>
  <c r="B18" i="3"/>
  <c r="B19" i="3"/>
  <c r="B20" i="3"/>
  <c r="B21" i="3"/>
  <c r="B22" i="3"/>
  <c r="B23" i="3"/>
  <c r="B25" i="3"/>
  <c r="B26" i="3"/>
  <c r="B27" i="3"/>
  <c r="B38" i="3"/>
  <c r="B28" i="3"/>
  <c r="B29" i="3"/>
  <c r="B39" i="3"/>
  <c r="B40" i="3"/>
  <c r="B41" i="3"/>
  <c r="B30" i="3"/>
  <c r="B31" i="3"/>
  <c r="B32" i="3"/>
  <c r="B33" i="3"/>
  <c r="B34" i="3"/>
  <c r="B35" i="3"/>
  <c r="B36" i="3"/>
  <c r="B37" i="3"/>
  <c r="C6" i="3"/>
  <c r="C10" i="3"/>
  <c r="C11" i="3"/>
  <c r="C12" i="3"/>
  <c r="C13" i="3"/>
  <c r="C15" i="3"/>
  <c r="C16" i="3"/>
  <c r="C17" i="3"/>
  <c r="C18" i="3"/>
  <c r="C19" i="3"/>
  <c r="C20" i="3"/>
  <c r="C21" i="3"/>
  <c r="C22" i="3"/>
  <c r="C23" i="3"/>
  <c r="C25" i="3"/>
  <c r="C26" i="3"/>
  <c r="C27" i="3"/>
  <c r="C38" i="3"/>
  <c r="C28" i="3"/>
  <c r="C29" i="3"/>
  <c r="C39" i="3"/>
  <c r="C40" i="3"/>
  <c r="C41" i="3"/>
  <c r="C30" i="3"/>
  <c r="C31" i="3"/>
  <c r="C32" i="3"/>
  <c r="C33" i="3"/>
  <c r="C34" i="3"/>
  <c r="C35" i="3"/>
  <c r="C36" i="3"/>
  <c r="C37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0" i="5"/>
  <c r="AM321" i="5"/>
  <c r="AM331" i="5"/>
  <c r="AM333" i="5"/>
  <c r="AM335" i="5"/>
  <c r="AM341" i="5"/>
  <c r="AM79" i="5"/>
  <c r="AM344" i="5"/>
  <c r="AM345" i="5"/>
  <c r="AM346" i="5"/>
  <c r="AM88" i="5"/>
  <c r="AM89" i="5"/>
  <c r="AM10" i="5"/>
  <c r="AM11" i="5"/>
  <c r="AM96" i="5"/>
  <c r="AM97" i="5"/>
  <c r="AM98" i="5"/>
  <c r="AM103" i="5"/>
  <c r="AM109" i="5"/>
  <c r="AM374" i="5"/>
  <c r="AM382" i="5"/>
  <c r="AM112" i="5"/>
  <c r="AM2" i="5"/>
  <c r="AM383" i="5"/>
  <c r="AM12" i="5"/>
  <c r="AM117" i="5"/>
  <c r="AM13" i="5"/>
  <c r="AM269" i="5"/>
  <c r="AM14" i="5"/>
  <c r="AM351" i="5"/>
  <c r="AM352" i="5"/>
  <c r="AM272" i="5"/>
  <c r="AM15" i="5"/>
  <c r="AM274" i="5"/>
  <c r="AM354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9" i="5"/>
  <c r="AM390" i="5"/>
  <c r="AM391" i="5"/>
  <c r="AM392" i="5"/>
  <c r="AM393" i="5"/>
  <c r="AM394" i="5"/>
  <c r="AM395" i="5"/>
  <c r="AM397" i="5"/>
  <c r="AM398" i="5"/>
  <c r="AM399" i="5"/>
  <c r="AM400" i="5"/>
  <c r="AM401" i="5"/>
  <c r="AM402" i="5"/>
  <c r="AM403" i="5"/>
  <c r="AM404" i="5"/>
  <c r="AM240" i="5"/>
  <c r="AM406" i="5"/>
  <c r="AM407" i="5"/>
  <c r="AM409" i="5"/>
  <c r="AM410" i="5"/>
  <c r="AM411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5" i="5"/>
  <c r="AM316" i="5"/>
  <c r="AM317" i="5"/>
  <c r="AM318" i="5"/>
  <c r="AM319" i="5"/>
  <c r="AM322" i="5"/>
  <c r="AM323" i="5"/>
  <c r="AM324" i="5"/>
  <c r="AM325" i="5"/>
  <c r="AM326" i="5"/>
  <c r="AM327" i="5"/>
  <c r="AM328" i="5"/>
  <c r="AM329" i="5"/>
  <c r="AM330" i="5"/>
  <c r="AM332" i="5"/>
  <c r="AM334" i="5"/>
  <c r="AM337" i="5"/>
  <c r="AM338" i="5"/>
  <c r="AM339" i="5"/>
  <c r="AM340" i="5"/>
  <c r="AM72" i="5"/>
  <c r="AM9" i="5"/>
  <c r="AM73" i="5"/>
  <c r="AM342" i="5"/>
  <c r="AM74" i="5"/>
  <c r="AM75" i="5"/>
  <c r="AM76" i="5"/>
  <c r="AM77" i="5"/>
  <c r="AM78" i="5"/>
  <c r="AM299" i="5"/>
  <c r="AM300" i="5"/>
  <c r="AM348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3" i="5"/>
  <c r="AM87" i="5"/>
  <c r="AM90" i="5"/>
  <c r="AM91" i="5"/>
  <c r="AM301" i="5"/>
  <c r="AM302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70" i="5"/>
  <c r="AM371" i="5"/>
  <c r="AM372" i="5"/>
  <c r="AM373" i="5"/>
  <c r="AM375" i="5"/>
  <c r="AM376" i="5"/>
  <c r="AM377" i="5"/>
  <c r="AM378" i="5"/>
  <c r="AM379" i="5"/>
  <c r="AM349" i="5"/>
  <c r="AM350" i="5"/>
  <c r="AM110" i="5"/>
  <c r="AM111" i="5"/>
  <c r="AM113" i="5"/>
  <c r="AM304" i="5"/>
  <c r="AM114" i="5"/>
  <c r="AM305" i="5"/>
  <c r="AM306" i="5"/>
  <c r="AM307" i="5"/>
  <c r="AM308" i="5"/>
  <c r="AM115" i="5"/>
  <c r="AM116" i="5"/>
  <c r="AM336" i="5"/>
  <c r="AM267" i="5"/>
  <c r="AM268" i="5"/>
  <c r="AM384" i="5"/>
  <c r="AM270" i="5"/>
  <c r="AM271" i="5"/>
  <c r="AM119" i="5"/>
  <c r="AM120" i="5"/>
  <c r="AM385" i="5"/>
  <c r="AM121" i="5"/>
  <c r="AM122" i="5"/>
  <c r="AM123" i="5"/>
  <c r="AM124" i="5"/>
  <c r="AM273" i="5"/>
  <c r="AM353" i="5"/>
  <c r="AM125" i="5"/>
  <c r="AM126" i="5"/>
  <c r="AM355" i="5"/>
  <c r="AM356" i="5"/>
  <c r="AM357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7" i="5"/>
  <c r="AM358" i="5"/>
  <c r="AM359" i="5"/>
  <c r="AM360" i="5"/>
  <c r="AM361" i="5"/>
  <c r="AM362" i="5"/>
  <c r="AM363" i="5"/>
  <c r="AM364" i="5"/>
  <c r="AM365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9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10" i="5"/>
  <c r="AM311" i="5"/>
  <c r="AM231" i="5"/>
  <c r="AM366" i="5"/>
  <c r="AM296" i="5"/>
  <c r="AM232" i="5"/>
  <c r="AM29" i="5"/>
  <c r="AM30" i="5"/>
  <c r="AM31" i="5"/>
  <c r="AM32" i="5"/>
  <c r="AM33" i="5"/>
  <c r="AM233" i="5"/>
  <c r="AM34" i="5"/>
  <c r="AM312" i="5"/>
  <c r="AM380" i="5"/>
  <c r="AM234" i="5"/>
  <c r="AM235" i="5"/>
  <c r="AM236" i="5"/>
  <c r="AM237" i="5"/>
  <c r="AM238" i="5"/>
  <c r="AM239" i="5"/>
  <c r="AM387" i="5"/>
  <c r="AM388" i="5"/>
  <c r="AM396" i="5"/>
  <c r="AM405" i="5"/>
  <c r="AM408" i="5"/>
  <c r="AM241" i="5"/>
  <c r="AM242" i="5"/>
  <c r="AM243" i="5"/>
  <c r="AM244" i="5"/>
  <c r="AM245" i="5"/>
  <c r="AM246" i="5"/>
  <c r="AM247" i="5"/>
  <c r="AM386" i="5"/>
  <c r="AM248" i="5"/>
  <c r="AM367" i="5"/>
  <c r="AM368" i="5"/>
  <c r="AM369" i="5"/>
  <c r="AM35" i="5"/>
  <c r="AM313" i="5"/>
  <c r="AM314" i="5"/>
  <c r="AM251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3" i="5"/>
  <c r="AP403" i="5"/>
  <c r="AQ402" i="5"/>
  <c r="AP402" i="5"/>
  <c r="AQ387" i="5"/>
  <c r="AP387" i="5"/>
  <c r="AQ388" i="5"/>
  <c r="AP388" i="5"/>
  <c r="AQ380" i="5"/>
  <c r="AQ379" i="5"/>
  <c r="AQ378" i="5"/>
  <c r="AQ377" i="5"/>
  <c r="AQ376" i="5"/>
  <c r="AQ375" i="5"/>
  <c r="AQ373" i="5"/>
  <c r="AQ372" i="5"/>
  <c r="AQ371" i="5"/>
  <c r="AQ370" i="5"/>
  <c r="AQ365" i="5"/>
  <c r="AQ364" i="5"/>
  <c r="AQ363" i="5"/>
  <c r="AQ362" i="5"/>
  <c r="AQ361" i="5"/>
  <c r="AQ360" i="5"/>
  <c r="AQ359" i="5"/>
  <c r="AQ350" i="5"/>
  <c r="AQ348" i="5"/>
  <c r="AQ369" i="5"/>
  <c r="AQ368" i="5"/>
  <c r="AQ367" i="5"/>
  <c r="AQ366" i="5"/>
  <c r="AQ358" i="5"/>
  <c r="AQ357" i="5"/>
  <c r="AQ356" i="5"/>
  <c r="AQ355" i="5"/>
  <c r="AQ354" i="5"/>
  <c r="AQ353" i="5"/>
  <c r="AQ352" i="5"/>
  <c r="AQ351" i="5"/>
  <c r="AQ349" i="5"/>
  <c r="AQ347" i="5"/>
  <c r="AQ336" i="5"/>
  <c r="AQ346" i="5"/>
  <c r="AQ345" i="5"/>
  <c r="AQ344" i="5"/>
  <c r="AQ343" i="5"/>
  <c r="AQ342" i="5"/>
  <c r="AQ341" i="5"/>
  <c r="AQ340" i="5"/>
  <c r="AQ339" i="5"/>
  <c r="AQ338" i="5"/>
  <c r="AQ337" i="5"/>
  <c r="AQ335" i="5"/>
  <c r="AQ334" i="5"/>
  <c r="AQ333" i="5"/>
  <c r="AQ332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2" i="5"/>
  <c r="AQ301" i="5"/>
  <c r="AQ300" i="5"/>
  <c r="AQ299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1" i="5"/>
  <c r="AP391" i="5"/>
  <c r="AQ411" i="5"/>
  <c r="AP411" i="5"/>
  <c r="AQ406" i="5"/>
  <c r="AP406" i="5"/>
  <c r="AQ405" i="5"/>
  <c r="AP405" i="5"/>
  <c r="AQ404" i="5"/>
  <c r="AP404" i="5"/>
  <c r="AQ401" i="5"/>
  <c r="AP401" i="5"/>
  <c r="AQ400" i="5"/>
  <c r="AP400" i="5"/>
  <c r="AQ398" i="5"/>
  <c r="AP398" i="5"/>
  <c r="AQ397" i="5"/>
  <c r="AP397" i="5"/>
  <c r="AQ396" i="5"/>
  <c r="AP396" i="5"/>
  <c r="AQ394" i="5"/>
  <c r="AP394" i="5"/>
  <c r="AQ393" i="5"/>
  <c r="AP393" i="5"/>
  <c r="AQ390" i="5"/>
  <c r="AP390" i="5"/>
  <c r="AQ395" i="5"/>
  <c r="AP395" i="5"/>
  <c r="AQ389" i="5"/>
  <c r="AP389" i="5"/>
  <c r="AQ410" i="5"/>
  <c r="AP410" i="5"/>
  <c r="AQ409" i="5"/>
  <c r="AP409" i="5"/>
  <c r="AQ408" i="5"/>
  <c r="AP408" i="5"/>
  <c r="AQ407" i="5"/>
  <c r="AP407" i="5"/>
  <c r="AQ399" i="5"/>
  <c r="AP399" i="5"/>
  <c r="AQ392" i="5"/>
  <c r="AP392" i="5"/>
  <c r="AQ374" i="5"/>
  <c r="AQ331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73" i="2"/>
  <c r="BE74" i="2"/>
  <c r="BE75" i="2"/>
  <c r="BE85" i="2"/>
  <c r="BF73" i="2"/>
  <c r="BF74" i="2"/>
  <c r="BF75" i="2"/>
  <c r="BF85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73" i="2"/>
  <c r="BL74" i="2"/>
  <c r="BL75" i="2"/>
  <c r="BL85" i="2"/>
  <c r="BK73" i="2"/>
  <c r="BK74" i="2"/>
  <c r="BK75" i="2"/>
  <c r="BK85" i="2"/>
  <c r="BJ73" i="2"/>
  <c r="BJ74" i="2"/>
  <c r="BJ75" i="2"/>
  <c r="BJ85" i="2"/>
  <c r="W42" i="2"/>
  <c r="W12" i="2"/>
  <c r="W17" i="2"/>
  <c r="W10" i="2"/>
  <c r="W13" i="2"/>
  <c r="W11" i="2"/>
  <c r="W36" i="2"/>
  <c r="W26" i="2"/>
  <c r="BI73" i="2"/>
  <c r="BI74" i="2"/>
  <c r="BI75" i="2"/>
  <c r="BI85" i="2"/>
  <c r="V42" i="2"/>
  <c r="V12" i="2"/>
  <c r="V28" i="2"/>
  <c r="V33" i="2"/>
  <c r="V34" i="2"/>
  <c r="V17" i="2"/>
  <c r="V10" i="2"/>
  <c r="V13" i="2"/>
  <c r="V11" i="2"/>
  <c r="V36" i="2"/>
  <c r="V35" i="2"/>
  <c r="V31" i="2"/>
  <c r="V26" i="2"/>
  <c r="BH73" i="2"/>
  <c r="BH74" i="2"/>
  <c r="BH75" i="2"/>
  <c r="BH85" i="2"/>
  <c r="U42" i="2"/>
  <c r="U12" i="2"/>
  <c r="U7" i="2"/>
  <c r="U39" i="2"/>
  <c r="U40" i="2"/>
  <c r="U8" i="2"/>
  <c r="U28" i="2"/>
  <c r="U33" i="2"/>
  <c r="U34" i="2"/>
  <c r="U32" i="2"/>
  <c r="U17" i="2"/>
  <c r="U16" i="2"/>
  <c r="U10" i="2"/>
  <c r="U13" i="2"/>
  <c r="U11" i="2"/>
  <c r="U36" i="2"/>
  <c r="U35" i="2"/>
  <c r="U31" i="2"/>
  <c r="U26" i="2"/>
  <c r="U15" i="2"/>
  <c r="BG73" i="2"/>
  <c r="BG74" i="2"/>
  <c r="BG75" i="2"/>
  <c r="BG85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16" i="4"/>
  <c r="AJ285" i="4"/>
  <c r="AJ294" i="4"/>
  <c r="AJ48" i="4"/>
  <c r="AJ297" i="4"/>
  <c r="AJ258" i="4"/>
  <c r="AJ257" i="4"/>
  <c r="AJ230" i="4"/>
  <c r="AJ229" i="4"/>
  <c r="AJ292" i="4"/>
  <c r="AJ228" i="4"/>
  <c r="AJ25" i="4"/>
  <c r="AJ7" i="4"/>
  <c r="AJ280" i="4"/>
  <c r="AJ279" i="4"/>
  <c r="AJ194" i="4"/>
  <c r="AJ252" i="4"/>
  <c r="AJ212" i="4"/>
  <c r="AJ73" i="4"/>
  <c r="AJ251" i="4"/>
  <c r="AJ249" i="4"/>
  <c r="AJ296" i="4"/>
  <c r="AJ189" i="4"/>
  <c r="AJ246" i="4"/>
  <c r="AJ287" i="4"/>
  <c r="AJ109" i="4"/>
  <c r="AJ17" i="4"/>
  <c r="AJ291" i="4"/>
  <c r="AJ221" i="4"/>
  <c r="AJ220" i="4"/>
  <c r="AJ210" i="4"/>
  <c r="AJ273" i="4"/>
  <c r="AJ272" i="4"/>
  <c r="AJ271" i="4"/>
  <c r="AJ188" i="4"/>
  <c r="AJ284" i="4"/>
  <c r="AJ283" i="4"/>
  <c r="AJ196" i="4"/>
  <c r="AJ131" i="4"/>
  <c r="AJ26" i="4"/>
  <c r="AJ113" i="4"/>
  <c r="AJ82" i="4"/>
  <c r="AJ77" i="4"/>
  <c r="AJ278" i="4"/>
  <c r="AJ222" i="4"/>
  <c r="AJ192" i="4"/>
  <c r="AJ250" i="4"/>
  <c r="AJ121" i="4"/>
  <c r="AJ187" i="4"/>
  <c r="AJ237" i="4"/>
  <c r="AJ236" i="4"/>
  <c r="AJ219" i="4"/>
  <c r="AJ235" i="4"/>
  <c r="AJ234" i="4"/>
  <c r="AJ264" i="4"/>
  <c r="AJ263" i="4"/>
  <c r="AJ156" i="4"/>
  <c r="AJ108" i="4"/>
  <c r="AJ151" i="4"/>
  <c r="AJ270" i="4"/>
  <c r="AJ269" i="4"/>
  <c r="AJ247" i="4"/>
  <c r="AJ245" i="4"/>
  <c r="AJ268" i="4"/>
  <c r="AJ244" i="4"/>
  <c r="AJ267" i="4"/>
  <c r="AJ243" i="4"/>
  <c r="AJ242" i="4"/>
  <c r="AJ241" i="4"/>
  <c r="AJ240" i="4"/>
  <c r="AJ239" i="4"/>
  <c r="AJ266" i="4"/>
  <c r="AJ238" i="4"/>
  <c r="AJ265" i="4"/>
  <c r="AJ233" i="4"/>
  <c r="AJ288" i="4"/>
  <c r="AJ286" i="4"/>
  <c r="AJ231" i="4"/>
  <c r="AJ181" i="4"/>
  <c r="AJ261" i="4"/>
  <c r="AJ260" i="4"/>
  <c r="AJ259" i="4"/>
  <c r="AJ254" i="4"/>
  <c r="AJ214" i="4"/>
  <c r="AJ223" i="4"/>
  <c r="AJ248" i="4"/>
  <c r="AJ295" i="4"/>
  <c r="AJ12" i="4"/>
  <c r="AJ198" i="4"/>
  <c r="AJ227" i="4"/>
  <c r="AJ226" i="4"/>
  <c r="AJ225" i="4"/>
  <c r="AJ206" i="4"/>
  <c r="AJ205" i="4"/>
  <c r="AJ165" i="4"/>
  <c r="AJ224" i="4"/>
  <c r="AJ191" i="4"/>
  <c r="AJ127" i="4"/>
  <c r="AJ211" i="4"/>
  <c r="AJ209" i="4"/>
  <c r="AJ182" i="4"/>
  <c r="AJ201" i="4"/>
  <c r="AJ200" i="4"/>
  <c r="AJ97" i="4"/>
  <c r="AJ217" i="4"/>
  <c r="AJ216" i="4"/>
  <c r="AJ298" i="4"/>
  <c r="AJ175" i="4"/>
  <c r="AJ174" i="4"/>
  <c r="AJ173" i="4"/>
  <c r="AJ172" i="4"/>
  <c r="AJ136" i="4"/>
  <c r="AJ208" i="4"/>
  <c r="AJ207" i="4"/>
  <c r="AJ195" i="4"/>
  <c r="AJ171" i="4"/>
  <c r="AJ170" i="4"/>
  <c r="AJ169" i="4"/>
  <c r="AJ168" i="4"/>
  <c r="AJ167" i="4"/>
  <c r="AJ193" i="4"/>
  <c r="AJ11" i="4"/>
  <c r="AJ45" i="4"/>
  <c r="AJ44" i="4"/>
  <c r="AJ21" i="4"/>
  <c r="AJ158" i="4"/>
  <c r="AJ20" i="4"/>
  <c r="AJ74" i="4"/>
  <c r="AJ72" i="4"/>
  <c r="AJ157" i="4"/>
  <c r="AJ126" i="4"/>
  <c r="AJ154" i="4"/>
  <c r="AJ152" i="4"/>
  <c r="AJ150" i="4"/>
  <c r="AJ202" i="4"/>
  <c r="AJ180" i="4"/>
  <c r="AJ179" i="4"/>
  <c r="AJ178" i="4"/>
  <c r="AJ197" i="4"/>
  <c r="AJ141" i="4"/>
  <c r="AJ24" i="4"/>
  <c r="AJ256" i="4"/>
  <c r="AJ281" i="4"/>
  <c r="AJ255" i="4"/>
  <c r="AJ253" i="4"/>
  <c r="AJ10" i="4"/>
  <c r="AJ204" i="4"/>
  <c r="AJ129" i="4"/>
  <c r="AJ289" i="4"/>
  <c r="AJ9" i="4"/>
  <c r="AJ8" i="4"/>
  <c r="AJ28" i="4"/>
  <c r="AJ98" i="4"/>
  <c r="AJ199" i="4"/>
  <c r="AJ177" i="4"/>
  <c r="AJ176" i="4"/>
  <c r="AJ135" i="4"/>
  <c r="AJ112" i="4"/>
  <c r="AJ185" i="4"/>
  <c r="AJ184" i="4"/>
  <c r="AJ143" i="4"/>
  <c r="AJ27" i="4"/>
  <c r="AJ139" i="4"/>
  <c r="AJ138" i="4"/>
  <c r="AJ125" i="4"/>
  <c r="AJ186" i="4"/>
  <c r="AJ218" i="4"/>
  <c r="AJ137" i="4"/>
  <c r="AJ166" i="4"/>
  <c r="AJ133" i="4"/>
  <c r="AJ132" i="4"/>
  <c r="AJ130" i="4"/>
  <c r="AJ23" i="4"/>
  <c r="AJ290" i="4"/>
  <c r="AJ213" i="4"/>
  <c r="AJ155" i="4"/>
  <c r="AJ122" i="4"/>
  <c r="AJ153" i="4"/>
  <c r="AJ276" i="4"/>
  <c r="AJ275" i="4"/>
  <c r="AJ101" i="4"/>
  <c r="AJ183" i="4"/>
  <c r="AJ99" i="4"/>
  <c r="AJ145" i="4"/>
  <c r="AJ144" i="4"/>
  <c r="AJ140" i="4"/>
  <c r="AJ134" i="4"/>
  <c r="AJ111" i="4"/>
  <c r="AJ215" i="4"/>
  <c r="AJ277" i="4"/>
  <c r="AJ190" i="4"/>
  <c r="AJ124" i="4"/>
  <c r="AJ123" i="4"/>
  <c r="AJ84" i="4"/>
  <c r="AJ79" i="4"/>
  <c r="AJ76" i="4"/>
  <c r="AJ71" i="4"/>
  <c r="AJ147" i="4"/>
  <c r="AJ119" i="4"/>
  <c r="AJ146" i="4"/>
  <c r="AJ100" i="4"/>
  <c r="AJ293" i="4"/>
  <c r="AJ163" i="4"/>
  <c r="AJ87" i="4"/>
  <c r="AJ83" i="4"/>
  <c r="AJ68" i="4"/>
  <c r="AJ14" i="4"/>
  <c r="AJ120" i="4"/>
  <c r="AJ105" i="4"/>
  <c r="AJ59" i="4"/>
  <c r="AJ164" i="4"/>
  <c r="AJ162" i="4"/>
  <c r="AJ161" i="4"/>
  <c r="AJ149" i="4"/>
  <c r="AJ118" i="4"/>
  <c r="AJ142" i="4"/>
  <c r="AJ117" i="4"/>
  <c r="AJ116" i="4"/>
  <c r="AJ115" i="4"/>
  <c r="AJ6" i="4"/>
  <c r="AJ4" i="4"/>
  <c r="AJ57" i="4"/>
  <c r="AJ56" i="4"/>
  <c r="AJ55" i="4"/>
  <c r="AJ54" i="4"/>
  <c r="AJ53" i="4"/>
  <c r="AJ52" i="4"/>
  <c r="AJ114" i="4"/>
  <c r="AJ19" i="4"/>
  <c r="AJ2" i="4"/>
  <c r="AJ15" i="4"/>
  <c r="AJ60" i="4"/>
  <c r="AJ148" i="4"/>
  <c r="AJ13" i="4"/>
  <c r="AJ31" i="4"/>
  <c r="AJ58" i="4"/>
  <c r="AJ29" i="4"/>
  <c r="AJ104" i="4"/>
  <c r="AJ103" i="4"/>
  <c r="AJ92" i="4"/>
  <c r="AJ89" i="4"/>
  <c r="AJ88" i="4"/>
  <c r="AJ96" i="4"/>
  <c r="AJ95" i="4"/>
  <c r="AJ94" i="4"/>
  <c r="AJ93" i="4"/>
  <c r="AJ91" i="4"/>
  <c r="AJ90" i="4"/>
  <c r="AJ22" i="4"/>
  <c r="AJ160" i="4"/>
  <c r="AJ3" i="4"/>
  <c r="AJ78" i="4"/>
  <c r="AJ43" i="4"/>
  <c r="AJ41" i="4"/>
  <c r="AJ107" i="4"/>
  <c r="AJ106" i="4"/>
  <c r="AJ66" i="4"/>
  <c r="AJ110" i="4"/>
  <c r="AJ81" i="4"/>
  <c r="AJ37" i="4"/>
  <c r="AJ35" i="4"/>
  <c r="AJ34" i="4"/>
  <c r="AJ86" i="4"/>
  <c r="AJ85" i="4"/>
  <c r="AJ47" i="4"/>
  <c r="AJ5" i="4"/>
  <c r="AJ128" i="4"/>
  <c r="AJ65" i="4"/>
  <c r="AJ64" i="4"/>
  <c r="AJ42" i="4"/>
  <c r="AJ18" i="4"/>
  <c r="AJ75" i="4"/>
  <c r="AJ70" i="4"/>
  <c r="AJ46" i="4"/>
  <c r="AJ36" i="4"/>
  <c r="AJ33" i="4"/>
  <c r="AJ32" i="4"/>
  <c r="AJ51" i="4"/>
  <c r="AJ50" i="4"/>
  <c r="AJ49" i="4"/>
  <c r="AJ80" i="4"/>
  <c r="AJ159" i="4"/>
  <c r="AJ69" i="4"/>
  <c r="AJ274" i="4"/>
  <c r="AJ203" i="4"/>
  <c r="AJ63" i="4"/>
  <c r="AJ40" i="4"/>
  <c r="AJ39" i="4"/>
  <c r="AJ38" i="4"/>
  <c r="AJ62" i="4"/>
  <c r="AJ61" i="4"/>
  <c r="AJ30" i="4"/>
  <c r="AM26" i="2"/>
  <c r="AZ401" i="5"/>
  <c r="AZ411" i="5"/>
  <c r="AZ410" i="5"/>
  <c r="AZ409" i="5"/>
  <c r="AZ408" i="5"/>
  <c r="AZ407" i="5"/>
  <c r="AZ406" i="5"/>
  <c r="AZ405" i="5"/>
  <c r="AZ404" i="5"/>
  <c r="AZ403" i="5"/>
  <c r="AZ402" i="5"/>
  <c r="AZ400" i="5"/>
  <c r="AZ399" i="5"/>
  <c r="AZ398" i="5"/>
  <c r="AZ397" i="5"/>
  <c r="AZ396" i="5"/>
  <c r="AZ395" i="5"/>
  <c r="AZ394" i="5"/>
  <c r="AZ393" i="5"/>
  <c r="AZ392" i="5"/>
  <c r="AZ391" i="5"/>
  <c r="AZ388" i="5"/>
  <c r="AZ387" i="5"/>
  <c r="AZ389" i="5"/>
  <c r="AZ390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J102" i="4"/>
  <c r="J27" i="3"/>
  <c r="J20" i="3"/>
  <c r="J34" i="3"/>
  <c r="J41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3" i="5"/>
  <c r="BA247" i="5"/>
  <c r="BA60" i="5"/>
  <c r="BA254" i="5"/>
  <c r="BA242" i="5"/>
  <c r="BA269" i="5"/>
  <c r="BA240" i="5"/>
  <c r="BA221" i="5"/>
  <c r="BA138" i="5"/>
  <c r="BA183" i="5"/>
  <c r="BA8" i="5"/>
  <c r="BA123" i="5"/>
  <c r="BA389" i="5"/>
  <c r="BA118" i="5"/>
  <c r="BA209" i="5"/>
  <c r="BA245" i="5"/>
  <c r="BA243" i="5"/>
  <c r="BA241" i="5"/>
  <c r="BA395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9" i="5"/>
  <c r="BA52" i="5"/>
  <c r="BA142" i="5"/>
  <c r="BA406" i="5"/>
  <c r="BA176" i="5"/>
  <c r="BA148" i="5"/>
  <c r="BA152" i="5"/>
  <c r="BA411" i="5"/>
  <c r="BA402" i="5"/>
  <c r="BA400" i="5"/>
  <c r="BA399" i="5"/>
  <c r="BA394" i="5"/>
  <c r="BA392" i="5"/>
  <c r="BA387" i="5"/>
  <c r="BA50" i="5"/>
  <c r="BA257" i="5"/>
  <c r="BA153" i="5"/>
  <c r="BA396" i="5"/>
  <c r="BA59" i="5"/>
  <c r="BA56" i="5"/>
  <c r="BA397" i="5"/>
  <c r="BA53" i="5"/>
  <c r="BA408" i="5"/>
  <c r="BA67" i="5"/>
  <c r="BA65" i="5"/>
  <c r="BA175" i="5"/>
  <c r="BA66" i="5"/>
  <c r="BA38" i="5"/>
  <c r="BA410" i="5"/>
  <c r="BA398" i="5"/>
  <c r="BA39" i="5"/>
  <c r="BA40" i="5"/>
  <c r="BA41" i="5"/>
  <c r="BA102" i="5"/>
  <c r="BA290" i="5"/>
  <c r="BA283" i="5"/>
  <c r="BA61" i="5"/>
  <c r="BA404" i="5"/>
  <c r="BA405" i="5"/>
  <c r="BA388" i="5"/>
  <c r="BA47" i="5"/>
  <c r="BA177" i="5"/>
  <c r="BA42" i="5"/>
  <c r="BA188" i="5"/>
  <c r="BA97" i="5"/>
  <c r="BA161" i="5"/>
  <c r="BA403" i="5"/>
  <c r="BA401" i="5"/>
  <c r="BA391" i="5"/>
  <c r="BA407" i="5"/>
  <c r="BA253" i="5"/>
  <c r="BA262" i="5"/>
  <c r="BA284" i="5"/>
  <c r="Y179" i="4"/>
  <c r="Y190" i="4"/>
  <c r="Y200" i="4"/>
  <c r="Y201" i="4"/>
  <c r="X2" i="12"/>
  <c r="S2" i="12"/>
  <c r="T2" i="12"/>
  <c r="X49" i="4"/>
  <c r="X50" i="4"/>
  <c r="X69" i="4"/>
  <c r="X51" i="4"/>
  <c r="X2" i="4"/>
  <c r="X159" i="4"/>
  <c r="X40" i="4"/>
  <c r="X203" i="4"/>
  <c r="X63" i="4"/>
  <c r="X61" i="4"/>
  <c r="X38" i="4"/>
  <c r="W2" i="12"/>
  <c r="Z179" i="4"/>
  <c r="Z190" i="4"/>
  <c r="Z200" i="4"/>
  <c r="Z201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4" name="xtal_templates2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5" name="xtal_templates3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<sst xmlns="http://schemas.openxmlformats.org/spreadsheetml/2006/main" count="14939" uniqueCount="1582">
  <si>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</si>
  <si>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</si>
  <si>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</si>
  <si>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</si>
  <si>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</si>
  <si>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</si>
  <si>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</si>
  <si>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</si>
  <si>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</si>
  <si>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</si>
  <si>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</si>
  <si>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</si>
  <si>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</si>
  <si>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</si>
  <si>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</si>
  <si>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</si>
  <si>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</si>
  <si>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</si>
  <si>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</si>
  <si>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</si>
  <si>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</si>
  <si>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</si>
  <si>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</si>
  <si>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</si>
  <si>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</si>
  <si>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</si>
  <si>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</si>
  <si>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</si>
  <si>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</si>
  <si>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</si>
  <si>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</si>
  <si>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</si>
  <si>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</si>
  <si>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</si>
  <si>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</si>
  <si>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</si>
  <si>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</si>
  <si>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</si>
  <si>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</si>
  <si>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</si>
  <si>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</si>
  <si>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</si>
  <si>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</si>
  <si>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</si>
  <si>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</si>
  <si>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</si>
  <si>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</si>
  <si>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</si>
  <si>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</si>
  <si>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</si>
  <si>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</si>
  <si>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</si>
  <si>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</si>
  <si>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</si>
  <si>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</si>
  <si>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</si>
  <si>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</si>
  <si>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</si>
  <si>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</si>
  <si>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</si>
  <si>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</si>
  <si>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</si>
  <si>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</si>
  <si>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</si>
  <si>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</si>
  <si>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</si>
  <si>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</si>
  <si>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</si>
  <si>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</si>
  <si>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</si>
  <si>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</si>
  <si>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</si>
  <si>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</si>
  <si>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</si>
  <si>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</si>
  <si>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</si>
  <si>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</si>
  <si>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</si>
  <si>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</si>
  <si>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</si>
  <si>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</si>
  <si>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</si>
  <si>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</si>
  <si>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</si>
  <si>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</si>
  <si>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</si>
  <si>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</si>
  <si>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</si>
  <si>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</si>
  <si>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</si>
  <si>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</si>
  <si>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</si>
  <si>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</si>
  <si>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</si>
  <si>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</si>
  <si>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</si>
  <si>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</si>
  <si>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</si>
  <si>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</si>
  <si>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</si>
  <si>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</si>
  <si>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</si>
  <si>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</si>
  <si>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</si>
  <si>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</si>
  <si>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</si>
  <si>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</si>
  <si>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</si>
  <si>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</si>
  <si>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</si>
  <si>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</si>
  <si>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</si>
  <si>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</si>
  <si>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</si>
  <si>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</si>
  <si>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</si>
  <si>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</si>
  <si>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</si>
  <si>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</si>
  <si>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</si>
  <si>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</si>
  <si>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</si>
  <si>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</si>
  <si>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</si>
  <si>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</si>
  <si>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</si>
  <si>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</si>
  <si>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</si>
  <si>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</si>
  <si>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</si>
  <si>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</si>
  <si>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</si>
  <si>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</si>
  <si>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</si>
  <si>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</si>
  <si>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</si>
  <si>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</si>
  <si>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</si>
  <si>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</si>
  <si>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</si>
  <si>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</si>
  <si>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</si>
  <si>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</si>
  <si>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</si>
  <si>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</si>
  <si>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</si>
  <si>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</si>
  <si>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</si>
  <si>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</si>
  <si>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</si>
  <si>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</si>
  <si>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</si>
  <si>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</si>
  <si>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</si>
  <si>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</si>
  <si>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</si>
  <si>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</si>
  <si>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</si>
  <si>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</si>
  <si>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</si>
  <si>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</si>
  <si>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</si>
  <si>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</si>
  <si>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</si>
  <si>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</si>
  <si>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</si>
  <si>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</si>
  <si>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</si>
  <si>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</si>
  <si>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</si>
  <si>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</si>
  <si>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</si>
  <si>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</si>
  <si>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</si>
  <si>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</si>
  <si>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</si>
  <si>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</si>
  <si>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</si>
  <si>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</si>
  <si>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</si>
  <si>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</si>
  <si>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</si>
  <si>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</si>
  <si>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</si>
  <si>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</si>
  <si>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</si>
  <si>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</si>
  <si>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</si>
  <si>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</si>
  <si>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</si>
  <si>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</si>
  <si>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</si>
  <si>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</si>
  <si>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</si>
  <si>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</si>
  <si>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</si>
  <si>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</si>
  <si>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</si>
  <si>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</si>
  <si>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</si>
  <si>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</si>
  <si>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</si>
  <si>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</si>
  <si>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</si>
  <si>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</si>
  <si>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</si>
  <si>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</si>
  <si>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</si>
  <si>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</si>
  <si>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</si>
  <si>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</si>
  <si>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</si>
  <si>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</si>
  <si>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</si>
  <si>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</si>
  <si>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</si>
  <si>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</si>
  <si>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</si>
  <si>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</si>
  <si>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</si>
  <si>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</si>
  <si>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</si>
  <si>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</si>
  <si>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</si>
  <si>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</si>
  <si>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</si>
  <si>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</si>
  <si>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</si>
  <si>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</si>
  <si>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</si>
  <si>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</si>
  <si>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</si>
  <si>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</si>
  <si>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</si>
  <si>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</si>
  <si>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</si>
  <si>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</si>
  <si>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</si>
  <si>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</si>
  <si>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</si>
  <si>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</si>
  <si>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</si>
  <si>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</si>
  <si>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</si>
  <si>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</si>
  <si>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</si>
  <si>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</si>
  <si>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</si>
  <si>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</si>
  <si>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</si>
  <si>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</si>
  <si>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</si>
  <si>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</si>
  <si>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</si>
  <si>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</si>
  <si>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</si>
  <si>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</si>
  <si>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</si>
  <si>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</si>
  <si>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</si>
  <si>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</si>
  <si>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</si>
  <si>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</si>
  <si>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</si>
  <si>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</si>
  <si>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</si>
  <si>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</si>
  <si>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</si>
  <si>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</si>
  <si>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</si>
  <si>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</si>
  <si>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</si>
  <si>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</si>
  <si>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</si>
  <si>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</si>
  <si>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</si>
  <si>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</si>
  <si>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</si>
  <si>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</si>
  <si>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</si>
  <si>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</si>
  <si>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</si>
  <si>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</si>
  <si>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</si>
  <si>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</si>
  <si>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</si>
  <si>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</si>
  <si>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</si>
  <si>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</si>
  <si>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</si>
  <si>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</si>
  <si>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</si>
  <si>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</si>
  <si>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</si>
  <si>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</si>
  <si>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</si>
  <si>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</si>
  <si>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</si>
  <si>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</si>
  <si>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</si>
  <si>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</si>
  <si>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</si>
  <si>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</si>
  <si>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</si>
  <si>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</si>
  <si>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</si>
  <si>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</si>
  <si>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</si>
  <si>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</si>
  <si>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</si>
  <si>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</si>
  <si>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</si>
  <si>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</si>
  <si>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</si>
  <si>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</si>
  <si>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</si>
  <si>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</si>
  <si>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</si>
  <si>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</si>
  <si>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</si>
  <si>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</si>
  <si>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</si>
  <si>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</si>
  <si>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</si>
  <si>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</si>
  <si>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</si>
  <si>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</si>
  <si>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</si>
  <si>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</si>
  <si>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</si>
  <si>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</si>
  <si>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</si>
  <si>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</si>
  <si>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</si>
  <si>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</si>
  <si>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</si>
  <si>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</si>
  <si>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</si>
  <si>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</si>
  <si>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</si>
  <si>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</si>
  <si>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</si>
  <si>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</si>
  <si>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</si>
  <si>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</si>
  <si>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</si>
  <si>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</si>
  <si>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</si>
  <si>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</si>
  <si>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</si>
  <si>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</si>
  <si>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</si>
  <si>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</si>
  <si>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</si>
  <si>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</si>
  <si>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</si>
  <si>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</si>
  <si>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</si>
  <si>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</si>
  <si>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</si>
  <si>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</si>
  <si>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</si>
  <si>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</si>
  <si>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</si>
  <si>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</si>
  <si>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</si>
  <si>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</si>
  <si>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</si>
  <si>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</si>
  <si>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</si>
  <si>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</si>
  <si>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</si>
  <si>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</si>
  <si>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</si>
  <si>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</si>
  <si>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</si>
  <si>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</si>
  <si>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</si>
  <si>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</si>
  <si>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</si>
  <si>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</si>
  <si>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</si>
  <si>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</si>
  <si>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</si>
  <si>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</si>
  <si>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</si>
  <si>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</si>
  <si>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</si>
  <si>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</si>
  <si>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</si>
  <si>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</si>
  <si>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</si>
  <si>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</si>
  <si>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</si>
  <si>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</si>
  <si>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</si>
  <si>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</si>
  <si>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</si>
  <si>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</si>
  <si>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</si>
  <si>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</si>
  <si>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</si>
  <si>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</si>
  <si>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</si>
  <si>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</si>
  <si>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</si>
  <si>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</si>
  <si>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</si>
  <si>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</si>
  <si>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</si>
  <si>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</si>
  <si>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</si>
  <si>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</si>
  <si>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</si>
  <si>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</si>
  <si>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</si>
  <si>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</si>
  <si>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</si>
  <si>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</si>
  <si>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</si>
  <si>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</si>
  <si>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</si>
  <si>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</si>
  <si>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</si>
  <si>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</si>
  <si>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</si>
  <si>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</si>
  <si>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</si>
  <si>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</si>
  <si>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</si>
  <si>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</si>
  <si>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</si>
  <si>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</si>
  <si>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</si>
  <si>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</si>
  <si>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</si>
  <si>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</si>
  <si>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</si>
  <si>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</si>
  <si>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</si>
  <si>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</si>
  <si>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</si>
  <si>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</si>
  <si>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</si>
  <si>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</si>
  <si>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</si>
  <si>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</si>
  <si>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</si>
  <si>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</si>
  <si>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</si>
  <si>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</si>
  <si>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</si>
  <si>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</si>
  <si>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</si>
  <si>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</si>
  <si>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</si>
  <si>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</si>
  <si>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</si>
  <si>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</si>
  <si>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</si>
  <si>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</si>
  <si>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</si>
  <si>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</si>
  <si>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</si>
  <si>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</si>
  <si>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</si>
  <si>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</si>
  <si>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</si>
  <si>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</si>
  <si>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</si>
  <si>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</si>
  <si>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</si>
  <si>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</si>
  <si>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</si>
  <si>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</si>
  <si>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</si>
  <si>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</si>
  <si>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</si>
  <si>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</si>
  <si>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</si>
  <si>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</si>
  <si>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</si>
  <si>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</si>
  <si>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</si>
  <si>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</si>
  <si>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</si>
  <si>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</si>
  <si>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</si>
  <si>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</si>
  <si>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</si>
  <si>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</si>
  <si>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</si>
  <si>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</si>
  <si>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</si>
  <si>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</si>
  <si>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</si>
  <si>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</si>
  <si>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</si>
  <si>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</si>
  <si>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</si>
  <si>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</si>
  <si>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</si>
  <si>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</si>
  <si>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</si>
  <si>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</si>
  <si>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</si>
  <si>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</si>
  <si>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</si>
  <si>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</si>
  <si>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</si>
  <si>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</si>
  <si>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</si>
  <si>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</si>
  <si>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</si>
  <si>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</si>
  <si>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</si>
  <si>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</si>
  <si>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</si>
  <si>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</si>
  <si>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</si>
  <si>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</si>
  <si>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</si>
  <si>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</si>
  <si>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</si>
  <si>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</si>
  <si>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</si>
  <si>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</si>
  <si>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</si>
  <si>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</si>
  <si>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</si>
  <si>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</si>
  <si>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</si>
  <si>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</si>
  <si>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</si>
  <si>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</si>
  <si>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</si>
  <si>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</si>
  <si>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</si>
  <si>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</si>
  <si>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</si>
  <si>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</si>
  <si>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</si>
  <si>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</si>
  <si>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</si>
  <si>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</si>
  <si>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</si>
  <si>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</si>
  <si>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</si>
  <si>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</si>
  <si>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</si>
  <si>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</si>
  <si>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</si>
  <si>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</si>
  <si>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</si>
  <si>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</si>
  <si>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</si>
  <si>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</si>
  <si>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</si>
  <si>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</si>
  <si>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</si>
  <si>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</si>
  <si>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</si>
  <si>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</si>
  <si>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</si>
  <si>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</si>
  <si>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</si>
  <si>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</si>
  <si>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</si>
  <si>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</si>
  <si>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</si>
  <si>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</si>
  <si>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</si>
  <si>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</si>
  <si>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</si>
  <si>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</si>
  <si>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</si>
  <si>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</si>
  <si>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</si>
  <si>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</si>
  <si>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</si>
  <si>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</si>
  <si>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</si>
  <si>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</si>
  <si>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</si>
  <si>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</si>
  <si>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</si>
  <si>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</si>
  <si>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</si>
  <si>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</si>
  <si>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</si>
  <si>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</si>
  <si>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</si>
  <si>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</si>
  <si>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</si>
  <si>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</si>
  <si>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</si>
  <si>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</si>
  <si>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</si>
  <si>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</si>
  <si>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</si>
  <si>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</si>
  <si>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</si>
  <si>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</si>
  <si>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</si>
  <si>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</si>
  <si>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</si>
  <si>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</si>
  <si>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</si>
  <si>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</si>
  <si>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</si>
  <si>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</si>
  <si>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</si>
  <si>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</si>
  <si>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</si>
  <si>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</si>
  <si>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</si>
  <si>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</si>
  <si>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</si>
  <si>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</si>
  <si>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</si>
  <si>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</si>
  <si>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</si>
  <si>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</si>
  <si>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</si>
  <si>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</si>
  <si>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</si>
  <si>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</si>
  <si>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</si>
  <si>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</si>
  <si>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</si>
  <si>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</si>
  <si>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</si>
  <si>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</si>
  <si>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</si>
  <si>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</si>
  <si>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</si>
  <si>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</si>
  <si>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</si>
  <si>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</si>
  <si>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</si>
  <si>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</si>
  <si>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</si>
  <si>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</si>
  <si>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</si>
  <si>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</si>
  <si>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</si>
  <si>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</si>
  <si>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</si>
  <si>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</si>
  <si>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</si>
  <si>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</si>
  <si>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</si>
  <si>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</si>
  <si>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</si>
  <si>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</si>
  <si>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</si>
  <si>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</si>
  <si>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</si>
  <si>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</si>
  <si>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</si>
  <si>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</si>
  <si>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</si>
  <si>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</si>
  <si>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</si>
  <si>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</si>
  <si>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</si>
  <si>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</si>
  <si>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</si>
  <si>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</si>
  <si>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</si>
  <si>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</si>
  <si>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</si>
  <si>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</si>
  <si>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</si>
  <si>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</si>
  <si>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</si>
  <si>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</si>
  <si>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</si>
  <si>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</si>
  <si>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</si>
  <si>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</si>
  <si>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</si>
  <si>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</si>
  <si>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</si>
  <si>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</si>
  <si>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</si>
  <si>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</si>
  <si>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</si>
  <si>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</si>
  <si>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</si>
  <si>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</si>
  <si>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</si>
  <si>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</si>
  <si>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</si>
  <si>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</si>
  <si>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</si>
  <si>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</si>
  <si>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</si>
  <si>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</si>
  <si>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</si>
  <si>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</si>
  <si>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</si>
  <si>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</si>
  <si>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</si>
  <si>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</si>
  <si>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</si>
  <si>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</si>
  <si>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</si>
  <si>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</si>
  <si>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</si>
  <si>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</si>
  <si>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</si>
  <si>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</si>
  <si>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</si>
  <si>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</si>
  <si>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</si>
  <si>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</si>
  <si>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</si>
  <si>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</si>
  <si>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</si>
  <si>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</si>
  <si>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</si>
  <si>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</si>
  <si>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</si>
  <si>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</si>
  <si>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</si>
  <si>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</si>
  <si>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</si>
  <si>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</si>
  <si>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</si>
  <si>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</si>
  <si>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</si>
  <si>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</si>
  <si>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</si>
  <si>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</si>
  <si>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</si>
  <si>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</si>
  <si>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</si>
  <si>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</si>
  <si>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</si>
  <si>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</si>
  <si>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</si>
  <si>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</si>
  <si>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</si>
  <si>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</si>
  <si>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</si>
  <si>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</si>
  <si>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</si>
  <si>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</si>
  <si>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</si>
  <si>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</si>
  <si>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</si>
  <si>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</si>
  <si>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</si>
  <si>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</si>
  <si>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</si>
  <si>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</si>
  <si>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</si>
  <si>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</si>
  <si>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</si>
  <si>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</si>
  <si>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</si>
  <si>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</si>
  <si>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</si>
  <si>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</si>
  <si>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</si>
  <si>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</si>
  <si>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</si>
  <si>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</si>
  <si>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</si>
  <si>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</si>
  <si>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</si>
  <si>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</si>
  <si>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</si>
  <si>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</si>
  <si>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</si>
  <si>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</si>
  <si>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</si>
  <si>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</si>
  <si>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</si>
  <si>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</si>
  <si>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</si>
  <si>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</si>
  <si>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</si>
  <si>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</si>
  <si>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</si>
  <si>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</si>
  <si>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</si>
  <si>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</si>
  <si>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</si>
  <si>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</si>
  <si>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</si>
  <si>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</si>
  <si>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</si>
  <si>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</si>
  <si>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</si>
  <si>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</si>
  <si>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</si>
  <si>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</si>
  <si>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</si>
  <si>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</si>
  <si>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</si>
  <si>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</si>
  <si>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</si>
  <si>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</si>
  <si>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</si>
  <si>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</si>
  <si>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</si>
  <si>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</si>
  <si>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</si>
  <si>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</si>
  <si>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</si>
  <si>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</si>
  <si>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</si>
  <si>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</si>
  <si>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</si>
  <si>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</si>
  <si>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</si>
  <si>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</si>
  <si>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</si>
  <si>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</si>
  <si>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</si>
  <si>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</si>
  <si>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</si>
  <si>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</si>
  <si>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</si>
  <si>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</si>
  <si>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</si>
  <si>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</si>
  <si>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</si>
  <si>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</si>
  <si>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</si>
  <si>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</si>
  <si>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</si>
  <si>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</si>
  <si>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</si>
  <si>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</si>
  <si>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</si>
  <si>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</si>
  <si>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</si>
  <si>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</si>
  <si>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</si>
  <si>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</si>
  <si>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</si>
  <si>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</si>
  <si>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</si>
  <si>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</si>
  <si>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</si>
  <si>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</si>
  <si>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</si>
  <si>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</si>
  <si>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</si>
  <si>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</si>
  <si>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</si>
  <si>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</si>
  <si>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</si>
  <si>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</si>
  <si>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</si>
  <si>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</si>
  <si>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</si>
  <si>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</si>
  <si>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</si>
  <si>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</si>
  <si>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</si>
  <si>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</si>
  <si>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</si>
  <si>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</si>
  <si>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</si>
  <si>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</si>
  <si>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</si>
  <si>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</si>
  <si>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</si>
  <si>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</si>
  <si>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</si>
  <si>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</si>
  <si>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</si>
  <si>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</si>
  <si>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</si>
  <si>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</si>
  <si>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</si>
  <si>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</si>
  <si>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</si>
  <si>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</si>
  <si>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</si>
  <si>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</si>
  <si>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</si>
  <si>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</si>
  <si>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</si>
  <si>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</si>
  <si>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</si>
  <si>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</si>
  <si>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</si>
  <si>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</si>
  <si>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</si>
  <si>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</si>
  <si>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</si>
  <si>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</si>
  <si>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</si>
  <si>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</si>
  <si>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</si>
  <si>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</si>
  <si>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</si>
  <si>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</si>
  <si>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</si>
  <si>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</si>
  <si>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</si>
  <si>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</si>
  <si>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</si>
  <si>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</si>
  <si>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</si>
  <si>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</si>
  <si>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</si>
  <si>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</si>
  <si>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</si>
  <si>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</si>
  <si>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</si>
  <si>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</si>
  <si>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</si>
  <si>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</si>
  <si>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</si>
  <si>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</si>
  <si>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</si>
  <si>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</si>
  <si>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</si>
  <si>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</si>
  <si>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</si>
  <si>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</si>
  <si>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</si>
  <si>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</si>
  <si>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</si>
  <si>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</si>
  <si>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</si>
  <si>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</si>
  <si>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</si>
  <si>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</si>
  <si>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</si>
  <si>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</si>
  <si>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</si>
  <si>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</si>
  <si>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</si>
  <si>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</si>
  <si>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</si>
  <si>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</si>
  <si>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</si>
  <si>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</si>
  <si>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</si>
  <si>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</si>
  <si>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</si>
  <si>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</si>
  <si>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</si>
  <si>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</si>
  <si>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</si>
  <si>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</si>
  <si>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</si>
  <si>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</si>
  <si>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</si>
  <si>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</si>
  <si>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</si>
  <si>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</si>
  <si>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</si>
  <si>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</si>
  <si>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</si>
  <si>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</si>
  <si>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</si>
  <si>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</si>
  <si>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</si>
  <si>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</si>
  <si>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</si>
  <si>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</si>
  <si>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</si>
  <si>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</si>
  <si>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</si>
  <si>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</si>
  <si>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</si>
  <si>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</si>
  <si>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</si>
  <si>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</si>
  <si>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</si>
  <si>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</si>
  <si>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</si>
  <si>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</si>
  <si>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</si>
  <si>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</si>
  <si>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</si>
  <si>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</si>
  <si>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</si>
  <si>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</si>
  <si>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</si>
  <si>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</si>
  <si>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</si>
  <si>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</si>
  <si>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</si>
  <si>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</si>
  <si>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</si>
  <si>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</si>
  <si>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</si>
  <si>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</si>
  <si>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</si>
  <si>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</si>
  <si>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</si>
  <si>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</si>
  <si>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</si>
  <si>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</si>
  <si>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</si>
  <si>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</si>
  <si>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</si>
  <si>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</si>
  <si>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</si>
  <si>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</si>
  <si>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</si>
  <si>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</si>
  <si>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</si>
  <si>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</si>
  <si>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</si>
  <si>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</si>
  <si>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</si>
  <si>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</si>
  <si>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</si>
  <si>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</si>
  <si>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</si>
  <si>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</si>
  <si>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</si>
  <si>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</si>
  <si>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</si>
  <si>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</si>
  <si>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</si>
  <si>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</si>
  <si>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</si>
  <si>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</si>
  <si>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</si>
  <si>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</si>
  <si>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</si>
  <si>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</si>
  <si>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</si>
  <si>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</si>
  <si>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</si>
  <si>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</si>
  <si>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</si>
  <si>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</si>
  <si>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</si>
  <si>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</si>
  <si>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</si>
  <si>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</si>
  <si>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</si>
  <si>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</si>
  <si>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</si>
  <si>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</si>
  <si>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</si>
  <si>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</si>
  <si>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</si>
  <si>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</si>
  <si>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</si>
  <si>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</si>
  <si>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</si>
  <si>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</si>
  <si>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</si>
  <si>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</si>
  <si>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</si>
  <si>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</si>
  <si>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</si>
  <si>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</si>
  <si>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</si>
  <si>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</si>
  <si>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</si>
  <si>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</si>
  <si>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</si>
  <si>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</si>
  <si>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</si>
  <si>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</si>
  <si>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</si>
  <si>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</si>
  <si>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</si>
  <si>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</si>
  <si>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</si>
  <si>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</si>
  <si>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</si>
  <si>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</si>
  <si>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</si>
  <si>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</si>
  <si>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</si>
  <si>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</si>
  <si>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</si>
  <si>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</si>
  <si>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</si>
  <si>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</si>
  <si>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</si>
  <si>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</si>
  <si>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</si>
  <si>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</si>
  <si>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</si>
  <si>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</si>
  <si>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</si>
  <si>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</si>
  <si>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</si>
  <si>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</si>
  <si>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</si>
  <si>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</si>
  <si>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</si>
  <si>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</si>
  <si>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</si>
  <si>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</si>
  <si>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</si>
  <si>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</si>
  <si>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</si>
  <si>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</si>
  <si>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</si>
  <si>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</si>
  <si>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</si>
  <si>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</si>
  <si>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</si>
  <si>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</si>
  <si>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</si>
  <si>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</si>
  <si>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</si>
  <si>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</si>
  <si>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</si>
  <si>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</si>
  <si>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</si>
  <si>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</si>
  <si>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</si>
  <si>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</si>
  <si>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</si>
  <si>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</si>
  <si>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</si>
  <si>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</si>
  <si>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</si>
  <si>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</si>
  <si>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</si>
  <si>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</si>
  <si>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</si>
  <si>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</si>
  <si>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</si>
  <si>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</si>
  <si>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</si>
  <si>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</si>
  <si>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</si>
  <si>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</si>
  <si>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</si>
  <si>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</si>
  <si>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</si>
  <si>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</si>
  <si>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</si>
  <si>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</si>
  <si>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</si>
  <si>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</si>
  <si>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</si>
  <si>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</si>
  <si>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</si>
  <si>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</si>
  <si>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</si>
  <si>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</si>
  <si>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</si>
  <si>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</si>
  <si>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</si>
  <si>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</si>
  <si>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</si>
  <si>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</si>
  <si>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</si>
  <si>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</si>
  <si>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</si>
  <si>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</si>
  <si>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</si>
  <si>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</si>
  <si>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</si>
  <si>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</si>
  <si>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</si>
  <si>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</si>
  <si>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</si>
  <si>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</si>
  <si>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</si>
  <si>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</si>
  <si>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</si>
  <si>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</si>
  <si>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</si>
  <si>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</si>
  <si>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</si>
  <si>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</si>
  <si>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</si>
  <si>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</si>
  <si>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</si>
  <si>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</si>
  <si>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</si>
  <si>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</si>
  <si>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</si>
  <si>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</si>
  <si>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</si>
  <si>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</si>
  <si>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</si>
  <si>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</si>
  <si>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</si>
  <si>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</si>
  <si>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</si>
  <si>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</si>
  <si>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</si>
  <si>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</si>
  <si>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</si>
  <si>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</si>
  <si>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</si>
  <si>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</si>
  <si>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</si>
  <si>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</si>
  <si>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</si>
  <si>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</si>
  <si>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</si>
  <si>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</si>
  <si>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</si>
  <si>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</si>
  <si>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</si>
  <si>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</si>
  <si>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</si>
  <si>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</si>
  <si>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</si>
  <si>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</si>
  <si>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</si>
  <si>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</si>
  <si>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</si>
  <si>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</si>
  <si>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</si>
  <si>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</si>
  <si>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</si>
  <si>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</si>
  <si>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</si>
  <si>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</si>
  <si>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</si>
  <si>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</si>
  <si>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</si>
  <si>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</si>
  <si>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</si>
  <si>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</si>
  <si>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</si>
  <si>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</si>
  <si>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</si>
  <si>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</si>
  <si>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</si>
  <si>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</si>
  <si>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</si>
  <si>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</si>
  <si>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</si>
  <si>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</si>
  <si>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</si>
  <si>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</si>
  <si>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</si>
  <si>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</si>
  <si>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</si>
  <si>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</si>
  <si>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</si>
  <si>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</si>
  <si>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</si>
  <si>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</si>
  <si>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</si>
  <si>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</si>
  <si>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</si>
  <si>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</si>
  <si>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</si>
  <si>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</si>
  <si>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cxcr4_human__wt</t>
  </si>
  <si>
    <t>drd3_human__wt</t>
  </si>
  <si>
    <t>ffar1_human__wt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</si>
  <si>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</si>
  <si>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</si>
  <si>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</si>
  <si>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</si>
  <si>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</si>
  <si>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</si>
  <si>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</si>
  <si>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</si>
  <si>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</si>
  <si>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</si>
  <si>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</si>
  <si>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</si>
  <si>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</si>
  <si>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</si>
  <si>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</si>
  <si>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</si>
  <si>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</si>
  <si>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</si>
  <si>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</si>
  <si>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</si>
  <si>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</si>
  <si>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</si>
  <si>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</si>
  <si>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</si>
  <si>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</si>
  <si>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</si>
  <si>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</si>
  <si>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</si>
  <si>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</si>
  <si>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</si>
  <si>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</si>
  <si>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</si>
  <si>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</si>
  <si>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</si>
  <si>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</si>
  <si>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</si>
  <si>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</si>
  <si>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</si>
  <si>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</si>
  <si>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</si>
  <si>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</si>
  <si>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</si>
  <si>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</si>
  <si>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</si>
  <si>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</si>
  <si>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</si>
  <si>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</si>
  <si>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</si>
  <si>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</si>
  <si>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</si>
  <si>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</si>
  <si>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</si>
  <si>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</si>
  <si>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</si>
  <si>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</si>
  <si>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</si>
  <si>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</si>
  <si>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</si>
  <si>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</si>
  <si>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</si>
  <si>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</si>
  <si>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</si>
  <si>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</si>
  <si>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</si>
  <si>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</si>
  <si>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</si>
  <si>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</si>
  <si>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</si>
  <si>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</si>
  <si>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</si>
  <si>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</si>
  <si>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</si>
  <si>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</si>
  <si>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</si>
  <si>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</si>
  <si>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</si>
  <si>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</si>
  <si>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</si>
  <si>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</si>
  <si>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</si>
  <si>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</si>
  <si>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</si>
  <si>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</si>
  <si>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</si>
  <si>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</si>
  <si>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</si>
  <si>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</si>
  <si>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</si>
  <si>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</si>
  <si>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</si>
  <si>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</si>
  <si>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</si>
  <si>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</si>
  <si>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</si>
  <si>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</si>
  <si>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</si>
  <si>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</si>
  <si>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</si>
  <si>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</si>
  <si>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</si>
  <si>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</si>
  <si>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</si>
  <si>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</si>
  <si>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</si>
  <si>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</si>
  <si>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</si>
  <si>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</si>
  <si>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</si>
  <si>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</si>
  <si>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</si>
  <si>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</si>
  <si>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</si>
  <si>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</si>
  <si>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</si>
  <si>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</si>
  <si>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</si>
  <si>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</si>
  <si>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</si>
  <si>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</si>
  <si>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</si>
  <si>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</si>
  <si>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</si>
  <si>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</si>
  <si>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</si>
  <si>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</si>
  <si>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</si>
  <si>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</si>
  <si>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</si>
  <si>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</si>
  <si>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</si>
  <si>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</si>
  <si>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</si>
  <si>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</si>
  <si>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</si>
  <si>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</si>
  <si>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</si>
  <si>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</si>
  <si>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</si>
  <si>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</si>
  <si>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</si>
  <si>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</si>
  <si>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</si>
  <si>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</si>
  <si>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</si>
  <si>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</si>
  <si>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</si>
  <si>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David templates</t>
  </si>
  <si>
    <t>Cl Template</t>
  </si>
  <si>
    <t>Cl David Template</t>
  </si>
  <si>
    <t>5VEX</t>
  </si>
  <si>
    <t>5VEW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</si>
  <si>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</si>
  <si>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</si>
  <si>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</si>
  <si>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</si>
  <si>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</si>
  <si>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</si>
  <si>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</si>
  <si>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</si>
  <si>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</si>
  <si>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</si>
  <si>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</si>
  <si>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</si>
  <si>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</si>
  <si>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</si>
  <si>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</si>
  <si>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</si>
  <si>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</si>
  <si>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</si>
  <si>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</si>
  <si>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</si>
  <si>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</si>
  <si>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</si>
  <si>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</si>
  <si>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</si>
  <si>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</si>
  <si>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</si>
  <si>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</si>
  <si>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</si>
  <si>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</si>
  <si>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</si>
  <si>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</si>
  <si>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</si>
  <si>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</si>
  <si>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</si>
  <si>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</si>
  <si>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</si>
  <si>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</si>
  <si>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</si>
  <si>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</si>
  <si>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</si>
  <si>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</si>
  <si>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</si>
  <si>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</si>
  <si>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</si>
  <si>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</si>
  <si>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</si>
  <si>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</si>
  <si>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</si>
  <si>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</si>
  <si>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</si>
  <si>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</si>
  <si>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</si>
  <si>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</si>
  <si>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</si>
  <si>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</si>
  <si>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</si>
  <si>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</si>
  <si>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</si>
  <si>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</si>
  <si>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</si>
  <si>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</si>
  <si>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</si>
  <si>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</si>
  <si>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</si>
  <si>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</si>
  <si>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</si>
  <si>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</si>
  <si>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</si>
  <si>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</si>
  <si>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</si>
  <si>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</si>
  <si>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</si>
  <si>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</si>
  <si>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</si>
  <si>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</si>
  <si>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</si>
  <si>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</si>
  <si>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</si>
  <si>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</si>
  <si>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</si>
  <si>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</si>
  <si>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</si>
  <si>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</si>
  <si>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5KW2</t>
  </si>
  <si>
    <t>6GDG</t>
  </si>
  <si>
    <t>Xtal</t>
  </si>
  <si>
    <t>6D32</t>
  </si>
  <si>
    <t>q98sw5_xenla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</si>
  <si>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</si>
  <si>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</si>
  <si>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</si>
  <si>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</si>
  <si>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</si>
  <si>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</si>
  <si>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</si>
  <si>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</si>
  <si>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</si>
  <si>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</si>
  <si>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</si>
  <si>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</si>
  <si>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</si>
  <si>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</si>
  <si>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</si>
  <si>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5XJM</t>
  </si>
  <si>
    <t>6DRX</t>
  </si>
  <si>
    <t>6DRY</t>
  </si>
  <si>
    <t>6DRZ</t>
  </si>
  <si>
    <t>6DS0</t>
  </si>
  <si>
    <t>6E3Y</t>
  </si>
  <si>
    <t>6D26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</si>
  <si>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</si>
  <si>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</si>
  <si>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</si>
  <si>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</si>
  <si>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</si>
  <si>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</si>
  <si>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</si>
  <si>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</si>
  <si>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</si>
  <si>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</si>
  <si>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6IGL</t>
  </si>
  <si>
    <t>6IGK</t>
  </si>
  <si>
    <t>5ZKC</t>
  </si>
  <si>
    <t>5ZKB</t>
  </si>
  <si>
    <t>5ZK8</t>
  </si>
  <si>
    <t>5ZK3</t>
  </si>
  <si>
    <t>5YC8</t>
  </si>
  <si>
    <t>6E59</t>
  </si>
  <si>
    <t>5YWY</t>
  </si>
  <si>
    <t>5YHL</t>
  </si>
  <si>
    <t>6M9T</t>
  </si>
  <si>
    <t>6AK3</t>
  </si>
  <si>
    <t>6MET</t>
  </si>
  <si>
    <t>6MEO</t>
  </si>
  <si>
    <t>6D27</t>
  </si>
  <si>
    <t>6HLL</t>
  </si>
  <si>
    <t>6HLO</t>
  </si>
  <si>
    <t>6HLP</t>
  </si>
  <si>
    <t>6GPS</t>
  </si>
  <si>
    <t>6GPX</t>
  </si>
  <si>
    <t>6IIU</t>
  </si>
  <si>
    <t>6IIV</t>
  </si>
  <si>
    <t>6IBL</t>
  </si>
  <si>
    <t>6NIY</t>
  </si>
  <si>
    <t>6N51</t>
  </si>
  <si>
    <t>6N52</t>
  </si>
  <si>
    <t>6BD4</t>
  </si>
  <si>
    <t>6DO1</t>
  </si>
  <si>
    <t>6N4B</t>
  </si>
  <si>
    <t>5ZTY</t>
  </si>
  <si>
    <t>6A94</t>
  </si>
  <si>
    <t>6A93</t>
  </si>
  <si>
    <t>5NM4</t>
  </si>
  <si>
    <t>5NLX</t>
  </si>
  <si>
    <t>6J20</t>
  </si>
  <si>
    <t>6J21</t>
  </si>
  <si>
    <t>6ME2</t>
  </si>
  <si>
    <t>6ME3</t>
  </si>
  <si>
    <t>6ME4</t>
  </si>
  <si>
    <t>6ME5</t>
  </si>
  <si>
    <t>6ME6</t>
  </si>
  <si>
    <t>6ME7</t>
  </si>
  <si>
    <t>6ME8</t>
  </si>
  <si>
    <t>6ME9</t>
  </si>
  <si>
    <t>6MH8</t>
  </si>
  <si>
    <t>6NBF</t>
  </si>
  <si>
    <t>6NBH</t>
  </si>
  <si>
    <t>6NBI</t>
  </si>
  <si>
    <t>5ZHP</t>
  </si>
  <si>
    <t>6OIJ</t>
  </si>
  <si>
    <t>6OIK</t>
  </si>
  <si>
    <t>6E67</t>
  </si>
  <si>
    <t>6OT0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</si>
</sst>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8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0" fillId="2" borderId="9" xfId="0" applyFont="1" applyFill="1" applyBorder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0" fontId="4" fillId="2" borderId="0" xfId="0" applyFont="1" applyFill="1"/>
    <xf numFmtId="1" fontId="0" fillId="2" borderId="0" xfId="0" applyNumberFormat="1" applyFont="1" applyFill="1" applyBorder="1"/>
    <xf numFmtId="49" fontId="0" fillId="2" borderId="0" xfId="0" applyNumberFormat="1" applyFont="1" applyFill="1"/>
    <xf numFmtId="0" fontId="0" fillId="6" borderId="0" xfId="0" applyFill="1"/>
    <xf numFmtId="11" fontId="0" fillId="0" borderId="0" xfId="0" applyNumberFormat="1" applyFont="1" applyFill="1"/>
    <xf numFmtId="49" fontId="0" fillId="0" borderId="0" xfId="0" applyNumberFormat="1" applyFont="1" applyFill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9" fillId="2" borderId="9" xfId="0" applyFont="1" applyFill="1" applyBorder="1"/>
  </cellXfs>
  <cellStyles count="82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Normal" xfId="0" builtinId="0"/>
  </cellStyles>
  <dxfs count="83"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440909312"/>
        <c:axId val="-334332112"/>
      </c:lineChart>
      <c:catAx>
        <c:axId val="-44090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34332112"/>
        <c:crosses val="autoZero"/>
        <c:auto val="1"/>
        <c:lblAlgn val="ctr"/>
        <c:lblOffset val="100"/>
        <c:noMultiLvlLbl val="0"/>
      </c:catAx>
      <c:valAx>
        <c:axId val="-33433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4090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440869616"/>
        <c:axId val="-440867056"/>
      </c:lineChart>
      <c:catAx>
        <c:axId val="-44086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40867056"/>
        <c:crosses val="autoZero"/>
        <c:auto val="1"/>
        <c:lblAlgn val="ctr"/>
        <c:lblOffset val="100"/>
        <c:noMultiLvlLbl val="0"/>
      </c:catAx>
      <c:valAx>
        <c:axId val="-44086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4086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34371856"/>
        <c:axId val="-334376192"/>
      </c:lineChart>
      <c:catAx>
        <c:axId val="-33437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34376192"/>
        <c:crosses val="autoZero"/>
        <c:auto val="1"/>
        <c:lblAlgn val="ctr"/>
        <c:lblOffset val="100"/>
        <c:noMultiLvlLbl val="0"/>
      </c:catAx>
      <c:valAx>
        <c:axId val="-33437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3437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16</xdr:row>
      <xdr:rowOff>69227</xdr:rowOff>
    </xdr:from>
    <xdr:to>
      <xdr:col>24</xdr:col>
      <xdr:colOff>274744</xdr:colOff>
      <xdr:row>35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3" connectionId="4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xtal_templates_4" connectionId="5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Relationship Id="rId3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443"/>
  <sheetViews>
    <sheetView tabSelected="1" zoomScale="110" zoomScaleNormal="110" zoomScalePageLayoutView="110" workbookViewId="0">
      <pane xSplit="3" ySplit="1" topLeftCell="D164" activePane="bottomRight" state="frozenSplit"/>
      <selection pane="topRight" activeCell="D1" sqref="D1"/>
      <selection pane="bottomLeft" activeCell="A2" sqref="A2"/>
      <selection pane="bottomRight" activeCell="A185" sqref="A185:XFD185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5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5.1640625" style="3" bestFit="1" customWidth="1"/>
    <col min="10" max="10" width="2.5" style="3" bestFit="1" customWidth="1"/>
    <col min="11" max="11" width="5.1640625" style="3" bestFit="1" customWidth="1"/>
    <col min="12" max="12" width="2.5" style="3" bestFit="1" customWidth="1"/>
    <col min="13" max="13" width="5.33203125" style="3" bestFit="1" customWidth="1"/>
    <col min="14" max="14" width="2.83203125" style="3" bestFit="1" customWidth="1"/>
    <col min="15" max="15" width="5.33203125" style="3" bestFit="1" customWidth="1"/>
    <col min="16" max="16" width="2.83203125" style="3" bestFit="1" customWidth="1"/>
    <col min="17" max="17" width="5.33203125" style="3" bestFit="1" customWidth="1"/>
    <col min="18" max="18" width="3.1640625" style="3" bestFit="1" customWidth="1"/>
    <col min="19" max="19" width="5.33203125" style="3" bestFit="1" customWidth="1"/>
    <col min="20" max="20" width="2.5" style="3" bestFit="1" customWidth="1"/>
    <col min="21" max="21" width="5.33203125" style="3" bestFit="1" customWidth="1"/>
    <col min="22" max="22" width="2.83203125" style="3" bestFit="1" customWidth="1"/>
    <col min="23" max="23" width="5.33203125" style="3" bestFit="1" customWidth="1"/>
    <col min="24" max="24" width="2.83203125" style="3" bestFit="1" customWidth="1"/>
    <col min="25" max="25" width="5.33203125" style="3" bestFit="1" customWidth="1"/>
    <col min="26" max="26" width="2.83203125" style="3" bestFit="1" customWidth="1"/>
    <col min="27" max="27" width="5.33203125" style="3" bestFit="1" customWidth="1"/>
    <col min="28" max="28" width="2.83203125" style="3" bestFit="1" customWidth="1"/>
    <col min="29" max="29" width="5.33203125" style="9" bestFit="1" customWidth="1"/>
    <col min="30" max="30" width="2.83203125" style="3" bestFit="1" customWidth="1"/>
    <col min="31" max="31" width="5.33203125" style="3" bestFit="1" customWidth="1"/>
    <col min="32" max="32" width="2.1640625" style="3" bestFit="1" customWidth="1"/>
    <col min="33" max="33" width="5.33203125" style="3" bestFit="1" customWidth="1"/>
    <col min="34" max="34" width="2.33203125" style="3" bestFit="1" customWidth="1"/>
    <col min="35" max="35" width="5.33203125" style="3" bestFit="1" customWidth="1"/>
    <col min="36" max="36" width="2.83203125" style="3" bestFit="1" customWidth="1"/>
    <col min="37" max="37" width="5.33203125" style="3" bestFit="1" customWidth="1"/>
    <col min="38" max="38" width="2.83203125" style="3" bestFit="1" customWidth="1"/>
    <col min="39" max="39" width="5.33203125" style="3" bestFit="1" customWidth="1"/>
    <col min="40" max="40" width="2.83203125" style="3" bestFit="1" customWidth="1"/>
    <col min="41" max="41" width="5.33203125" style="3" bestFit="1" customWidth="1"/>
    <col min="42" max="42" width="2.5" style="3" bestFit="1" customWidth="1"/>
    <col min="43" max="43" width="5.33203125" style="3" bestFit="1" customWidth="1"/>
    <col min="44" max="44" width="2.83203125" style="3" bestFit="1" customWidth="1"/>
    <col min="45" max="45" width="5.33203125" style="3" bestFit="1" customWidth="1"/>
    <col min="46" max="46" width="2.83203125" style="3" bestFit="1" customWidth="1"/>
    <col min="47" max="47" width="5.33203125" style="3" bestFit="1" customWidth="1"/>
    <col min="48" max="48" width="2.33203125" style="3" bestFit="1" customWidth="1"/>
    <col min="49" max="49" width="5.33203125" style="3" bestFit="1" customWidth="1"/>
    <col min="50" max="50" width="2.83203125" style="3" bestFit="1" customWidth="1"/>
    <col min="51" max="51" width="5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9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1077</v>
      </c>
      <c r="B1" s="61" t="s">
        <v>31</v>
      </c>
      <c r="C1" s="61" t="s">
        <v>30</v>
      </c>
      <c r="E1" s="61" t="s">
        <v>1061</v>
      </c>
      <c r="G1" s="61" t="s">
        <v>1062</v>
      </c>
      <c r="I1" s="62" t="s">
        <v>1078</v>
      </c>
      <c r="K1" s="62" t="s">
        <v>1079</v>
      </c>
      <c r="M1" s="61" t="s">
        <v>1063</v>
      </c>
      <c r="O1" s="61" t="s">
        <v>1064</v>
      </c>
      <c r="Q1" s="61" t="s">
        <v>1080</v>
      </c>
      <c r="S1" s="61" t="s">
        <v>1081</v>
      </c>
      <c r="U1" s="61" t="s">
        <v>1065</v>
      </c>
      <c r="W1" s="61" t="s">
        <v>1066</v>
      </c>
      <c r="Y1" s="61" t="s">
        <v>1093</v>
      </c>
      <c r="AA1" s="61" t="s">
        <v>1094</v>
      </c>
      <c r="AC1" s="104" t="s">
        <v>1067</v>
      </c>
      <c r="AE1" s="61" t="s">
        <v>1068</v>
      </c>
      <c r="AG1" s="61" t="s">
        <v>1096</v>
      </c>
      <c r="AI1" s="61" t="s">
        <v>1097</v>
      </c>
      <c r="AK1" s="61" t="s">
        <v>1069</v>
      </c>
      <c r="AM1" s="61" t="s">
        <v>1070</v>
      </c>
      <c r="AO1" s="61" t="s">
        <v>1071</v>
      </c>
      <c r="AQ1" s="61" t="s">
        <v>1072</v>
      </c>
      <c r="AS1" s="61" t="s">
        <v>1073</v>
      </c>
      <c r="AU1" s="61" t="s">
        <v>1074</v>
      </c>
      <c r="AW1" s="61" t="s">
        <v>1075</v>
      </c>
      <c r="AY1" s="61" t="s">
        <v>1076</v>
      </c>
      <c r="AZ1" s="63" t="s">
        <v>99</v>
      </c>
      <c r="BA1" s="64" t="s">
        <v>1381</v>
      </c>
      <c r="BB1" s="64" t="s">
        <v>1203</v>
      </c>
      <c r="BC1" s="61" t="s">
        <v>1168</v>
      </c>
      <c r="BD1" s="64" t="s">
        <v>1100</v>
      </c>
      <c r="BE1" s="61" t="s">
        <v>1374</v>
      </c>
      <c r="BF1" s="118" t="s">
        <v>1427</v>
      </c>
      <c r="BG1" s="76" t="s">
        <v>1382</v>
      </c>
      <c r="BH1" s="76" t="s">
        <v>1383</v>
      </c>
      <c r="BI1" s="61" t="s">
        <v>1108</v>
      </c>
      <c r="BJ1" s="65" t="s">
        <v>1061</v>
      </c>
      <c r="BK1" s="66" t="s">
        <v>1078</v>
      </c>
      <c r="BL1" s="67" t="s">
        <v>1063</v>
      </c>
      <c r="BM1" s="67" t="s">
        <v>1080</v>
      </c>
      <c r="BN1" s="67" t="s">
        <v>1065</v>
      </c>
      <c r="BO1" s="67" t="s">
        <v>1093</v>
      </c>
      <c r="BP1" s="67" t="s">
        <v>1067</v>
      </c>
      <c r="BQ1" s="67" t="s">
        <v>1096</v>
      </c>
      <c r="BR1" s="67" t="s">
        <v>1069</v>
      </c>
      <c r="BS1" s="67" t="s">
        <v>1071</v>
      </c>
      <c r="BT1" s="67" t="s">
        <v>1073</v>
      </c>
      <c r="BU1" s="68" t="s">
        <v>1075</v>
      </c>
      <c r="BV1" s="65" t="s">
        <v>1061</v>
      </c>
      <c r="BW1" s="69" t="s">
        <v>1078</v>
      </c>
      <c r="BX1" s="68" t="s">
        <v>1063</v>
      </c>
      <c r="BY1" s="68" t="s">
        <v>1080</v>
      </c>
      <c r="BZ1" s="68" t="s">
        <v>1065</v>
      </c>
      <c r="CA1" s="68" t="s">
        <v>1093</v>
      </c>
      <c r="CB1" s="68" t="s">
        <v>1067</v>
      </c>
      <c r="CC1" s="68" t="s">
        <v>1096</v>
      </c>
      <c r="CD1" s="68" t="s">
        <v>1069</v>
      </c>
      <c r="CE1" s="68" t="s">
        <v>1071</v>
      </c>
      <c r="CF1" s="68" t="s">
        <v>1073</v>
      </c>
      <c r="CG1" s="68" t="s">
        <v>1075</v>
      </c>
      <c r="CH1" s="65" t="s">
        <v>1062</v>
      </c>
      <c r="CI1" s="69" t="s">
        <v>1079</v>
      </c>
      <c r="CJ1" s="68" t="s">
        <v>1064</v>
      </c>
      <c r="CK1" s="68" t="s">
        <v>1081</v>
      </c>
      <c r="CL1" s="68" t="s">
        <v>1066</v>
      </c>
      <c r="CM1" s="68" t="s">
        <v>1094</v>
      </c>
      <c r="CN1" s="68" t="s">
        <v>1068</v>
      </c>
      <c r="CO1" s="68" t="s">
        <v>1097</v>
      </c>
      <c r="CP1" s="68" t="s">
        <v>1070</v>
      </c>
      <c r="CQ1" s="68" t="s">
        <v>1072</v>
      </c>
      <c r="CR1" s="68" t="s">
        <v>1074</v>
      </c>
      <c r="CS1" s="68" t="s">
        <v>1076</v>
      </c>
      <c r="CT1" s="61" t="s">
        <v>1289</v>
      </c>
    </row>
    <row r="2" spans="1:1029" x14ac:dyDescent="0.2">
      <c r="A2" s="3" t="str">
        <f t="shared" ref="A2:A73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73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3" si="2">_xlfn.AGGREGATE(9,6,CH2:CS2)-_xlfn.AGGREGATE(9,6,BV2:CG2)+12</f>
        <v>261</v>
      </c>
      <c r="BD2" s="34" t="s">
        <v>23</v>
      </c>
      <c r="BE2" s="3" t="s">
        <v>23</v>
      </c>
      <c r="BF2" s="119" t="s">
        <v>23</v>
      </c>
      <c r="BG2" s="49" t="s">
        <v>1373</v>
      </c>
      <c r="BH2" s="49" t="s">
        <v>1378</v>
      </c>
      <c r="BI2" s="1"/>
      <c r="BJ2" s="70" t="s">
        <v>1288</v>
      </c>
      <c r="BK2" s="57" t="s">
        <v>1288</v>
      </c>
      <c r="BL2" s="57" t="s">
        <v>1288</v>
      </c>
      <c r="BM2" s="57" t="s">
        <v>1288</v>
      </c>
      <c r="BN2" s="57" t="s">
        <v>1288</v>
      </c>
      <c r="BO2" s="57" t="s">
        <v>1288</v>
      </c>
      <c r="BP2" s="57" t="s">
        <v>1288</v>
      </c>
      <c r="BQ2" s="57" t="s">
        <v>1288</v>
      </c>
      <c r="BR2" s="57" t="s">
        <v>1288</v>
      </c>
      <c r="BS2" s="57" t="s">
        <v>1288</v>
      </c>
      <c r="BT2" s="57" t="s">
        <v>1288</v>
      </c>
      <c r="BU2" s="57" t="s">
        <v>1288</v>
      </c>
      <c r="BV2" s="70">
        <f t="shared" ref="BV2:BV37" si="3">E2</f>
        <v>45</v>
      </c>
      <c r="BW2" s="71">
        <f t="shared" ref="BW2:BW37" si="4">I2</f>
        <v>78</v>
      </c>
      <c r="BX2" s="72">
        <f t="shared" ref="BX2:BX37" si="5">M2</f>
        <v>82</v>
      </c>
      <c r="BY2" s="71">
        <f t="shared" ref="BY2:BY37" si="6">Q2</f>
        <v>114</v>
      </c>
      <c r="BZ2" s="72">
        <f t="shared" ref="BZ2:BZ37" si="7">U2</f>
        <v>118</v>
      </c>
      <c r="CA2" s="71">
        <f t="shared" ref="CA2:CA37" si="8">Y2</f>
        <v>154</v>
      </c>
      <c r="CB2" s="72">
        <f t="shared" ref="CB2:CB37" si="9">AC2</f>
        <v>162</v>
      </c>
      <c r="CC2" s="71">
        <f t="shared" ref="CC2:CC37" si="10">AG2</f>
        <v>199</v>
      </c>
      <c r="CD2" s="72">
        <f t="shared" ref="CD2:CD37" si="11">AK2</f>
        <v>205</v>
      </c>
      <c r="CE2" s="71">
        <f t="shared" ref="CE2:CE37" si="12">AO2</f>
        <v>303</v>
      </c>
      <c r="CF2" s="72">
        <f t="shared" ref="CF2:CF37" si="13">AS2</f>
        <v>347</v>
      </c>
      <c r="CG2" s="71">
        <f t="shared" ref="CG2:CG37" si="14">AW2</f>
        <v>373</v>
      </c>
      <c r="CH2" s="70">
        <f t="shared" ref="CH2:CH37" si="15">G2</f>
        <v>77</v>
      </c>
      <c r="CI2" s="71">
        <f t="shared" ref="CI2:CI37" si="16">K2</f>
        <v>81</v>
      </c>
      <c r="CJ2" s="72">
        <f t="shared" ref="CJ2:CJ37" si="17">O2</f>
        <v>113</v>
      </c>
      <c r="CK2" s="72">
        <f t="shared" ref="CK2:CK37" si="18">S2</f>
        <v>117</v>
      </c>
      <c r="CL2" s="72">
        <f t="shared" ref="CL2:CL37" si="19">W2</f>
        <v>153</v>
      </c>
      <c r="CM2" s="72">
        <f t="shared" ref="CM2:CM37" si="20">AA2</f>
        <v>161</v>
      </c>
      <c r="CN2" s="72">
        <f t="shared" ref="CN2:CN37" si="21">AE2</f>
        <v>187</v>
      </c>
      <c r="CO2" s="72">
        <f t="shared" ref="CO2:CO37" si="22">AI2</f>
        <v>201</v>
      </c>
      <c r="CP2" s="72">
        <f t="shared" ref="CP2:CP37" si="23">AM2</f>
        <v>244</v>
      </c>
      <c r="CQ2" s="72">
        <f t="shared" ref="CQ2:CQ37" si="24">AQ2</f>
        <v>339</v>
      </c>
      <c r="CR2" s="72">
        <f t="shared" ref="CR2:CR37" si="25">AU2</f>
        <v>372</v>
      </c>
      <c r="CS2" s="72">
        <f t="shared" ref="CS2:CS37" si="26">AY2</f>
        <v>384</v>
      </c>
      <c r="CT2" s="23">
        <f t="shared" ref="CT2:CT37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1430</v>
      </c>
      <c r="BE3" s="3" t="s">
        <v>1429</v>
      </c>
      <c r="BF3" s="119">
        <v>2.8</v>
      </c>
      <c r="BG3" s="49" t="s">
        <v>1378</v>
      </c>
      <c r="BH3" s="49" t="s">
        <v>1378</v>
      </c>
      <c r="BI3" s="1"/>
      <c r="BJ3" s="70" t="s">
        <v>1288</v>
      </c>
      <c r="BK3" s="57" t="s">
        <v>1288</v>
      </c>
      <c r="BL3" s="57" t="s">
        <v>1288</v>
      </c>
      <c r="BM3" s="57" t="s">
        <v>1288</v>
      </c>
      <c r="BN3" s="57" t="s">
        <v>1288</v>
      </c>
      <c r="BO3" s="57" t="s">
        <v>1288</v>
      </c>
      <c r="BP3" s="57" t="s">
        <v>1288</v>
      </c>
      <c r="BQ3" s="57" t="s">
        <v>1288</v>
      </c>
      <c r="BR3" s="57" t="s">
        <v>1288</v>
      </c>
      <c r="BS3" s="57" t="s">
        <v>1288</v>
      </c>
      <c r="BT3" s="57" t="s">
        <v>1288</v>
      </c>
      <c r="BU3" s="57" t="s">
        <v>1288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1429</v>
      </c>
      <c r="BF4" s="119">
        <v>2.7</v>
      </c>
      <c r="BG4" s="49" t="s">
        <v>1378</v>
      </c>
      <c r="BH4" s="49" t="s">
        <v>1378</v>
      </c>
      <c r="BI4" s="1"/>
      <c r="BJ4" s="70" t="s">
        <v>1288</v>
      </c>
      <c r="BK4" s="57" t="s">
        <v>1288</v>
      </c>
      <c r="BL4" s="57" t="s">
        <v>1288</v>
      </c>
      <c r="BM4" s="57" t="s">
        <v>1288</v>
      </c>
      <c r="BN4" s="57" t="s">
        <v>1288</v>
      </c>
      <c r="BO4" s="57" t="s">
        <v>1288</v>
      </c>
      <c r="BP4" s="57" t="s">
        <v>1288</v>
      </c>
      <c r="BQ4" s="57" t="s">
        <v>1288</v>
      </c>
      <c r="BR4" s="57" t="s">
        <v>1288</v>
      </c>
      <c r="BS4" s="57" t="s">
        <v>1288</v>
      </c>
      <c r="BT4" s="57" t="s">
        <v>1288</v>
      </c>
      <c r="BU4" s="57" t="s">
        <v>1288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>CONCATENATE(B5,"_",C5)</f>
        <v>5ht1b_human_5V54</v>
      </c>
      <c r="B5" s="3" t="s">
        <v>34</v>
      </c>
      <c r="C5" s="3" t="s">
        <v>1468</v>
      </c>
      <c r="D5" s="3" t="str">
        <f>IFERROR(MID(VLOOKUP($B5,Seqs!$A:$B,2,0),E5,1),"")</f>
        <v>S</v>
      </c>
      <c r="E5" s="3">
        <v>45</v>
      </c>
      <c r="F5" s="3" t="str">
        <f>IFERROR(MID(VLOOKUP($B5,Seqs!$A:$B,2,0),G5,1),"")</f>
        <v>T</v>
      </c>
      <c r="G5" s="3">
        <v>77</v>
      </c>
      <c r="H5" s="3" t="str">
        <f>IFERROR(MID(VLOOKUP($B5,Seqs!$A:$B,2,0),I5,1),"")</f>
        <v>R</v>
      </c>
      <c r="I5" s="23">
        <v>78</v>
      </c>
      <c r="J5" s="3" t="str">
        <f>IFERROR(MID(VLOOKUP($B5,Seqs!$A:$B,2,0),K5,1),"")</f>
        <v>H</v>
      </c>
      <c r="K5" s="23">
        <v>81</v>
      </c>
      <c r="L5" s="3" t="str">
        <f>IFERROR(MID(VLOOKUP($B5,Seqs!$A:$B,2,0),M5,1),"")</f>
        <v>T</v>
      </c>
      <c r="M5" s="3">
        <v>82</v>
      </c>
      <c r="N5" s="3" t="str">
        <f>IFERROR(MID(VLOOKUP($B5,Seqs!$A:$B,2,0),O5,1),"")</f>
        <v>G</v>
      </c>
      <c r="O5" s="3">
        <v>113</v>
      </c>
      <c r="P5" s="3" t="str">
        <f>IFERROR(MID(VLOOKUP($B5,Seqs!$A:$B,2,0),Q5,1),"")</f>
        <v>R</v>
      </c>
      <c r="Q5" s="3">
        <v>114</v>
      </c>
      <c r="R5" s="3" t="str">
        <f>IFERROR(MID(VLOOKUP($B5,Seqs!$A:$B,2,0),S5,1),"")</f>
        <v>L</v>
      </c>
      <c r="S5" s="3">
        <v>117</v>
      </c>
      <c r="T5" s="3" t="str">
        <f>IFERROR(MID(VLOOKUP($B5,Seqs!$A:$B,2,0),U5,1),"")</f>
        <v>G</v>
      </c>
      <c r="U5" s="3">
        <v>118</v>
      </c>
      <c r="V5" s="3" t="str">
        <f>IFERROR(MID(VLOOKUP($B5,Seqs!$A:$B,2,0),W5,1),"")</f>
        <v>T</v>
      </c>
      <c r="W5" s="3">
        <v>152</v>
      </c>
      <c r="X5" s="3" t="str">
        <f>IFERROR(MID(VLOOKUP($B5,Seqs!$A:$B,2,0),Y5,1),"")</f>
        <v>A</v>
      </c>
      <c r="Y5" s="3">
        <v>154</v>
      </c>
      <c r="Z5" s="3" t="str">
        <f>IFERROR(MID(VLOOKUP($B5,Seqs!$A:$B,2,0),AA5,1),"")</f>
        <v>R</v>
      </c>
      <c r="AA5" s="3">
        <v>161</v>
      </c>
      <c r="AB5" s="3" t="str">
        <f>IFERROR(MID(VLOOKUP($B5,Seqs!$A:$B,2,0),AC5,1),"")</f>
        <v>T</v>
      </c>
      <c r="AC5" s="3">
        <v>162</v>
      </c>
      <c r="AD5" s="3" t="str">
        <f>IFERROR(MID(VLOOKUP($B5,Seqs!$A:$B,2,0),AE5,1),"")</f>
        <v>P</v>
      </c>
      <c r="AE5" s="3">
        <v>184</v>
      </c>
      <c r="AF5" s="3" t="str">
        <f>IFERROR(MID(VLOOKUP($B5,Seqs!$A:$B,2,0),AG5,1),"")</f>
        <v>C</v>
      </c>
      <c r="AG5" s="3">
        <v>199</v>
      </c>
      <c r="AH5" s="3" t="str">
        <f>IFERROR(MID(VLOOKUP($B5,Seqs!$A:$B,2,0),AI5,1),"")</f>
        <v>V</v>
      </c>
      <c r="AI5" s="3">
        <v>201</v>
      </c>
      <c r="AJ5" s="3" t="str">
        <f>IFERROR(MID(VLOOKUP($B5,Seqs!$A:$B,2,0),AK5,1),"")</f>
        <v>H</v>
      </c>
      <c r="AK5" s="3">
        <v>205</v>
      </c>
      <c r="AL5" s="3" t="str">
        <f>IFERROR(MID(VLOOKUP($B5,Seqs!$A:$B,2,0),AM5,1),"")</f>
        <v>I</v>
      </c>
      <c r="AM5" s="3">
        <v>239</v>
      </c>
      <c r="AN5" s="3" t="str">
        <f>IFERROR(MID(VLOOKUP($B5,Seqs!$A:$B,2,0),AO5,1),"")</f>
        <v>R</v>
      </c>
      <c r="AO5" s="3">
        <v>308</v>
      </c>
      <c r="AP5" s="3" t="str">
        <f>IFERROR(MID(VLOOKUP($B5,Seqs!$A:$B,2,0),AQ5,1),"")</f>
        <v>M</v>
      </c>
      <c r="AQ5" s="3">
        <v>337</v>
      </c>
      <c r="AR5" s="3" t="str">
        <f>IFERROR(MID(VLOOKUP($B5,Seqs!$A:$B,2,0),AS5,1),"")</f>
        <v>F</v>
      </c>
      <c r="AS5" s="3">
        <v>346</v>
      </c>
      <c r="AT5" s="3" t="str">
        <f>IFERROR(MID(VLOOKUP($B5,Seqs!$A:$B,2,0),AU5,1),"")</f>
        <v>S</v>
      </c>
      <c r="AU5" s="3">
        <v>372</v>
      </c>
      <c r="AV5" s="3" t="str">
        <f>IFERROR(MID(VLOOKUP($B5,Seqs!$A:$B,2,0),AW5,1),"")</f>
        <v>N</v>
      </c>
      <c r="AW5" s="3">
        <v>373</v>
      </c>
      <c r="AX5" s="3" t="str">
        <f>IFERROR(MID(VLOOKUP($B5,Seqs!$A:$B,2,0),AY5,1),"")</f>
        <v>I</v>
      </c>
      <c r="AY5" s="3">
        <v>384</v>
      </c>
      <c r="AZ5" s="77" t="str">
        <f>VLOOKUP(B5,Classification!A:D,2,0)</f>
        <v>A</v>
      </c>
      <c r="BA5" s="94" t="str">
        <f>VLOOKUP(B5,Classification!A:D,4,0)</f>
        <v>5-Hydroxytryptamine</v>
      </c>
      <c r="BB5" s="27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23">
        <f>_xlfn.AGGREGATE(9,6,CH5:CS5)-_xlfn.AGGREGATE(9,6,BV5:CG5)+12</f>
        <v>246</v>
      </c>
      <c r="BD5" s="4" t="s">
        <v>23</v>
      </c>
      <c r="BE5" s="3" t="s">
        <v>1429</v>
      </c>
      <c r="BF5" s="119">
        <v>3.7</v>
      </c>
      <c r="BG5" s="49" t="s">
        <v>1378</v>
      </c>
      <c r="BH5" s="49" t="s">
        <v>1378</v>
      </c>
      <c r="BI5" s="1"/>
      <c r="BJ5" s="70" t="s">
        <v>1288</v>
      </c>
      <c r="BK5" s="57" t="s">
        <v>1288</v>
      </c>
      <c r="BL5" s="57" t="s">
        <v>1288</v>
      </c>
      <c r="BM5" s="57" t="s">
        <v>1288</v>
      </c>
      <c r="BN5" s="57" t="s">
        <v>1288</v>
      </c>
      <c r="BO5" s="57" t="s">
        <v>1288</v>
      </c>
      <c r="BP5" s="57" t="s">
        <v>1288</v>
      </c>
      <c r="BQ5" s="57" t="s">
        <v>1288</v>
      </c>
      <c r="BR5" s="57" t="s">
        <v>1288</v>
      </c>
      <c r="BS5" s="57" t="s">
        <v>1288</v>
      </c>
      <c r="BT5" s="57" t="s">
        <v>1288</v>
      </c>
      <c r="BU5" s="57" t="s">
        <v>1288</v>
      </c>
      <c r="BV5" s="70">
        <f>E5</f>
        <v>45</v>
      </c>
      <c r="BW5" s="71">
        <f>I5</f>
        <v>78</v>
      </c>
      <c r="BX5" s="72">
        <f>M5</f>
        <v>82</v>
      </c>
      <c r="BY5" s="71">
        <f>Q5</f>
        <v>114</v>
      </c>
      <c r="BZ5" s="72">
        <f>U5</f>
        <v>118</v>
      </c>
      <c r="CA5" s="71">
        <f>Y5</f>
        <v>154</v>
      </c>
      <c r="CB5" s="72">
        <f>AC5</f>
        <v>162</v>
      </c>
      <c r="CC5" s="71">
        <f>AG5</f>
        <v>199</v>
      </c>
      <c r="CD5" s="72">
        <f>AK5</f>
        <v>205</v>
      </c>
      <c r="CE5" s="71">
        <f>AO5</f>
        <v>308</v>
      </c>
      <c r="CF5" s="72">
        <f>AS5</f>
        <v>346</v>
      </c>
      <c r="CG5" s="71">
        <f>AW5</f>
        <v>373</v>
      </c>
      <c r="CH5" s="70">
        <f>G5</f>
        <v>77</v>
      </c>
      <c r="CI5" s="71">
        <f>K5</f>
        <v>81</v>
      </c>
      <c r="CJ5" s="72">
        <f>O5</f>
        <v>113</v>
      </c>
      <c r="CK5" s="72">
        <f>S5</f>
        <v>117</v>
      </c>
      <c r="CL5" s="72">
        <f>W5</f>
        <v>152</v>
      </c>
      <c r="CM5" s="72">
        <f>AA5</f>
        <v>161</v>
      </c>
      <c r="CN5" s="72">
        <f>AE5</f>
        <v>184</v>
      </c>
      <c r="CO5" s="72">
        <f>AI5</f>
        <v>201</v>
      </c>
      <c r="CP5" s="72">
        <f>AM5</f>
        <v>239</v>
      </c>
      <c r="CQ5" s="72">
        <f>AQ5</f>
        <v>337</v>
      </c>
      <c r="CR5" s="72">
        <f>AU5</f>
        <v>372</v>
      </c>
      <c r="CS5" s="72">
        <f>AY5</f>
        <v>384</v>
      </c>
      <c r="CT5" s="23">
        <f>M5-K5</f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>CONCATENATE(B6,"_",C6)</f>
        <v>5ht1b_human_6G79</v>
      </c>
      <c r="B6" s="3" t="s">
        <v>34</v>
      </c>
      <c r="C6" s="3" t="s">
        <v>1505</v>
      </c>
      <c r="D6" s="3" t="str">
        <f>IFERROR(MID(VLOOKUP($B6,Seqs!$A:$B,2,0),E6,1),"")</f>
        <v>S</v>
      </c>
      <c r="E6" s="3">
        <v>45</v>
      </c>
      <c r="F6" s="3" t="str">
        <f>IFERROR(MID(VLOOKUP($B6,Seqs!$A:$B,2,0),G6,1),"")</f>
        <v>T</v>
      </c>
      <c r="G6" s="3">
        <v>77</v>
      </c>
      <c r="H6" s="3" t="str">
        <f>IFERROR(MID(VLOOKUP($B6,Seqs!$A:$B,2,0),I6,1),"")</f>
        <v>R</v>
      </c>
      <c r="I6" s="23">
        <v>78</v>
      </c>
      <c r="J6" s="3" t="str">
        <f>IFERROR(MID(VLOOKUP($B6,Seqs!$A:$B,2,0),K6,1),"")</f>
        <v>H</v>
      </c>
      <c r="K6" s="23">
        <v>81</v>
      </c>
      <c r="L6" s="3" t="str">
        <f>IFERROR(MID(VLOOKUP($B6,Seqs!$A:$B,2,0),M6,1),"")</f>
        <v>T</v>
      </c>
      <c r="M6" s="3">
        <v>82</v>
      </c>
      <c r="N6" s="3" t="str">
        <f>IFERROR(MID(VLOOKUP($B6,Seqs!$A:$B,2,0),O6,1),"")</f>
        <v>G</v>
      </c>
      <c r="O6" s="3">
        <v>113</v>
      </c>
      <c r="P6" s="3" t="str">
        <f>IFERROR(MID(VLOOKUP($B6,Seqs!$A:$B,2,0),Q6,1),"")</f>
        <v>R</v>
      </c>
      <c r="Q6" s="3">
        <v>114</v>
      </c>
      <c r="R6" s="3" t="str">
        <f>IFERROR(MID(VLOOKUP($B6,Seqs!$A:$B,2,0),S6,1),"")</f>
        <v>L</v>
      </c>
      <c r="S6" s="3">
        <v>117</v>
      </c>
      <c r="T6" s="3" t="str">
        <f>IFERROR(MID(VLOOKUP($B6,Seqs!$A:$B,2,0),U6,1),"")</f>
        <v>G</v>
      </c>
      <c r="U6" s="3">
        <v>118</v>
      </c>
      <c r="V6" s="3" t="str">
        <f>IFERROR(MID(VLOOKUP($B6,Seqs!$A:$B,2,0),W6,1),"")</f>
        <v>D</v>
      </c>
      <c r="W6" s="3">
        <v>153</v>
      </c>
      <c r="X6" s="3" t="str">
        <f>IFERROR(MID(VLOOKUP($B6,Seqs!$A:$B,2,0),Y6,1),"")</f>
        <v>A</v>
      </c>
      <c r="Y6" s="3">
        <v>154</v>
      </c>
      <c r="Z6" s="3" t="str">
        <f>IFERROR(MID(VLOOKUP($B6,Seqs!$A:$B,2,0),AA6,1),"")</f>
        <v>R</v>
      </c>
      <c r="AA6" s="3">
        <v>161</v>
      </c>
      <c r="AB6" s="3" t="str">
        <f>IFERROR(MID(VLOOKUP($B6,Seqs!$A:$B,2,0),AC6,1),"")</f>
        <v>T</v>
      </c>
      <c r="AC6" s="3">
        <v>162</v>
      </c>
      <c r="AD6" s="3" t="str">
        <f>IFERROR(MID(VLOOKUP($B6,Seqs!$A:$B,2,0),AE6,1),"")</f>
        <v>P</v>
      </c>
      <c r="AE6" s="3">
        <v>183</v>
      </c>
      <c r="AF6" s="3" t="str">
        <f>IFERROR(MID(VLOOKUP($B6,Seqs!$A:$B,2,0),AG6,1),"")</f>
        <v>C</v>
      </c>
      <c r="AG6" s="3">
        <v>199</v>
      </c>
      <c r="AH6" s="3" t="str">
        <f>IFERROR(MID(VLOOKUP($B6,Seqs!$A:$B,2,0),AI6,1),"")</f>
        <v>V</v>
      </c>
      <c r="AI6" s="3">
        <v>201</v>
      </c>
      <c r="AJ6" s="3" t="str">
        <f>IFERROR(MID(VLOOKUP($B6,Seqs!$A:$B,2,0),AK6,1),"")</f>
        <v>H</v>
      </c>
      <c r="AK6" s="3">
        <v>205</v>
      </c>
      <c r="AL6" s="3" t="str">
        <f>IFERROR(MID(VLOOKUP($B6,Seqs!$A:$B,2,0),AM6,1),"")</f>
        <v>L</v>
      </c>
      <c r="AM6" s="3">
        <v>240</v>
      </c>
      <c r="AN6" s="3" t="str">
        <f>IFERROR(MID(VLOOKUP($B6,Seqs!$A:$B,2,0),AO6,1),"")</f>
        <v>M</v>
      </c>
      <c r="AO6" s="3">
        <v>305</v>
      </c>
      <c r="AP6" s="3" t="str">
        <f>IFERROR(MID(VLOOKUP($B6,Seqs!$A:$B,2,0),AQ6,1),"")</f>
        <v>M</v>
      </c>
      <c r="AQ6" s="3">
        <v>337</v>
      </c>
      <c r="AR6" s="3" t="str">
        <f>IFERROR(MID(VLOOKUP($B6,Seqs!$A:$B,2,0),AS6,1),"")</f>
        <v>L</v>
      </c>
      <c r="AS6" s="3">
        <v>348</v>
      </c>
      <c r="AT6" s="3" t="str">
        <f>IFERROR(MID(VLOOKUP($B6,Seqs!$A:$B,2,0),AU6,1),"")</f>
        <v>S</v>
      </c>
      <c r="AU6" s="3">
        <v>372</v>
      </c>
      <c r="AV6" s="3" t="str">
        <f>IFERROR(MID(VLOOKUP($B6,Seqs!$A:$B,2,0),AW6,1),"")</f>
        <v>N</v>
      </c>
      <c r="AW6" s="3">
        <v>373</v>
      </c>
      <c r="AX6" s="3" t="str">
        <f>IFERROR(MID(VLOOKUP($B6,Seqs!$A:$B,2,0),AY6,1),"")</f>
        <v>I</v>
      </c>
      <c r="AY6" s="3">
        <v>384</v>
      </c>
      <c r="AZ6" s="77" t="str">
        <f>VLOOKUP(B6,Classification!A:D,2,0)</f>
        <v>A</v>
      </c>
      <c r="BA6" s="94" t="str">
        <f>VLOOKUP(B6,Classification!A:D,4,0)</f>
        <v>5-Hydroxytryptamine</v>
      </c>
      <c r="BB6" s="27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23">
        <f>_xlfn.AGGREGATE(9,6,CH6:CS6)-_xlfn.AGGREGATE(9,6,BV6:CG6)+12</f>
        <v>248</v>
      </c>
      <c r="BD6" s="4" t="s">
        <v>1376</v>
      </c>
      <c r="BE6" s="3" t="s">
        <v>1292</v>
      </c>
      <c r="BF6" s="119">
        <v>3.78</v>
      </c>
      <c r="BG6" s="49" t="s">
        <v>1019</v>
      </c>
      <c r="BH6" s="49" t="s">
        <v>1019</v>
      </c>
      <c r="BI6" s="1"/>
      <c r="BJ6" s="70" t="s">
        <v>1288</v>
      </c>
      <c r="BK6" s="57" t="s">
        <v>1288</v>
      </c>
      <c r="BL6" s="57" t="s">
        <v>1288</v>
      </c>
      <c r="BM6" s="57" t="s">
        <v>1288</v>
      </c>
      <c r="BN6" s="57" t="s">
        <v>1288</v>
      </c>
      <c r="BO6" s="57" t="s">
        <v>1288</v>
      </c>
      <c r="BP6" s="57" t="s">
        <v>1288</v>
      </c>
      <c r="BQ6" s="57" t="s">
        <v>1288</v>
      </c>
      <c r="BR6" s="57" t="s">
        <v>1288</v>
      </c>
      <c r="BS6" s="57" t="s">
        <v>1288</v>
      </c>
      <c r="BT6" s="57" t="s">
        <v>1288</v>
      </c>
      <c r="BU6" s="57" t="s">
        <v>1288</v>
      </c>
      <c r="BV6" s="70">
        <f>E6</f>
        <v>45</v>
      </c>
      <c r="BW6" s="71">
        <f>I6</f>
        <v>78</v>
      </c>
      <c r="BX6" s="72">
        <f>M6</f>
        <v>82</v>
      </c>
      <c r="BY6" s="71">
        <f>Q6</f>
        <v>114</v>
      </c>
      <c r="BZ6" s="72">
        <f>U6</f>
        <v>118</v>
      </c>
      <c r="CA6" s="71">
        <f>Y6</f>
        <v>154</v>
      </c>
      <c r="CB6" s="72">
        <f>AC6</f>
        <v>162</v>
      </c>
      <c r="CC6" s="71">
        <f>AG6</f>
        <v>199</v>
      </c>
      <c r="CD6" s="72">
        <f>AK6</f>
        <v>205</v>
      </c>
      <c r="CE6" s="71">
        <f>AO6</f>
        <v>305</v>
      </c>
      <c r="CF6" s="72">
        <f>AS6</f>
        <v>348</v>
      </c>
      <c r="CG6" s="71">
        <f>AW6</f>
        <v>373</v>
      </c>
      <c r="CH6" s="70">
        <f>G6</f>
        <v>77</v>
      </c>
      <c r="CI6" s="71">
        <f>K6</f>
        <v>81</v>
      </c>
      <c r="CJ6" s="72">
        <f>O6</f>
        <v>113</v>
      </c>
      <c r="CK6" s="72">
        <f>S6</f>
        <v>117</v>
      </c>
      <c r="CL6" s="72">
        <f>W6</f>
        <v>153</v>
      </c>
      <c r="CM6" s="72">
        <f>AA6</f>
        <v>161</v>
      </c>
      <c r="CN6" s="72">
        <f>AE6</f>
        <v>183</v>
      </c>
      <c r="CO6" s="72">
        <f>AI6</f>
        <v>201</v>
      </c>
      <c r="CP6" s="72">
        <f>AM6</f>
        <v>240</v>
      </c>
      <c r="CQ6" s="72">
        <f>AQ6</f>
        <v>337</v>
      </c>
      <c r="CR6" s="72">
        <f>AU6</f>
        <v>372</v>
      </c>
      <c r="CS6" s="72">
        <f>AY6</f>
        <v>384</v>
      </c>
      <c r="CT6" s="23">
        <f>M6-K6</f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s="12" customFormat="1" x14ac:dyDescent="0.2">
      <c r="A7" s="9" t="str">
        <f t="shared" ref="A7:A9" si="28">CONCATENATE(B7,"_",C7)</f>
        <v>5ht2a_human__wt</v>
      </c>
      <c r="B7" s="9" t="s">
        <v>132</v>
      </c>
      <c r="C7" s="9" t="s">
        <v>100</v>
      </c>
      <c r="D7" s="9" t="str">
        <f>IFERROR(MID(VLOOKUP($B7,Seqs!$A:$B,2,0),E7,1),"")</f>
        <v>L</v>
      </c>
      <c r="E7" s="9">
        <v>69</v>
      </c>
      <c r="F7" s="9" t="str">
        <f>IFERROR(MID(VLOOKUP($B7,Seqs!$A:$B,2,0),G7,1),"")</f>
        <v>E</v>
      </c>
      <c r="G7" s="9">
        <v>102</v>
      </c>
      <c r="H7" s="9" t="str">
        <f>IFERROR(MID(VLOOKUP($B7,Seqs!$A:$B,2,0),I7,1),"")</f>
        <v>K</v>
      </c>
      <c r="I7" s="109">
        <v>103</v>
      </c>
      <c r="J7" s="9" t="str">
        <f>IFERROR(MID(VLOOKUP($B7,Seqs!$A:$B,2,0),K7,1),"")</f>
        <v>Q</v>
      </c>
      <c r="K7" s="109">
        <v>106</v>
      </c>
      <c r="L7" s="9" t="str">
        <f>IFERROR(MID(VLOOKUP($B7,Seqs!$A:$B,2,0),M7,1),"")</f>
        <v>N</v>
      </c>
      <c r="M7" s="9">
        <v>107</v>
      </c>
      <c r="N7" s="9" t="str">
        <f>IFERROR(MID(VLOOKUP($B7,Seqs!$A:$B,2,0),O7,1),"")</f>
        <v>G</v>
      </c>
      <c r="O7" s="9">
        <v>138</v>
      </c>
      <c r="P7" s="9" t="str">
        <f>IFERROR(MID(VLOOKUP($B7,Seqs!$A:$B,2,0),Q7,1),"")</f>
        <v>R</v>
      </c>
      <c r="Q7" s="9">
        <v>140</v>
      </c>
      <c r="R7" s="9" t="str">
        <f>IFERROR(MID(VLOOKUP($B7,Seqs!$A:$B,2,0),S7,1),"")</f>
        <v>L</v>
      </c>
      <c r="S7" s="9">
        <v>143</v>
      </c>
      <c r="T7" s="9" t="str">
        <f>IFERROR(MID(VLOOKUP($B7,Seqs!$A:$B,2,0),U7,1),"")</f>
        <v>P</v>
      </c>
      <c r="U7" s="9">
        <v>144</v>
      </c>
      <c r="V7" s="9" t="str">
        <f>IFERROR(MID(VLOOKUP($B7,Seqs!$A:$B,2,0),W7,1),"")</f>
        <v>N</v>
      </c>
      <c r="W7" s="9">
        <v>179</v>
      </c>
      <c r="X7" s="9" t="str">
        <f>IFERROR(MID(VLOOKUP($B7,Seqs!$A:$B,2,0),Y7,1),"")</f>
        <v>P</v>
      </c>
      <c r="Y7" s="9">
        <v>180</v>
      </c>
      <c r="Z7" s="9" t="str">
        <f>IFERROR(MID(VLOOKUP($B7,Seqs!$A:$B,2,0),AA7,1),"")</f>
        <v>N</v>
      </c>
      <c r="AA7" s="9">
        <v>187</v>
      </c>
      <c r="AB7" s="9" t="str">
        <f>IFERROR(MID(VLOOKUP($B7,Seqs!$A:$B,2,0),AC7,1),"")</f>
        <v>S</v>
      </c>
      <c r="AC7" s="9">
        <v>188</v>
      </c>
      <c r="AD7" s="9" t="str">
        <f>IFERROR(MID(VLOOKUP($B7,Seqs!$A:$B,2,0),AE7,1),"")</f>
        <v>D</v>
      </c>
      <c r="AE7" s="9">
        <v>217</v>
      </c>
      <c r="AF7" s="9" t="str">
        <f>IFERROR(MID(VLOOKUP($B7,Seqs!$A:$B,2,0),AG7,1),"")</f>
        <v>C</v>
      </c>
      <c r="AG7" s="9">
        <v>227</v>
      </c>
      <c r="AH7" s="9" t="str">
        <f>IFERROR(MID(VLOOKUP($B7,Seqs!$A:$B,2,0),AI7,1),"")</f>
        <v>L</v>
      </c>
      <c r="AI7" s="9">
        <v>229</v>
      </c>
      <c r="AJ7" s="9" t="str">
        <f>IFERROR(MID(VLOOKUP($B7,Seqs!$A:$B,2,0),AK7,1),"")</f>
        <v>D</v>
      </c>
      <c r="AK7" s="9">
        <v>231</v>
      </c>
      <c r="AL7" s="9" t="str">
        <f>IFERROR(MID(VLOOKUP($B7,Seqs!$A:$B,2,0),AM7,1),"")</f>
        <v>L</v>
      </c>
      <c r="AM7" s="9">
        <v>272</v>
      </c>
      <c r="AN7" s="9" t="str">
        <f>IFERROR(MID(VLOOKUP($B7,Seqs!$A:$B,2,0),AO7,1),"")</f>
        <v>M</v>
      </c>
      <c r="AO7" s="9">
        <v>312</v>
      </c>
      <c r="AP7" s="9" t="str">
        <f>IFERROR(MID(VLOOKUP($B7,Seqs!$A:$B,2,0),AQ7,1),"")</f>
        <v>C</v>
      </c>
      <c r="AQ7" s="9">
        <v>349</v>
      </c>
      <c r="AR7" s="9" t="str">
        <f>IFERROR(MID(VLOOKUP($B7,Seqs!$A:$B,2,0),AS7,1),"")</f>
        <v>N</v>
      </c>
      <c r="AS7" s="9">
        <v>354</v>
      </c>
      <c r="AT7" s="9" t="str">
        <f>IFERROR(MID(VLOOKUP($B7,Seqs!$A:$B,2,0),AU7,1),"")</f>
        <v>F</v>
      </c>
      <c r="AU7" s="9">
        <v>383</v>
      </c>
      <c r="AV7" s="9" t="str">
        <f>IFERROR(MID(VLOOKUP($B7,Seqs!$A:$B,2,0),AW7,1),"")</f>
        <v>N</v>
      </c>
      <c r="AW7" s="9">
        <v>384</v>
      </c>
      <c r="AX7" s="9" t="str">
        <f>IFERROR(MID(VLOOKUP($B7,Seqs!$A:$B,2,0),AY7,1),"")</f>
        <v>C</v>
      </c>
      <c r="AY7" s="9">
        <v>397</v>
      </c>
      <c r="AZ7" s="110" t="str">
        <f>VLOOKUP(B7,Classification!A:D,2,0)</f>
        <v>A</v>
      </c>
      <c r="BA7" s="98" t="str">
        <f>VLOOKUP(B7,Classification!A:D,4,0)</f>
        <v>5-Hydroxytryptamine</v>
      </c>
      <c r="BB7" s="36" t="b">
        <f t="shared" ref="BB7:BB9" si="29">AND(E7&lt;G7,OR(G7&lt;I7,I7="-"),OR(I7&lt;K7,I7="-"),OR(K7&lt;M7,K7="-"),M7&lt;O7,OR(O7&lt;Q7,Q7="-"),OR(Q7&lt;S7,Q7="-"),OR(S7&lt;U7,S7="-"),U7&lt;W7,OR(W7&lt;Y7,Y7="-"),OR(Y7&lt;AA7,Y7="-"),OR(AA7&lt;AC7,AA7="-"),AC7&lt;AE7,OR(AE7&lt;AG7,AG7="-"),OR(AG7&lt;AI7,AG7="-"),OR(AI7&lt;AK7,AI7="-"),AK7&lt;AM7,AM7&lt;AO7,AO7&lt;AQ7,AQ7&lt;AS7,AS7&lt;AU7,OR(AU7&lt;AW7,AW7="-"),OR(AW7&lt;AY7,AW7="-"))</f>
        <v>1</v>
      </c>
      <c r="BC7" s="109">
        <f t="shared" ref="BC7:BC9" si="30">_xlfn.AGGREGATE(9,6,CH7:CS7)-_xlfn.AGGREGATE(9,6,BV7:CG7)+12</f>
        <v>275</v>
      </c>
      <c r="BD7" s="11" t="s">
        <v>23</v>
      </c>
      <c r="BE7" s="9" t="s">
        <v>23</v>
      </c>
      <c r="BF7" s="120" t="s">
        <v>23</v>
      </c>
      <c r="BG7" s="51" t="s">
        <v>23</v>
      </c>
      <c r="BH7" s="51" t="s">
        <v>23</v>
      </c>
      <c r="BJ7" s="111" t="s">
        <v>1288</v>
      </c>
      <c r="BK7" s="112" t="s">
        <v>1288</v>
      </c>
      <c r="BL7" s="112" t="s">
        <v>1288</v>
      </c>
      <c r="BM7" s="112" t="s">
        <v>1288</v>
      </c>
      <c r="BN7" s="112" t="s">
        <v>1288</v>
      </c>
      <c r="BO7" s="112" t="s">
        <v>1288</v>
      </c>
      <c r="BP7" s="112" t="s">
        <v>1288</v>
      </c>
      <c r="BQ7" s="112" t="s">
        <v>1288</v>
      </c>
      <c r="BR7" s="112" t="s">
        <v>1288</v>
      </c>
      <c r="BS7" s="112" t="s">
        <v>1288</v>
      </c>
      <c r="BT7" s="112" t="s">
        <v>1288</v>
      </c>
      <c r="BU7" s="112" t="s">
        <v>1288</v>
      </c>
      <c r="BV7" s="111">
        <f t="shared" ref="BV7:BV9" si="31">E7</f>
        <v>69</v>
      </c>
      <c r="BW7" s="113">
        <f t="shared" ref="BW7:BW9" si="32">I7</f>
        <v>103</v>
      </c>
      <c r="BX7" s="114">
        <f t="shared" ref="BX7:BX9" si="33">M7</f>
        <v>107</v>
      </c>
      <c r="BY7" s="113">
        <f t="shared" ref="BY7:BY9" si="34">Q7</f>
        <v>140</v>
      </c>
      <c r="BZ7" s="114">
        <f t="shared" ref="BZ7:BZ9" si="35">U7</f>
        <v>144</v>
      </c>
      <c r="CA7" s="113">
        <f t="shared" ref="CA7:CA9" si="36">Y7</f>
        <v>180</v>
      </c>
      <c r="CB7" s="114">
        <f t="shared" ref="CB7:CB9" si="37">AC7</f>
        <v>188</v>
      </c>
      <c r="CC7" s="113">
        <f t="shared" ref="CC7:CC9" si="38">AG7</f>
        <v>227</v>
      </c>
      <c r="CD7" s="114">
        <f t="shared" ref="CD7:CD9" si="39">AK7</f>
        <v>231</v>
      </c>
      <c r="CE7" s="113">
        <f t="shared" ref="CE7:CE9" si="40">AO7</f>
        <v>312</v>
      </c>
      <c r="CF7" s="114">
        <f t="shared" ref="CF7:CF9" si="41">AS7</f>
        <v>354</v>
      </c>
      <c r="CG7" s="113">
        <f t="shared" ref="CG7:CG9" si="42">AW7</f>
        <v>384</v>
      </c>
      <c r="CH7" s="111">
        <f t="shared" ref="CH7:CH9" si="43">G7</f>
        <v>102</v>
      </c>
      <c r="CI7" s="113">
        <f t="shared" ref="CI7:CI9" si="44">K7</f>
        <v>106</v>
      </c>
      <c r="CJ7" s="114">
        <f t="shared" ref="CJ7:CJ9" si="45">O7</f>
        <v>138</v>
      </c>
      <c r="CK7" s="114">
        <f t="shared" ref="CK7:CK9" si="46">S7</f>
        <v>143</v>
      </c>
      <c r="CL7" s="114">
        <f t="shared" ref="CL7:CL9" si="47">W7</f>
        <v>179</v>
      </c>
      <c r="CM7" s="114">
        <f t="shared" ref="CM7:CM9" si="48">AA7</f>
        <v>187</v>
      </c>
      <c r="CN7" s="114">
        <f t="shared" ref="CN7:CN9" si="49">AE7</f>
        <v>217</v>
      </c>
      <c r="CO7" s="114">
        <f t="shared" ref="CO7:CO9" si="50">AI7</f>
        <v>229</v>
      </c>
      <c r="CP7" s="114">
        <f t="shared" ref="CP7:CP9" si="51">AM7</f>
        <v>272</v>
      </c>
      <c r="CQ7" s="114">
        <f t="shared" ref="CQ7:CQ9" si="52">AQ7</f>
        <v>349</v>
      </c>
      <c r="CR7" s="114">
        <f t="shared" ref="CR7:CR9" si="53">AU7</f>
        <v>383</v>
      </c>
      <c r="CS7" s="114">
        <f t="shared" ref="CS7:CS9" si="54">AY7</f>
        <v>397</v>
      </c>
      <c r="CT7" s="109">
        <f t="shared" ref="CT7:CT9" si="55">M7-K7</f>
        <v>1</v>
      </c>
    </row>
    <row r="8" spans="1:1029" s="12" customFormat="1" x14ac:dyDescent="0.2">
      <c r="A8" s="9" t="str">
        <f t="shared" ref="A8" si="56">CONCATENATE(B8,"_",C8)</f>
        <v>5ht2a_human_6A93</v>
      </c>
      <c r="B8" s="9" t="s">
        <v>132</v>
      </c>
      <c r="C8" s="9" t="s">
        <v>1560</v>
      </c>
      <c r="D8" s="9" t="str">
        <f>IFERROR(MID(VLOOKUP($B8,Seqs!$A:$B,2,0),E8,1),"")</f>
        <v>L</v>
      </c>
      <c r="E8" s="9">
        <v>69</v>
      </c>
      <c r="F8" s="9" t="str">
        <f>IFERROR(MID(VLOOKUP($B8,Seqs!$A:$B,2,0),G8,1),"")</f>
        <v>E</v>
      </c>
      <c r="G8" s="9">
        <v>102</v>
      </c>
      <c r="H8" s="9" t="str">
        <f>IFERROR(MID(VLOOKUP($B8,Seqs!$A:$B,2,0),I8,1),"")</f>
        <v>K</v>
      </c>
      <c r="I8" s="109">
        <v>103</v>
      </c>
      <c r="J8" s="9" t="str">
        <f>IFERROR(MID(VLOOKUP($B8,Seqs!$A:$B,2,0),K8,1),"")</f>
        <v>Q</v>
      </c>
      <c r="K8" s="109">
        <v>106</v>
      </c>
      <c r="L8" s="9" t="str">
        <f>IFERROR(MID(VLOOKUP($B8,Seqs!$A:$B,2,0),M8,1),"")</f>
        <v>N</v>
      </c>
      <c r="M8" s="9">
        <v>107</v>
      </c>
      <c r="N8" s="9" t="str">
        <f>IFERROR(MID(VLOOKUP($B8,Seqs!$A:$B,2,0),O8,1),"")</f>
        <v>G</v>
      </c>
      <c r="O8" s="9">
        <v>138</v>
      </c>
      <c r="P8" s="9" t="str">
        <f>IFERROR(MID(VLOOKUP($B8,Seqs!$A:$B,2,0),Q8,1),"")</f>
        <v>R</v>
      </c>
      <c r="Q8" s="9">
        <v>140</v>
      </c>
      <c r="R8" s="9" t="str">
        <f>IFERROR(MID(VLOOKUP($B8,Seqs!$A:$B,2,0),S8,1),"")</f>
        <v>L</v>
      </c>
      <c r="S8" s="9">
        <v>143</v>
      </c>
      <c r="T8" s="9" t="str">
        <f>IFERROR(MID(VLOOKUP($B8,Seqs!$A:$B,2,0),U8,1),"")</f>
        <v>P</v>
      </c>
      <c r="U8" s="9">
        <v>144</v>
      </c>
      <c r="V8" s="9" t="str">
        <f>IFERROR(MID(VLOOKUP($B8,Seqs!$A:$B,2,0),W8,1),"")</f>
        <v>N</v>
      </c>
      <c r="W8" s="9">
        <v>179</v>
      </c>
      <c r="X8" s="9" t="str">
        <f>IFERROR(MID(VLOOKUP($B8,Seqs!$A:$B,2,0),Y8,1),"")</f>
        <v/>
      </c>
      <c r="Y8" s="9" t="s">
        <v>23</v>
      </c>
      <c r="Z8" s="9" t="str">
        <f>IFERROR(MID(VLOOKUP($B8,Seqs!$A:$B,2,0),AA8,1),"")</f>
        <v/>
      </c>
      <c r="AA8" s="9" t="s">
        <v>23</v>
      </c>
      <c r="AB8" s="9" t="str">
        <f>IFERROR(MID(VLOOKUP($B8,Seqs!$A:$B,2,0),AC8,1),"")</f>
        <v>R</v>
      </c>
      <c r="AC8" s="9">
        <v>189</v>
      </c>
      <c r="AD8" s="9" t="str">
        <f>IFERROR(MID(VLOOKUP($B8,Seqs!$A:$B,2,0),AE8,1),"")</f>
        <v>D</v>
      </c>
      <c r="AE8" s="9">
        <v>217</v>
      </c>
      <c r="AF8" s="9" t="str">
        <f>IFERROR(MID(VLOOKUP($B8,Seqs!$A:$B,2,0),AG8,1),"")</f>
        <v>C</v>
      </c>
      <c r="AG8" s="9">
        <v>227</v>
      </c>
      <c r="AH8" s="9" t="str">
        <f>IFERROR(MID(VLOOKUP($B8,Seqs!$A:$B,2,0),AI8,1),"")</f>
        <v>L</v>
      </c>
      <c r="AI8" s="9">
        <v>229</v>
      </c>
      <c r="AJ8" s="9" t="str">
        <f>IFERROR(MID(VLOOKUP($B8,Seqs!$A:$B,2,0),AK8,1),"")</f>
        <v>D</v>
      </c>
      <c r="AK8" s="9">
        <v>231</v>
      </c>
      <c r="AL8" s="9" t="str">
        <f>IFERROR(MID(VLOOKUP($B8,Seqs!$A:$B,2,0),AM8,1),"")</f>
        <v>A</v>
      </c>
      <c r="AM8" s="9">
        <v>265</v>
      </c>
      <c r="AN8" s="9" t="str">
        <f>IFERROR(MID(VLOOKUP($B8,Seqs!$A:$B,2,0),AO8,1),"")</f>
        <v>Q</v>
      </c>
      <c r="AO8" s="9">
        <v>313</v>
      </c>
      <c r="AP8" s="9" t="str">
        <f>IFERROR(MID(VLOOKUP($B8,Seqs!$A:$B,2,0),AQ8,1),"")</f>
        <v>C</v>
      </c>
      <c r="AQ8" s="9">
        <v>349</v>
      </c>
      <c r="AR8" s="9" t="str">
        <f>IFERROR(MID(VLOOKUP($B8,Seqs!$A:$B,2,0),AS8,1),"")</f>
        <v>N</v>
      </c>
      <c r="AS8" s="9">
        <v>354</v>
      </c>
      <c r="AT8" s="9" t="str">
        <f>IFERROR(MID(VLOOKUP($B8,Seqs!$A:$B,2,0),AU8,1),"")</f>
        <v>F</v>
      </c>
      <c r="AU8" s="9">
        <v>383</v>
      </c>
      <c r="AV8" s="9" t="str">
        <f>IFERROR(MID(VLOOKUP($B8,Seqs!$A:$B,2,0),AW8,1),"")</f>
        <v>N</v>
      </c>
      <c r="AW8" s="9">
        <v>384</v>
      </c>
      <c r="AX8" s="9" t="str">
        <f>IFERROR(MID(VLOOKUP($B8,Seqs!$A:$B,2,0),AY8,1),"")</f>
        <v>C</v>
      </c>
      <c r="AY8" s="9">
        <v>397</v>
      </c>
      <c r="AZ8" s="110" t="str">
        <f>VLOOKUP(B8,Classification!A:D,2,0)</f>
        <v>A</v>
      </c>
      <c r="BA8" s="98" t="str">
        <f>VLOOKUP(B8,Classification!A:D,4,0)</f>
        <v>5-Hydroxytryptamine</v>
      </c>
      <c r="BB8" s="36" t="b">
        <f t="shared" ref="BB8" si="57">AND(E8&lt;G8,OR(G8&lt;I8,I8="-"),OR(I8&lt;K8,I8="-"),OR(K8&lt;M8,K8="-"),M8&lt;O8,OR(O8&lt;Q8,Q8="-"),OR(Q8&lt;S8,Q8="-"),OR(S8&lt;U8,S8="-"),U8&lt;W8,OR(W8&lt;Y8,Y8="-"),OR(Y8&lt;AA8,Y8="-"),OR(AA8&lt;AC8,AA8="-"),AC8&lt;AE8,OR(AE8&lt;AG8,AG8="-"),OR(AG8&lt;AI8,AG8="-"),OR(AI8&lt;AK8,AI8="-"),AK8&lt;AM8,AM8&lt;AO8,AO8&lt;AQ8,AQ8&lt;AS8,AS8&lt;AU8,OR(AU8&lt;AW8,AW8="-"),OR(AW8&lt;AY8,AW8="-"))</f>
        <v>1</v>
      </c>
      <c r="BC8" s="109">
        <f t="shared" ref="BC8" si="58">_xlfn.AGGREGATE(9,6,CH8:CS8)-_xlfn.AGGREGATE(9,6,BV8:CG8)+12</f>
        <v>259</v>
      </c>
      <c r="BD8" s="11" t="s">
        <v>23</v>
      </c>
      <c r="BE8" s="9" t="s">
        <v>1375</v>
      </c>
      <c r="BF8" s="120">
        <v>3</v>
      </c>
      <c r="BG8" s="51" t="s">
        <v>1</v>
      </c>
      <c r="BH8" s="51" t="s">
        <v>1</v>
      </c>
      <c r="BJ8" s="111" t="s">
        <v>1288</v>
      </c>
      <c r="BK8" s="112" t="s">
        <v>1288</v>
      </c>
      <c r="BL8" s="112" t="s">
        <v>1288</v>
      </c>
      <c r="BM8" s="112" t="s">
        <v>1288</v>
      </c>
      <c r="BN8" s="112" t="s">
        <v>1288</v>
      </c>
      <c r="BO8" s="112" t="s">
        <v>1288</v>
      </c>
      <c r="BP8" s="112" t="s">
        <v>1288</v>
      </c>
      <c r="BQ8" s="112" t="s">
        <v>1288</v>
      </c>
      <c r="BR8" s="112" t="s">
        <v>1288</v>
      </c>
      <c r="BS8" s="112" t="s">
        <v>1288</v>
      </c>
      <c r="BT8" s="112" t="s">
        <v>1288</v>
      </c>
      <c r="BU8" s="112" t="s">
        <v>1288</v>
      </c>
      <c r="BV8" s="111">
        <f t="shared" ref="BV8" si="59">E8</f>
        <v>69</v>
      </c>
      <c r="BW8" s="113">
        <f t="shared" ref="BW8" si="60">I8</f>
        <v>103</v>
      </c>
      <c r="BX8" s="114">
        <f t="shared" ref="BX8" si="61">M8</f>
        <v>107</v>
      </c>
      <c r="BY8" s="113">
        <f t="shared" ref="BY8" si="62">Q8</f>
        <v>140</v>
      </c>
      <c r="BZ8" s="114">
        <f t="shared" ref="BZ8" si="63">U8</f>
        <v>144</v>
      </c>
      <c r="CA8" s="113" t="str">
        <f t="shared" ref="CA8" si="64">Y8</f>
        <v>-</v>
      </c>
      <c r="CB8" s="114">
        <f t="shared" ref="CB8" si="65">AC8</f>
        <v>189</v>
      </c>
      <c r="CC8" s="113">
        <f t="shared" ref="CC8" si="66">AG8</f>
        <v>227</v>
      </c>
      <c r="CD8" s="114">
        <f t="shared" ref="CD8" si="67">AK8</f>
        <v>231</v>
      </c>
      <c r="CE8" s="113">
        <f t="shared" ref="CE8" si="68">AO8</f>
        <v>313</v>
      </c>
      <c r="CF8" s="114">
        <f t="shared" ref="CF8" si="69">AS8</f>
        <v>354</v>
      </c>
      <c r="CG8" s="113">
        <f t="shared" ref="CG8" si="70">AW8</f>
        <v>384</v>
      </c>
      <c r="CH8" s="111">
        <f t="shared" ref="CH8" si="71">G8</f>
        <v>102</v>
      </c>
      <c r="CI8" s="113">
        <f t="shared" ref="CI8" si="72">K8</f>
        <v>106</v>
      </c>
      <c r="CJ8" s="114">
        <f t="shared" ref="CJ8" si="73">O8</f>
        <v>138</v>
      </c>
      <c r="CK8" s="114">
        <f t="shared" ref="CK8" si="74">S8</f>
        <v>143</v>
      </c>
      <c r="CL8" s="114">
        <f t="shared" ref="CL8" si="75">W8</f>
        <v>179</v>
      </c>
      <c r="CM8" s="114" t="str">
        <f t="shared" ref="CM8" si="76">AA8</f>
        <v>-</v>
      </c>
      <c r="CN8" s="114">
        <f t="shared" ref="CN8" si="77">AE8</f>
        <v>217</v>
      </c>
      <c r="CO8" s="114">
        <f t="shared" ref="CO8" si="78">AI8</f>
        <v>229</v>
      </c>
      <c r="CP8" s="114">
        <f t="shared" ref="CP8" si="79">AM8</f>
        <v>265</v>
      </c>
      <c r="CQ8" s="114">
        <f t="shared" ref="CQ8" si="80">AQ8</f>
        <v>349</v>
      </c>
      <c r="CR8" s="114">
        <f t="shared" ref="CR8" si="81">AU8</f>
        <v>383</v>
      </c>
      <c r="CS8" s="114">
        <f t="shared" ref="CS8" si="82">AY8</f>
        <v>397</v>
      </c>
      <c r="CT8" s="109">
        <f t="shared" ref="CT8" si="83">M8-K8</f>
        <v>1</v>
      </c>
    </row>
    <row r="9" spans="1:1029" s="12" customFormat="1" x14ac:dyDescent="0.2">
      <c r="A9" s="9" t="str">
        <f t="shared" si="28"/>
        <v>5ht2a_human_6A94</v>
      </c>
      <c r="B9" s="9" t="s">
        <v>132</v>
      </c>
      <c r="C9" s="9" t="s">
        <v>1559</v>
      </c>
      <c r="D9" s="9" t="str">
        <f>IFERROR(MID(VLOOKUP($B9,Seqs!$A:$B,2,0),E9,1),"")</f>
        <v>L</v>
      </c>
      <c r="E9" s="9">
        <v>69</v>
      </c>
      <c r="F9" s="9" t="str">
        <f>IFERROR(MID(VLOOKUP($B9,Seqs!$A:$B,2,0),G9,1),"")</f>
        <v>E</v>
      </c>
      <c r="G9" s="9">
        <v>102</v>
      </c>
      <c r="H9" s="9" t="str">
        <f>IFERROR(MID(VLOOKUP($B9,Seqs!$A:$B,2,0),I9,1),"")</f>
        <v>K</v>
      </c>
      <c r="I9" s="109">
        <v>103</v>
      </c>
      <c r="J9" s="9" t="str">
        <f>IFERROR(MID(VLOOKUP($B9,Seqs!$A:$B,2,0),K9,1),"")</f>
        <v>Q</v>
      </c>
      <c r="K9" s="109">
        <v>106</v>
      </c>
      <c r="L9" s="9" t="str">
        <f>IFERROR(MID(VLOOKUP($B9,Seqs!$A:$B,2,0),M9,1),"")</f>
        <v>N</v>
      </c>
      <c r="M9" s="9">
        <v>107</v>
      </c>
      <c r="N9" s="9" t="str">
        <f>IFERROR(MID(VLOOKUP($B9,Seqs!$A:$B,2,0),O9,1),"")</f>
        <v>G</v>
      </c>
      <c r="O9" s="9">
        <v>138</v>
      </c>
      <c r="P9" s="9" t="str">
        <f>IFERROR(MID(VLOOKUP($B9,Seqs!$A:$B,2,0),Q9,1),"")</f>
        <v>R</v>
      </c>
      <c r="Q9" s="9">
        <v>140</v>
      </c>
      <c r="R9" s="9" t="str">
        <f>IFERROR(MID(VLOOKUP($B9,Seqs!$A:$B,2,0),S9,1),"")</f>
        <v>L</v>
      </c>
      <c r="S9" s="9">
        <v>143</v>
      </c>
      <c r="T9" s="9" t="str">
        <f>IFERROR(MID(VLOOKUP($B9,Seqs!$A:$B,2,0),U9,1),"")</f>
        <v>P</v>
      </c>
      <c r="U9" s="9">
        <v>144</v>
      </c>
      <c r="V9" s="9" t="str">
        <f>IFERROR(MID(VLOOKUP($B9,Seqs!$A:$B,2,0),W9,1),"")</f>
        <v>N</v>
      </c>
      <c r="W9" s="9">
        <v>179</v>
      </c>
      <c r="X9" s="9" t="str">
        <f>IFERROR(MID(VLOOKUP($B9,Seqs!$A:$B,2,0),Y9,1),"")</f>
        <v/>
      </c>
      <c r="Y9" s="9" t="s">
        <v>23</v>
      </c>
      <c r="Z9" s="9" t="str">
        <f>IFERROR(MID(VLOOKUP($B9,Seqs!$A:$B,2,0),AA9,1),"")</f>
        <v/>
      </c>
      <c r="AA9" s="9" t="s">
        <v>23</v>
      </c>
      <c r="AB9" s="9" t="str">
        <f>IFERROR(MID(VLOOKUP($B9,Seqs!$A:$B,2,0),AC9,1),"")</f>
        <v>R</v>
      </c>
      <c r="AC9" s="9">
        <v>189</v>
      </c>
      <c r="AD9" s="9" t="str">
        <f>IFERROR(MID(VLOOKUP($B9,Seqs!$A:$B,2,0),AE9,1),"")</f>
        <v>D</v>
      </c>
      <c r="AE9" s="9">
        <v>217</v>
      </c>
      <c r="AF9" s="9" t="str">
        <f>IFERROR(MID(VLOOKUP($B9,Seqs!$A:$B,2,0),AG9,1),"")</f>
        <v>C</v>
      </c>
      <c r="AG9" s="9">
        <v>227</v>
      </c>
      <c r="AH9" s="9" t="str">
        <f>IFERROR(MID(VLOOKUP($B9,Seqs!$A:$B,2,0),AI9,1),"")</f>
        <v>L</v>
      </c>
      <c r="AI9" s="9">
        <v>229</v>
      </c>
      <c r="AJ9" s="9" t="str">
        <f>IFERROR(MID(VLOOKUP($B9,Seqs!$A:$B,2,0),AK9,1),"")</f>
        <v>D</v>
      </c>
      <c r="AK9" s="9">
        <v>231</v>
      </c>
      <c r="AL9" s="9" t="str">
        <f>IFERROR(MID(VLOOKUP($B9,Seqs!$A:$B,2,0),AM9,1),"")</f>
        <v>A</v>
      </c>
      <c r="AM9" s="9">
        <v>265</v>
      </c>
      <c r="AN9" s="9" t="str">
        <f>IFERROR(MID(VLOOKUP($B9,Seqs!$A:$B,2,0),AO9,1),"")</f>
        <v>Q</v>
      </c>
      <c r="AO9" s="9">
        <v>313</v>
      </c>
      <c r="AP9" s="9" t="str">
        <f>IFERROR(MID(VLOOKUP($B9,Seqs!$A:$B,2,0),AQ9,1),"")</f>
        <v>C</v>
      </c>
      <c r="AQ9" s="9">
        <v>349</v>
      </c>
      <c r="AR9" s="9" t="str">
        <f>IFERROR(MID(VLOOKUP($B9,Seqs!$A:$B,2,0),AS9,1),"")</f>
        <v>N</v>
      </c>
      <c r="AS9" s="9">
        <v>354</v>
      </c>
      <c r="AT9" s="9" t="str">
        <f>IFERROR(MID(VLOOKUP($B9,Seqs!$A:$B,2,0),AU9,1),"")</f>
        <v>F</v>
      </c>
      <c r="AU9" s="9">
        <v>383</v>
      </c>
      <c r="AV9" s="9" t="str">
        <f>IFERROR(MID(VLOOKUP($B9,Seqs!$A:$B,2,0),AW9,1),"")</f>
        <v>N</v>
      </c>
      <c r="AW9" s="9">
        <v>384</v>
      </c>
      <c r="AX9" s="9" t="str">
        <f>IFERROR(MID(VLOOKUP($B9,Seqs!$A:$B,2,0),AY9,1),"")</f>
        <v>C</v>
      </c>
      <c r="AY9" s="9">
        <v>397</v>
      </c>
      <c r="AZ9" s="110" t="str">
        <f>VLOOKUP(B9,Classification!A:D,2,0)</f>
        <v>A</v>
      </c>
      <c r="BA9" s="98" t="str">
        <f>VLOOKUP(B9,Classification!A:D,4,0)</f>
        <v>5-Hydroxytryptamine</v>
      </c>
      <c r="BB9" s="36" t="b">
        <f t="shared" si="29"/>
        <v>1</v>
      </c>
      <c r="BC9" s="109">
        <f t="shared" si="30"/>
        <v>259</v>
      </c>
      <c r="BD9" s="11" t="s">
        <v>1377</v>
      </c>
      <c r="BE9" s="9" t="s">
        <v>1375</v>
      </c>
      <c r="BF9" s="120">
        <v>2.9</v>
      </c>
      <c r="BG9" s="51" t="s">
        <v>1</v>
      </c>
      <c r="BH9" s="51" t="s">
        <v>1</v>
      </c>
      <c r="BJ9" s="111" t="s">
        <v>1288</v>
      </c>
      <c r="BK9" s="112" t="s">
        <v>1288</v>
      </c>
      <c r="BL9" s="112" t="s">
        <v>1288</v>
      </c>
      <c r="BM9" s="112" t="s">
        <v>1288</v>
      </c>
      <c r="BN9" s="112" t="s">
        <v>1288</v>
      </c>
      <c r="BO9" s="112" t="s">
        <v>1288</v>
      </c>
      <c r="BP9" s="112" t="s">
        <v>1288</v>
      </c>
      <c r="BQ9" s="112" t="s">
        <v>1288</v>
      </c>
      <c r="BR9" s="112" t="s">
        <v>1288</v>
      </c>
      <c r="BS9" s="112" t="s">
        <v>1288</v>
      </c>
      <c r="BT9" s="112" t="s">
        <v>1288</v>
      </c>
      <c r="BU9" s="112" t="s">
        <v>1288</v>
      </c>
      <c r="BV9" s="111">
        <f t="shared" si="31"/>
        <v>69</v>
      </c>
      <c r="BW9" s="113">
        <f t="shared" si="32"/>
        <v>103</v>
      </c>
      <c r="BX9" s="114">
        <f t="shared" si="33"/>
        <v>107</v>
      </c>
      <c r="BY9" s="113">
        <f t="shared" si="34"/>
        <v>140</v>
      </c>
      <c r="BZ9" s="114">
        <f t="shared" si="35"/>
        <v>144</v>
      </c>
      <c r="CA9" s="113" t="str">
        <f t="shared" si="36"/>
        <v>-</v>
      </c>
      <c r="CB9" s="114">
        <f t="shared" si="37"/>
        <v>189</v>
      </c>
      <c r="CC9" s="113">
        <f t="shared" si="38"/>
        <v>227</v>
      </c>
      <c r="CD9" s="114">
        <f t="shared" si="39"/>
        <v>231</v>
      </c>
      <c r="CE9" s="113">
        <f t="shared" si="40"/>
        <v>313</v>
      </c>
      <c r="CF9" s="114">
        <f t="shared" si="41"/>
        <v>354</v>
      </c>
      <c r="CG9" s="113">
        <f t="shared" si="42"/>
        <v>384</v>
      </c>
      <c r="CH9" s="111">
        <f t="shared" si="43"/>
        <v>102</v>
      </c>
      <c r="CI9" s="113">
        <f t="shared" si="44"/>
        <v>106</v>
      </c>
      <c r="CJ9" s="114">
        <f t="shared" si="45"/>
        <v>138</v>
      </c>
      <c r="CK9" s="114">
        <f t="shared" si="46"/>
        <v>143</v>
      </c>
      <c r="CL9" s="114">
        <f t="shared" si="47"/>
        <v>179</v>
      </c>
      <c r="CM9" s="114" t="str">
        <f t="shared" si="48"/>
        <v>-</v>
      </c>
      <c r="CN9" s="114">
        <f t="shared" si="49"/>
        <v>217</v>
      </c>
      <c r="CO9" s="114">
        <f t="shared" si="50"/>
        <v>229</v>
      </c>
      <c r="CP9" s="114">
        <f t="shared" si="51"/>
        <v>265</v>
      </c>
      <c r="CQ9" s="114">
        <f t="shared" si="52"/>
        <v>349</v>
      </c>
      <c r="CR9" s="114">
        <f t="shared" si="53"/>
        <v>383</v>
      </c>
      <c r="CS9" s="114">
        <f t="shared" si="54"/>
        <v>397</v>
      </c>
      <c r="CT9" s="109">
        <f t="shared" si="55"/>
        <v>1</v>
      </c>
    </row>
    <row r="10" spans="1:1029" x14ac:dyDescent="0.2">
      <c r="A10" s="3" t="str">
        <f t="shared" si="0"/>
        <v>5ht2b_human__wt</v>
      </c>
      <c r="B10" s="3" t="s">
        <v>35</v>
      </c>
      <c r="C10" s="3" t="s">
        <v>100</v>
      </c>
      <c r="D10" s="3" t="str">
        <f>IFERROR(MID(VLOOKUP($B10,Seqs!$A:$B,2,0),E10,1),"")</f>
        <v>K</v>
      </c>
      <c r="E10" s="105">
        <v>53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>P</v>
      </c>
      <c r="Y10" s="3">
        <v>160</v>
      </c>
      <c r="Z10" s="3" t="str">
        <f>IFERROR(MID(VLOOKUP($B10,Seqs!$A:$B,2,0),AA10,1),"")</f>
        <v>N</v>
      </c>
      <c r="AA10" s="3">
        <v>167</v>
      </c>
      <c r="AB10" s="3" t="str">
        <f>IFERROR(MID(VLOOKUP($B10,Seqs!$A:$B,2,0),AC10,1),"")</f>
        <v>S</v>
      </c>
      <c r="AC10" s="9">
        <v>168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P</v>
      </c>
      <c r="AM10" s="3">
        <v>255</v>
      </c>
      <c r="AN10" s="3" t="str">
        <f>IFERROR(MID(VLOOKUP($B10,Seqs!$A:$B,2,0),AO10,1),"")</f>
        <v>V</v>
      </c>
      <c r="AO10" s="3">
        <v>313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105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265</v>
      </c>
      <c r="BD10" s="91" t="s">
        <v>23</v>
      </c>
      <c r="BE10" s="3" t="s">
        <v>23</v>
      </c>
      <c r="BF10" s="119" t="s">
        <v>23</v>
      </c>
      <c r="BG10" s="49" t="s">
        <v>1373</v>
      </c>
      <c r="BH10" s="49" t="s">
        <v>1378</v>
      </c>
      <c r="BI10" s="1"/>
      <c r="BJ10" s="70" t="s">
        <v>1288</v>
      </c>
      <c r="BK10" s="57" t="s">
        <v>1288</v>
      </c>
      <c r="BL10" s="57" t="s">
        <v>1288</v>
      </c>
      <c r="BM10" s="57" t="s">
        <v>1288</v>
      </c>
      <c r="BN10" s="57" t="s">
        <v>1288</v>
      </c>
      <c r="BO10" s="57" t="s">
        <v>1288</v>
      </c>
      <c r="BP10" s="57" t="s">
        <v>1288</v>
      </c>
      <c r="BQ10" s="57" t="s">
        <v>1288</v>
      </c>
      <c r="BR10" s="57" t="s">
        <v>1288</v>
      </c>
      <c r="BS10" s="57" t="s">
        <v>1288</v>
      </c>
      <c r="BT10" s="57" t="s">
        <v>1288</v>
      </c>
      <c r="BU10" s="57" t="s">
        <v>1288</v>
      </c>
      <c r="BV10" s="70">
        <f t="shared" si="3"/>
        <v>53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>
        <f t="shared" si="8"/>
        <v>160</v>
      </c>
      <c r="CB10" s="72">
        <f t="shared" si="9"/>
        <v>168</v>
      </c>
      <c r="CC10" s="71">
        <f t="shared" si="10"/>
        <v>207</v>
      </c>
      <c r="CD10" s="72">
        <f t="shared" si="11"/>
        <v>214</v>
      </c>
      <c r="CE10" s="71">
        <f t="shared" si="12"/>
        <v>313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>
        <f t="shared" si="20"/>
        <v>167</v>
      </c>
      <c r="CN10" s="72">
        <f t="shared" si="21"/>
        <v>194</v>
      </c>
      <c r="CO10" s="72">
        <f t="shared" si="22"/>
        <v>209</v>
      </c>
      <c r="CP10" s="72">
        <f t="shared" si="23"/>
        <v>255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si="0"/>
        <v>5ht2b_human_4IB4</v>
      </c>
      <c r="B11" s="3" t="s">
        <v>35</v>
      </c>
      <c r="C11" s="3" t="s">
        <v>70</v>
      </c>
      <c r="D11" s="3" t="str">
        <f>IFERROR(MID(VLOOKUP($B11,Seqs!$A:$B,2,0),E11,1),"")</f>
        <v>K</v>
      </c>
      <c r="E11" s="3">
        <v>53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si="1"/>
        <v>1</v>
      </c>
      <c r="BC11" s="23">
        <f t="shared" si="2"/>
        <v>254</v>
      </c>
      <c r="BD11" s="16" t="s">
        <v>1430</v>
      </c>
      <c r="BE11" s="3" t="s">
        <v>1429</v>
      </c>
      <c r="BF11" s="119">
        <v>2.7</v>
      </c>
      <c r="BG11" s="49" t="s">
        <v>1378</v>
      </c>
      <c r="BH11" s="49" t="s">
        <v>1378</v>
      </c>
      <c r="BI11" s="1"/>
      <c r="BJ11" s="70" t="s">
        <v>1288</v>
      </c>
      <c r="BK11" s="57" t="s">
        <v>1288</v>
      </c>
      <c r="BL11" s="57" t="s">
        <v>1288</v>
      </c>
      <c r="BM11" s="57" t="s">
        <v>1288</v>
      </c>
      <c r="BN11" s="57" t="s">
        <v>1288</v>
      </c>
      <c r="BO11" s="57" t="s">
        <v>1288</v>
      </c>
      <c r="BP11" s="57" t="s">
        <v>1288</v>
      </c>
      <c r="BQ11" s="57" t="s">
        <v>1288</v>
      </c>
      <c r="BR11" s="57" t="s">
        <v>1288</v>
      </c>
      <c r="BS11" s="57" t="s">
        <v>1288</v>
      </c>
      <c r="BT11" s="57" t="s">
        <v>1288</v>
      </c>
      <c r="BU11" s="57" t="s">
        <v>1288</v>
      </c>
      <c r="BV11" s="70">
        <f t="shared" si="3"/>
        <v>53</v>
      </c>
      <c r="BW11" s="71">
        <f t="shared" si="4"/>
        <v>83</v>
      </c>
      <c r="BX11" s="72">
        <f t="shared" si="5"/>
        <v>87</v>
      </c>
      <c r="BY11" s="71">
        <f t="shared" si="6"/>
        <v>120</v>
      </c>
      <c r="BZ11" s="72">
        <f t="shared" si="7"/>
        <v>124</v>
      </c>
      <c r="CA11" s="71" t="str">
        <f t="shared" si="8"/>
        <v>-</v>
      </c>
      <c r="CB11" s="72">
        <f t="shared" si="9"/>
        <v>164</v>
      </c>
      <c r="CC11" s="71">
        <f t="shared" si="10"/>
        <v>207</v>
      </c>
      <c r="CD11" s="72">
        <f t="shared" si="11"/>
        <v>214</v>
      </c>
      <c r="CE11" s="71">
        <f t="shared" si="12"/>
        <v>314</v>
      </c>
      <c r="CF11" s="72">
        <f t="shared" si="13"/>
        <v>354</v>
      </c>
      <c r="CG11" s="71">
        <f t="shared" si="14"/>
        <v>384</v>
      </c>
      <c r="CH11" s="70">
        <f t="shared" si="15"/>
        <v>82</v>
      </c>
      <c r="CI11" s="71">
        <f t="shared" si="16"/>
        <v>86</v>
      </c>
      <c r="CJ11" s="72">
        <f t="shared" si="17"/>
        <v>117</v>
      </c>
      <c r="CK11" s="72">
        <f t="shared" si="18"/>
        <v>123</v>
      </c>
      <c r="CL11" s="72">
        <f t="shared" si="19"/>
        <v>159</v>
      </c>
      <c r="CM11" s="72" t="str">
        <f t="shared" si="20"/>
        <v>-</v>
      </c>
      <c r="CN11" s="72">
        <f t="shared" si="21"/>
        <v>194</v>
      </c>
      <c r="CO11" s="72">
        <f t="shared" si="22"/>
        <v>209</v>
      </c>
      <c r="CP11" s="72">
        <f t="shared" si="23"/>
        <v>248</v>
      </c>
      <c r="CQ11" s="72">
        <f t="shared" si="24"/>
        <v>350</v>
      </c>
      <c r="CR11" s="72">
        <f t="shared" si="25"/>
        <v>383</v>
      </c>
      <c r="CS11" s="72">
        <f t="shared" si="26"/>
        <v>395</v>
      </c>
      <c r="CT11" s="23">
        <f t="shared" si="27"/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0"/>
        <v>5ht2b_human_4IB4_dist</v>
      </c>
      <c r="B12" s="3" t="s">
        <v>35</v>
      </c>
      <c r="C12" s="3" t="s">
        <v>1165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Q</v>
      </c>
      <c r="AC12" s="3">
        <v>165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Q</v>
      </c>
      <c r="AO12" s="3">
        <v>314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1"/>
        <v>1</v>
      </c>
      <c r="BC12" s="23">
        <f t="shared" si="2"/>
        <v>253</v>
      </c>
      <c r="BD12" s="56" t="s">
        <v>23</v>
      </c>
      <c r="BE12" s="3" t="s">
        <v>1429</v>
      </c>
      <c r="BF12" s="119">
        <v>2.7</v>
      </c>
      <c r="BG12" s="49" t="s">
        <v>1378</v>
      </c>
      <c r="BH12" s="49" t="s">
        <v>1378</v>
      </c>
      <c r="BI12" s="1"/>
      <c r="BJ12" s="70" t="s">
        <v>1288</v>
      </c>
      <c r="BK12" s="57" t="s">
        <v>1288</v>
      </c>
      <c r="BL12" s="57" t="s">
        <v>1288</v>
      </c>
      <c r="BM12" s="57" t="s">
        <v>1288</v>
      </c>
      <c r="BN12" s="57" t="s">
        <v>1288</v>
      </c>
      <c r="BO12" s="57" t="s">
        <v>1288</v>
      </c>
      <c r="BP12" s="57" t="s">
        <v>1288</v>
      </c>
      <c r="BQ12" s="57" t="s">
        <v>1288</v>
      </c>
      <c r="BR12" s="57" t="s">
        <v>1288</v>
      </c>
      <c r="BS12" s="57" t="s">
        <v>1288</v>
      </c>
      <c r="BT12" s="57" t="s">
        <v>1288</v>
      </c>
      <c r="BU12" s="57" t="s">
        <v>1288</v>
      </c>
      <c r="BV12" s="70">
        <f t="shared" si="3"/>
        <v>53</v>
      </c>
      <c r="BW12" s="71">
        <f t="shared" si="4"/>
        <v>83</v>
      </c>
      <c r="BX12" s="72">
        <f t="shared" si="5"/>
        <v>87</v>
      </c>
      <c r="BY12" s="71">
        <f t="shared" si="6"/>
        <v>120</v>
      </c>
      <c r="BZ12" s="72">
        <f t="shared" si="7"/>
        <v>124</v>
      </c>
      <c r="CA12" s="71" t="str">
        <f t="shared" si="8"/>
        <v>-</v>
      </c>
      <c r="CB12" s="72">
        <f t="shared" si="9"/>
        <v>165</v>
      </c>
      <c r="CC12" s="71">
        <f t="shared" si="10"/>
        <v>207</v>
      </c>
      <c r="CD12" s="72">
        <f t="shared" si="11"/>
        <v>214</v>
      </c>
      <c r="CE12" s="71">
        <f t="shared" si="12"/>
        <v>314</v>
      </c>
      <c r="CF12" s="72">
        <f t="shared" si="13"/>
        <v>354</v>
      </c>
      <c r="CG12" s="71">
        <f t="shared" si="14"/>
        <v>384</v>
      </c>
      <c r="CH12" s="70">
        <f t="shared" si="15"/>
        <v>82</v>
      </c>
      <c r="CI12" s="71">
        <f t="shared" si="16"/>
        <v>86</v>
      </c>
      <c r="CJ12" s="72">
        <f t="shared" si="17"/>
        <v>117</v>
      </c>
      <c r="CK12" s="72">
        <f t="shared" si="18"/>
        <v>123</v>
      </c>
      <c r="CL12" s="72">
        <f t="shared" si="19"/>
        <v>159</v>
      </c>
      <c r="CM12" s="72" t="str">
        <f t="shared" si="20"/>
        <v>-</v>
      </c>
      <c r="CN12" s="72">
        <f t="shared" si="21"/>
        <v>194</v>
      </c>
      <c r="CO12" s="72">
        <f t="shared" si="22"/>
        <v>209</v>
      </c>
      <c r="CP12" s="72">
        <f t="shared" si="23"/>
        <v>248</v>
      </c>
      <c r="CQ12" s="72">
        <f t="shared" si="24"/>
        <v>350</v>
      </c>
      <c r="CR12" s="72">
        <f t="shared" si="25"/>
        <v>383</v>
      </c>
      <c r="CS12" s="72">
        <f t="shared" si="26"/>
        <v>395</v>
      </c>
      <c r="CT12" s="23">
        <f t="shared" si="27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0"/>
        <v>5ht2b_human_4NC3</v>
      </c>
      <c r="B13" s="3" t="s">
        <v>35</v>
      </c>
      <c r="C13" s="3" t="s">
        <v>1309</v>
      </c>
      <c r="D13" s="3" t="str">
        <f>IFERROR(MID(VLOOKUP($B13,Seqs!$A:$B,2,0),E13,1),"")</f>
        <v>K</v>
      </c>
      <c r="E13" s="3">
        <v>53</v>
      </c>
      <c r="F13" s="3" t="str">
        <f>IFERROR(MID(VLOOKUP($B13,Seqs!$A:$B,2,0),G13,1),"")</f>
        <v>E</v>
      </c>
      <c r="G13" s="3">
        <v>82</v>
      </c>
      <c r="H13" s="3" t="str">
        <f>IFERROR(MID(VLOOKUP($B13,Seqs!$A:$B,2,0),I13,1),"")</f>
        <v>K</v>
      </c>
      <c r="I13" s="23">
        <v>83</v>
      </c>
      <c r="J13" s="3" t="str">
        <f>IFERROR(MID(VLOOKUP($B13,Seqs!$A:$B,2,0),K13,1),"")</f>
        <v>Q</v>
      </c>
      <c r="K13" s="23">
        <v>86</v>
      </c>
      <c r="L13" s="3" t="str">
        <f>IFERROR(MID(VLOOKUP($B13,Seqs!$A:$B,2,0),M13,1),"")</f>
        <v>Y</v>
      </c>
      <c r="M13" s="3">
        <v>87</v>
      </c>
      <c r="N13" s="3" t="str">
        <f>IFERROR(MID(VLOOKUP($B13,Seqs!$A:$B,2,0),O13,1),"")</f>
        <v>F</v>
      </c>
      <c r="O13" s="3">
        <v>117</v>
      </c>
      <c r="P13" s="3" t="str">
        <f>IFERROR(MID(VLOOKUP($B13,Seqs!$A:$B,2,0),Q13,1),"")</f>
        <v>M</v>
      </c>
      <c r="Q13" s="3">
        <v>120</v>
      </c>
      <c r="R13" s="3" t="str">
        <f>IFERROR(MID(VLOOKUP($B13,Seqs!$A:$B,2,0),S13,1),"")</f>
        <v>L</v>
      </c>
      <c r="S13" s="3">
        <v>123</v>
      </c>
      <c r="T13" s="3" t="str">
        <f>IFERROR(MID(VLOOKUP($B13,Seqs!$A:$B,2,0),U13,1),"")</f>
        <v>P</v>
      </c>
      <c r="U13" s="3">
        <v>124</v>
      </c>
      <c r="V13" s="3" t="str">
        <f>IFERROR(MID(VLOOKUP($B13,Seqs!$A:$B,2,0),W13,1),"")</f>
        <v>K</v>
      </c>
      <c r="W13" s="3">
        <v>159</v>
      </c>
      <c r="X13" s="3" t="str">
        <f>IFERROR(MID(VLOOKUP($B13,Seqs!$A:$B,2,0),Y13,1),"")</f>
        <v/>
      </c>
      <c r="Y13" s="3" t="s">
        <v>23</v>
      </c>
      <c r="Z13" s="3" t="str">
        <f>IFERROR(MID(VLOOKUP($B13,Seqs!$A:$B,2,0),AA13,1),"")</f>
        <v/>
      </c>
      <c r="AA13" s="3" t="s">
        <v>23</v>
      </c>
      <c r="AB13" s="3" t="str">
        <f>IFERROR(MID(VLOOKUP($B13,Seqs!$A:$B,2,0),AC13,1),"")</f>
        <v>N</v>
      </c>
      <c r="AC13" s="3">
        <v>164</v>
      </c>
      <c r="AD13" s="3" t="str">
        <f>IFERROR(MID(VLOOKUP($B13,Seqs!$A:$B,2,0),AE13,1),"")</f>
        <v>G</v>
      </c>
      <c r="AE13" s="3">
        <v>194</v>
      </c>
      <c r="AF13" s="3" t="str">
        <f>IFERROR(MID(VLOOKUP($B13,Seqs!$A:$B,2,0),AG13,1),"")</f>
        <v>C</v>
      </c>
      <c r="AG13" s="3">
        <v>207</v>
      </c>
      <c r="AH13" s="3" t="str">
        <f>IFERROR(MID(VLOOKUP($B13,Seqs!$A:$B,2,0),AI13,1),"")</f>
        <v>L</v>
      </c>
      <c r="AI13" s="3">
        <v>209</v>
      </c>
      <c r="AJ13" s="3" t="str">
        <f>IFERROR(MID(VLOOKUP($B13,Seqs!$A:$B,2,0),AK13,1),"")</f>
        <v>F</v>
      </c>
      <c r="AK13" s="3">
        <v>214</v>
      </c>
      <c r="AL13" s="3" t="str">
        <f>IFERROR(MID(VLOOKUP($B13,Seqs!$A:$B,2,0),AM13,1),"")</f>
        <v>A</v>
      </c>
      <c r="AM13" s="3">
        <v>248</v>
      </c>
      <c r="AN13" s="3" t="str">
        <f>IFERROR(MID(VLOOKUP($B13,Seqs!$A:$B,2,0),AO13,1),"")</f>
        <v>Q</v>
      </c>
      <c r="AO13" s="3">
        <v>314</v>
      </c>
      <c r="AP13" s="3" t="str">
        <f>IFERROR(MID(VLOOKUP($B13,Seqs!$A:$B,2,0),AQ13,1),"")</f>
        <v>C</v>
      </c>
      <c r="AQ13" s="3">
        <v>350</v>
      </c>
      <c r="AR13" s="3" t="str">
        <f>IFERROR(MID(VLOOKUP($B13,Seqs!$A:$B,2,0),AS13,1),"")</f>
        <v>N</v>
      </c>
      <c r="AS13" s="3">
        <v>354</v>
      </c>
      <c r="AT13" s="3" t="str">
        <f>IFERROR(MID(VLOOKUP($B13,Seqs!$A:$B,2,0),AU13,1),"")</f>
        <v>F</v>
      </c>
      <c r="AU13" s="3">
        <v>383</v>
      </c>
      <c r="AV13" s="3" t="str">
        <f>IFERROR(MID(VLOOKUP($B13,Seqs!$A:$B,2,0),AW13,1),"")</f>
        <v>N</v>
      </c>
      <c r="AW13" s="3">
        <v>384</v>
      </c>
      <c r="AX13" s="3" t="str">
        <f>IFERROR(MID(VLOOKUP($B13,Seqs!$A:$B,2,0),AY13,1),"")</f>
        <v>I</v>
      </c>
      <c r="AY13" s="3">
        <v>395</v>
      </c>
      <c r="AZ13" s="77" t="str">
        <f>VLOOKUP(B13,Classification!A:D,2,0)</f>
        <v>A</v>
      </c>
      <c r="BA13" s="94" t="str">
        <f>VLOOKUP(B13,Classification!A:D,4,0)</f>
        <v>5-Hydroxytryptamine</v>
      </c>
      <c r="BB13" s="27" t="b">
        <f t="shared" si="1"/>
        <v>1</v>
      </c>
      <c r="BC13" s="23">
        <f t="shared" si="2"/>
        <v>254</v>
      </c>
      <c r="BD13" s="4" t="s">
        <v>23</v>
      </c>
      <c r="BE13" s="3" t="s">
        <v>1429</v>
      </c>
      <c r="BF13" s="119">
        <v>2.8</v>
      </c>
      <c r="BG13" s="49" t="s">
        <v>1378</v>
      </c>
      <c r="BH13" s="49" t="s">
        <v>1378</v>
      </c>
      <c r="BI13" s="1"/>
      <c r="BJ13" s="70" t="s">
        <v>1288</v>
      </c>
      <c r="BK13" s="57" t="s">
        <v>1288</v>
      </c>
      <c r="BL13" s="57" t="s">
        <v>1288</v>
      </c>
      <c r="BM13" s="57" t="s">
        <v>1288</v>
      </c>
      <c r="BN13" s="57" t="s">
        <v>1288</v>
      </c>
      <c r="BO13" s="57" t="s">
        <v>1288</v>
      </c>
      <c r="BP13" s="57" t="s">
        <v>1288</v>
      </c>
      <c r="BQ13" s="57" t="s">
        <v>1288</v>
      </c>
      <c r="BR13" s="57" t="s">
        <v>1288</v>
      </c>
      <c r="BS13" s="57" t="s">
        <v>1288</v>
      </c>
      <c r="BT13" s="57" t="s">
        <v>1288</v>
      </c>
      <c r="BU13" s="57" t="s">
        <v>1288</v>
      </c>
      <c r="BV13" s="70">
        <f t="shared" si="3"/>
        <v>53</v>
      </c>
      <c r="BW13" s="71">
        <f t="shared" si="4"/>
        <v>83</v>
      </c>
      <c r="BX13" s="72">
        <f t="shared" si="5"/>
        <v>87</v>
      </c>
      <c r="BY13" s="71">
        <f t="shared" si="6"/>
        <v>120</v>
      </c>
      <c r="BZ13" s="72">
        <f t="shared" si="7"/>
        <v>124</v>
      </c>
      <c r="CA13" s="71" t="str">
        <f t="shared" si="8"/>
        <v>-</v>
      </c>
      <c r="CB13" s="72">
        <f t="shared" si="9"/>
        <v>164</v>
      </c>
      <c r="CC13" s="71">
        <f t="shared" si="10"/>
        <v>207</v>
      </c>
      <c r="CD13" s="72">
        <f t="shared" si="11"/>
        <v>214</v>
      </c>
      <c r="CE13" s="71">
        <f t="shared" si="12"/>
        <v>314</v>
      </c>
      <c r="CF13" s="72">
        <f t="shared" si="13"/>
        <v>354</v>
      </c>
      <c r="CG13" s="71">
        <f t="shared" si="14"/>
        <v>384</v>
      </c>
      <c r="CH13" s="70">
        <f t="shared" si="15"/>
        <v>82</v>
      </c>
      <c r="CI13" s="71">
        <f t="shared" si="16"/>
        <v>86</v>
      </c>
      <c r="CJ13" s="72">
        <f t="shared" si="17"/>
        <v>117</v>
      </c>
      <c r="CK13" s="72">
        <f t="shared" si="18"/>
        <v>123</v>
      </c>
      <c r="CL13" s="72">
        <f t="shared" si="19"/>
        <v>159</v>
      </c>
      <c r="CM13" s="72" t="str">
        <f t="shared" si="20"/>
        <v>-</v>
      </c>
      <c r="CN13" s="72">
        <f t="shared" si="21"/>
        <v>194</v>
      </c>
      <c r="CO13" s="72">
        <f t="shared" si="22"/>
        <v>209</v>
      </c>
      <c r="CP13" s="72">
        <f t="shared" si="23"/>
        <v>248</v>
      </c>
      <c r="CQ13" s="72">
        <f t="shared" si="24"/>
        <v>350</v>
      </c>
      <c r="CR13" s="72">
        <f t="shared" si="25"/>
        <v>383</v>
      </c>
      <c r="CS13" s="72">
        <f t="shared" si="26"/>
        <v>395</v>
      </c>
      <c r="CT13" s="23">
        <f t="shared" si="27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ref="A14:A25" si="84">CONCATENATE(B14,"_",C14)</f>
        <v>5ht2b_human_5TUD</v>
      </c>
      <c r="B14" s="3" t="s">
        <v>35</v>
      </c>
      <c r="C14" s="3" t="s">
        <v>1428</v>
      </c>
      <c r="D14" s="3" t="str">
        <f>IFERROR(MID(VLOOKUP($B14,Seqs!$A:$B,2,0),E14,1),"")</f>
        <v>A</v>
      </c>
      <c r="E14" s="3">
        <v>57</v>
      </c>
      <c r="F14" s="3" t="str">
        <f>IFERROR(MID(VLOOKUP($B14,Seqs!$A:$B,2,0),G14,1),"")</f>
        <v>E</v>
      </c>
      <c r="G14" s="3">
        <v>82</v>
      </c>
      <c r="H14" s="3" t="str">
        <f>IFERROR(MID(VLOOKUP($B14,Seqs!$A:$B,2,0),I14,1),"")</f>
        <v>K</v>
      </c>
      <c r="I14" s="23">
        <v>83</v>
      </c>
      <c r="J14" s="3" t="str">
        <f>IFERROR(MID(VLOOKUP($B14,Seqs!$A:$B,2,0),K14,1),"")</f>
        <v>Q</v>
      </c>
      <c r="K14" s="23">
        <v>86</v>
      </c>
      <c r="L14" s="3" t="str">
        <f>IFERROR(MID(VLOOKUP($B14,Seqs!$A:$B,2,0),M14,1),"")</f>
        <v>Y</v>
      </c>
      <c r="M14" s="3">
        <v>87</v>
      </c>
      <c r="N14" s="3" t="str">
        <f>IFERROR(MID(VLOOKUP($B14,Seqs!$A:$B,2,0),O14,1),"")</f>
        <v>F</v>
      </c>
      <c r="O14" s="3">
        <v>117</v>
      </c>
      <c r="P14" s="3" t="str">
        <f>IFERROR(MID(VLOOKUP($B14,Seqs!$A:$B,2,0),Q14,1),"")</f>
        <v>M</v>
      </c>
      <c r="Q14" s="3">
        <v>120</v>
      </c>
      <c r="R14" s="3" t="str">
        <f>IFERROR(MID(VLOOKUP($B14,Seqs!$A:$B,2,0),S14,1),"")</f>
        <v>L</v>
      </c>
      <c r="S14" s="3">
        <v>123</v>
      </c>
      <c r="T14" s="3" t="str">
        <f>IFERROR(MID(VLOOKUP($B14,Seqs!$A:$B,2,0),U14,1),"")</f>
        <v>P</v>
      </c>
      <c r="U14" s="3">
        <v>124</v>
      </c>
      <c r="V14" s="3" t="str">
        <f>IFERROR(MID(VLOOKUP($B14,Seqs!$A:$B,2,0),W14,1),"")</f>
        <v>K</v>
      </c>
      <c r="W14" s="3">
        <v>159</v>
      </c>
      <c r="X14" s="3" t="str">
        <f>IFERROR(MID(VLOOKUP($B14,Seqs!$A:$B,2,0),Y14,1),"")</f>
        <v/>
      </c>
      <c r="Y14" s="3" t="s">
        <v>23</v>
      </c>
      <c r="Z14" s="3" t="str">
        <f>IFERROR(MID(VLOOKUP($B14,Seqs!$A:$B,2,0),AA14,1),"")</f>
        <v/>
      </c>
      <c r="AA14" s="3" t="s">
        <v>23</v>
      </c>
      <c r="AB14" s="3" t="str">
        <f>IFERROR(MID(VLOOKUP($B14,Seqs!$A:$B,2,0),AC14,1),"")</f>
        <v>N</v>
      </c>
      <c r="AC14" s="3">
        <v>164</v>
      </c>
      <c r="AD14" s="3" t="str">
        <f>IFERROR(MID(VLOOKUP($B14,Seqs!$A:$B,2,0),AE14,1),"")</f>
        <v>K</v>
      </c>
      <c r="AE14" s="3">
        <v>193</v>
      </c>
      <c r="AF14" s="3" t="str">
        <f>IFERROR(MID(VLOOKUP($B14,Seqs!$A:$B,2,0),AG14,1),"")</f>
        <v>C</v>
      </c>
      <c r="AG14" s="3">
        <v>207</v>
      </c>
      <c r="AH14" s="3" t="str">
        <f>IFERROR(MID(VLOOKUP($B14,Seqs!$A:$B,2,0),AI14,1),"")</f>
        <v>L</v>
      </c>
      <c r="AI14" s="3">
        <v>209</v>
      </c>
      <c r="AJ14" s="3" t="str">
        <f>IFERROR(MID(VLOOKUP($B14,Seqs!$A:$B,2,0),AK14,1),"")</f>
        <v>F</v>
      </c>
      <c r="AK14" s="3">
        <v>214</v>
      </c>
      <c r="AL14" s="3" t="str">
        <f>IFERROR(MID(VLOOKUP($B14,Seqs!$A:$B,2,0),AM14,1),"")</f>
        <v>A</v>
      </c>
      <c r="AM14" s="3">
        <v>248</v>
      </c>
      <c r="AN14" s="3" t="str">
        <f>IFERROR(MID(VLOOKUP($B14,Seqs!$A:$B,2,0),AO14,1),"")</f>
        <v>Q</v>
      </c>
      <c r="AO14" s="3">
        <v>314</v>
      </c>
      <c r="AP14" s="3" t="str">
        <f>IFERROR(MID(VLOOKUP($B14,Seqs!$A:$B,2,0),AQ14,1),"")</f>
        <v>C</v>
      </c>
      <c r="AQ14" s="3">
        <v>350</v>
      </c>
      <c r="AR14" s="3" t="str">
        <f>IFERROR(MID(VLOOKUP($B14,Seqs!$A:$B,2,0),AS14,1),"")</f>
        <v>N</v>
      </c>
      <c r="AS14" s="3">
        <v>354</v>
      </c>
      <c r="AT14" s="3" t="str">
        <f>IFERROR(MID(VLOOKUP($B14,Seqs!$A:$B,2,0),AU14,1),"")</f>
        <v>L</v>
      </c>
      <c r="AU14" s="3">
        <v>382</v>
      </c>
      <c r="AV14" s="3" t="str">
        <f>IFERROR(MID(VLOOKUP($B14,Seqs!$A:$B,2,0),AW14,1),"")</f>
        <v>N</v>
      </c>
      <c r="AW14" s="3">
        <v>384</v>
      </c>
      <c r="AX14" s="3" t="str">
        <f>IFERROR(MID(VLOOKUP($B14,Seqs!$A:$B,2,0),AY14,1),"")</f>
        <v>T</v>
      </c>
      <c r="AY14" s="3">
        <v>396</v>
      </c>
      <c r="AZ14" s="77" t="str">
        <f>VLOOKUP(B14,Classification!A:D,2,0)</f>
        <v>A</v>
      </c>
      <c r="BA14" s="94" t="str">
        <f>VLOOKUP(B14,Classification!A:D,4,0)</f>
        <v>5-Hydroxytryptamine</v>
      </c>
      <c r="BB14" s="27" t="b">
        <f t="shared" ref="BB14:BB25" si="85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23">
        <f t="shared" ref="BC14:BC25" si="86">_xlfn.AGGREGATE(9,6,CH14:CS14)-_xlfn.AGGREGATE(9,6,BV14:CG14)+12</f>
        <v>249</v>
      </c>
      <c r="BD14" s="4" t="s">
        <v>1376</v>
      </c>
      <c r="BE14" s="3" t="s">
        <v>1292</v>
      </c>
      <c r="BF14" s="119">
        <v>3</v>
      </c>
      <c r="BG14" s="49" t="s">
        <v>1378</v>
      </c>
      <c r="BH14" s="49" t="s">
        <v>1378</v>
      </c>
      <c r="BI14" s="1"/>
      <c r="BJ14" s="70" t="s">
        <v>1288</v>
      </c>
      <c r="BK14" s="57" t="s">
        <v>1288</v>
      </c>
      <c r="BL14" s="57" t="s">
        <v>1288</v>
      </c>
      <c r="BM14" s="57" t="s">
        <v>1288</v>
      </c>
      <c r="BN14" s="57" t="s">
        <v>1288</v>
      </c>
      <c r="BO14" s="57" t="s">
        <v>1288</v>
      </c>
      <c r="BP14" s="57" t="s">
        <v>1288</v>
      </c>
      <c r="BQ14" s="57" t="s">
        <v>1288</v>
      </c>
      <c r="BR14" s="57" t="s">
        <v>1288</v>
      </c>
      <c r="BS14" s="57" t="s">
        <v>1288</v>
      </c>
      <c r="BT14" s="57" t="s">
        <v>1288</v>
      </c>
      <c r="BU14" s="57" t="s">
        <v>1288</v>
      </c>
      <c r="BV14" s="70">
        <f t="shared" ref="BV14:BV25" si="87">E14</f>
        <v>57</v>
      </c>
      <c r="BW14" s="71">
        <f t="shared" ref="BW14:BW25" si="88">I14</f>
        <v>83</v>
      </c>
      <c r="BX14" s="72">
        <f t="shared" ref="BX14:BX25" si="89">M14</f>
        <v>87</v>
      </c>
      <c r="BY14" s="71">
        <f t="shared" ref="BY14:BY25" si="90">Q14</f>
        <v>120</v>
      </c>
      <c r="BZ14" s="72">
        <f t="shared" ref="BZ14:BZ25" si="91">U14</f>
        <v>124</v>
      </c>
      <c r="CA14" s="71" t="str">
        <f t="shared" ref="CA14:CA25" si="92">Y14</f>
        <v>-</v>
      </c>
      <c r="CB14" s="72">
        <f t="shared" ref="CB14:CB25" si="93">AC14</f>
        <v>164</v>
      </c>
      <c r="CC14" s="71">
        <f t="shared" ref="CC14:CC25" si="94">AG14</f>
        <v>207</v>
      </c>
      <c r="CD14" s="72">
        <f t="shared" ref="CD14:CD25" si="95">AK14</f>
        <v>214</v>
      </c>
      <c r="CE14" s="71">
        <f t="shared" ref="CE14:CE25" si="96">AO14</f>
        <v>314</v>
      </c>
      <c r="CF14" s="72">
        <f t="shared" ref="CF14:CF25" si="97">AS14</f>
        <v>354</v>
      </c>
      <c r="CG14" s="71">
        <f t="shared" ref="CG14:CG25" si="98">AW14</f>
        <v>384</v>
      </c>
      <c r="CH14" s="70">
        <f t="shared" ref="CH14:CH25" si="99">G14</f>
        <v>82</v>
      </c>
      <c r="CI14" s="71">
        <f t="shared" ref="CI14:CI25" si="100">K14</f>
        <v>86</v>
      </c>
      <c r="CJ14" s="72">
        <f t="shared" ref="CJ14:CJ25" si="101">O14</f>
        <v>117</v>
      </c>
      <c r="CK14" s="72">
        <f t="shared" ref="CK14:CK25" si="102">S14</f>
        <v>123</v>
      </c>
      <c r="CL14" s="72">
        <f t="shared" ref="CL14:CL25" si="103">W14</f>
        <v>159</v>
      </c>
      <c r="CM14" s="72" t="str">
        <f t="shared" ref="CM14:CM25" si="104">AA14</f>
        <v>-</v>
      </c>
      <c r="CN14" s="72">
        <f t="shared" ref="CN14:CN25" si="105">AE14</f>
        <v>193</v>
      </c>
      <c r="CO14" s="72">
        <f t="shared" ref="CO14:CO25" si="106">AI14</f>
        <v>209</v>
      </c>
      <c r="CP14" s="72">
        <f t="shared" ref="CP14:CP25" si="107">AM14</f>
        <v>248</v>
      </c>
      <c r="CQ14" s="72">
        <f t="shared" ref="CQ14:CQ25" si="108">AQ14</f>
        <v>350</v>
      </c>
      <c r="CR14" s="72">
        <f t="shared" ref="CR14:CR25" si="109">AU14</f>
        <v>382</v>
      </c>
      <c r="CS14" s="72">
        <f t="shared" ref="CS14:CS25" si="110">AY14</f>
        <v>396</v>
      </c>
      <c r="CT14" s="23">
        <f t="shared" ref="CT14:CT25" si="111">M14-K14</f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84"/>
        <v>5ht2b_human_5TVN</v>
      </c>
      <c r="B15" s="3" t="s">
        <v>35</v>
      </c>
      <c r="C15" s="3" t="s">
        <v>1387</v>
      </c>
      <c r="D15" s="3" t="str">
        <f>IFERROR(MID(VLOOKUP($B15,Seqs!$A:$B,2,0),E15,1),"")</f>
        <v>K</v>
      </c>
      <c r="E15" s="3">
        <v>53</v>
      </c>
      <c r="F15" s="3" t="str">
        <f>IFERROR(MID(VLOOKUP($B15,Seqs!$A:$B,2,0),G15,1),"")</f>
        <v>E</v>
      </c>
      <c r="G15" s="3">
        <v>82</v>
      </c>
      <c r="H15" s="3" t="str">
        <f>IFERROR(MID(VLOOKUP($B15,Seqs!$A:$B,2,0),I15,1),"")</f>
        <v>K</v>
      </c>
      <c r="I15" s="23">
        <v>83</v>
      </c>
      <c r="J15" s="3" t="str">
        <f>IFERROR(MID(VLOOKUP($B15,Seqs!$A:$B,2,0),K15,1),"")</f>
        <v>Q</v>
      </c>
      <c r="K15" s="23">
        <v>86</v>
      </c>
      <c r="L15" s="3" t="str">
        <f>IFERROR(MID(VLOOKUP($B15,Seqs!$A:$B,2,0),M15,1),"")</f>
        <v>Y</v>
      </c>
      <c r="M15" s="3">
        <v>87</v>
      </c>
      <c r="N15" s="3" t="str">
        <f>IFERROR(MID(VLOOKUP($B15,Seqs!$A:$B,2,0),O15,1),"")</f>
        <v>F</v>
      </c>
      <c r="O15" s="3">
        <v>117</v>
      </c>
      <c r="P15" s="3" t="str">
        <f>IFERROR(MID(VLOOKUP($B15,Seqs!$A:$B,2,0),Q15,1),"")</f>
        <v>M</v>
      </c>
      <c r="Q15" s="3">
        <v>120</v>
      </c>
      <c r="R15" s="3" t="str">
        <f>IFERROR(MID(VLOOKUP($B15,Seqs!$A:$B,2,0),S15,1),"")</f>
        <v>L</v>
      </c>
      <c r="S15" s="3">
        <v>123</v>
      </c>
      <c r="T15" s="3" t="str">
        <f>IFERROR(MID(VLOOKUP($B15,Seqs!$A:$B,2,0),U15,1),"")</f>
        <v>P</v>
      </c>
      <c r="U15" s="3">
        <v>124</v>
      </c>
      <c r="V15" s="3" t="str">
        <f>IFERROR(MID(VLOOKUP($B15,Seqs!$A:$B,2,0),W15,1),"")</f>
        <v>K</v>
      </c>
      <c r="W15" s="3">
        <v>159</v>
      </c>
      <c r="X15" s="3" t="str">
        <f>IFERROR(MID(VLOOKUP($B15,Seqs!$A:$B,2,0),Y15,1),"")</f>
        <v/>
      </c>
      <c r="Y15" s="3" t="s">
        <v>23</v>
      </c>
      <c r="Z15" s="3" t="str">
        <f>IFERROR(MID(VLOOKUP($B15,Seqs!$A:$B,2,0),AA15,1),"")</f>
        <v/>
      </c>
      <c r="AA15" s="3" t="s">
        <v>23</v>
      </c>
      <c r="AB15" s="3" t="str">
        <f>IFERROR(MID(VLOOKUP($B15,Seqs!$A:$B,2,0),AC15,1),"")</f>
        <v>S</v>
      </c>
      <c r="AC15" s="3">
        <v>168</v>
      </c>
      <c r="AD15" s="3" t="str">
        <f>IFERROR(MID(VLOOKUP($B15,Seqs!$A:$B,2,0),AE15,1),"")</f>
        <v>G</v>
      </c>
      <c r="AE15" s="3">
        <v>194</v>
      </c>
      <c r="AF15" s="3" t="str">
        <f>IFERROR(MID(VLOOKUP($B15,Seqs!$A:$B,2,0),AG15,1),"")</f>
        <v>C</v>
      </c>
      <c r="AG15" s="3">
        <v>207</v>
      </c>
      <c r="AH15" s="3" t="str">
        <f>IFERROR(MID(VLOOKUP($B15,Seqs!$A:$B,2,0),AI15,1),"")</f>
        <v>L</v>
      </c>
      <c r="AI15" s="3">
        <v>209</v>
      </c>
      <c r="AJ15" s="3" t="str">
        <f>IFERROR(MID(VLOOKUP($B15,Seqs!$A:$B,2,0),AK15,1),"")</f>
        <v>F</v>
      </c>
      <c r="AK15" s="3">
        <v>214</v>
      </c>
      <c r="AL15" s="3" t="str">
        <f>IFERROR(MID(VLOOKUP($B15,Seqs!$A:$B,2,0),AM15,1),"")</f>
        <v>A</v>
      </c>
      <c r="AM15" s="3">
        <v>248</v>
      </c>
      <c r="AN15" s="3" t="str">
        <f>IFERROR(MID(VLOOKUP($B15,Seqs!$A:$B,2,0),AO15,1),"")</f>
        <v>V</v>
      </c>
      <c r="AO15" s="3">
        <v>313</v>
      </c>
      <c r="AP15" s="3" t="str">
        <f>IFERROR(MID(VLOOKUP($B15,Seqs!$A:$B,2,0),AQ15,1),"")</f>
        <v>C</v>
      </c>
      <c r="AQ15" s="3">
        <v>350</v>
      </c>
      <c r="AR15" s="3" t="str">
        <f>IFERROR(MID(VLOOKUP($B15,Seqs!$A:$B,2,0),AS15,1),"")</f>
        <v>N</v>
      </c>
      <c r="AS15" s="3">
        <v>354</v>
      </c>
      <c r="AT15" s="3" t="str">
        <f>IFERROR(MID(VLOOKUP($B15,Seqs!$A:$B,2,0),AU15,1),"")</f>
        <v>F</v>
      </c>
      <c r="AU15" s="3">
        <v>383</v>
      </c>
      <c r="AV15" s="3" t="str">
        <f>IFERROR(MID(VLOOKUP($B15,Seqs!$A:$B,2,0),AW15,1),"")</f>
        <v>N</v>
      </c>
      <c r="AW15" s="3">
        <v>384</v>
      </c>
      <c r="AX15" s="3" t="str">
        <f>IFERROR(MID(VLOOKUP($B15,Seqs!$A:$B,2,0),AY15,1),"")</f>
        <v>I</v>
      </c>
      <c r="AY15" s="3">
        <v>395</v>
      </c>
      <c r="AZ15" s="77" t="str">
        <f>VLOOKUP(B15,Classification!A:D,2,0)</f>
        <v>A</v>
      </c>
      <c r="BA15" s="94" t="str">
        <f>VLOOKUP(B15,Classification!A:D,4,0)</f>
        <v>5-Hydroxytryptamine</v>
      </c>
      <c r="BB15" s="27" t="b">
        <f t="shared" si="85"/>
        <v>1</v>
      </c>
      <c r="BC15" s="23">
        <f t="shared" si="86"/>
        <v>251</v>
      </c>
      <c r="BD15" s="4" t="s">
        <v>23</v>
      </c>
      <c r="BE15" s="3" t="s">
        <v>1429</v>
      </c>
      <c r="BF15" s="119">
        <v>2.9</v>
      </c>
      <c r="BG15" s="49" t="s">
        <v>1378</v>
      </c>
      <c r="BH15" s="49" t="s">
        <v>1378</v>
      </c>
      <c r="BI15" s="1"/>
      <c r="BJ15" s="70" t="s">
        <v>1288</v>
      </c>
      <c r="BK15" s="57" t="s">
        <v>1288</v>
      </c>
      <c r="BL15" s="57" t="s">
        <v>1288</v>
      </c>
      <c r="BM15" s="57" t="s">
        <v>1288</v>
      </c>
      <c r="BN15" s="57" t="s">
        <v>1288</v>
      </c>
      <c r="BO15" s="57" t="s">
        <v>1288</v>
      </c>
      <c r="BP15" s="57" t="s">
        <v>1288</v>
      </c>
      <c r="BQ15" s="57" t="s">
        <v>1288</v>
      </c>
      <c r="BR15" s="57" t="s">
        <v>1288</v>
      </c>
      <c r="BS15" s="57" t="s">
        <v>1288</v>
      </c>
      <c r="BT15" s="57" t="s">
        <v>1288</v>
      </c>
      <c r="BU15" s="57" t="s">
        <v>1288</v>
      </c>
      <c r="BV15" s="70">
        <f t="shared" si="87"/>
        <v>53</v>
      </c>
      <c r="BW15" s="71">
        <f t="shared" si="88"/>
        <v>83</v>
      </c>
      <c r="BX15" s="72">
        <f t="shared" si="89"/>
        <v>87</v>
      </c>
      <c r="BY15" s="71">
        <f t="shared" si="90"/>
        <v>120</v>
      </c>
      <c r="BZ15" s="72">
        <f t="shared" si="91"/>
        <v>124</v>
      </c>
      <c r="CA15" s="71" t="str">
        <f t="shared" si="92"/>
        <v>-</v>
      </c>
      <c r="CB15" s="72">
        <f t="shared" si="93"/>
        <v>168</v>
      </c>
      <c r="CC15" s="71">
        <f t="shared" si="94"/>
        <v>207</v>
      </c>
      <c r="CD15" s="72">
        <f t="shared" si="95"/>
        <v>214</v>
      </c>
      <c r="CE15" s="71">
        <f t="shared" si="96"/>
        <v>313</v>
      </c>
      <c r="CF15" s="72">
        <f t="shared" si="97"/>
        <v>354</v>
      </c>
      <c r="CG15" s="71">
        <f t="shared" si="98"/>
        <v>384</v>
      </c>
      <c r="CH15" s="70">
        <f t="shared" si="99"/>
        <v>82</v>
      </c>
      <c r="CI15" s="71">
        <f t="shared" si="100"/>
        <v>86</v>
      </c>
      <c r="CJ15" s="72">
        <f t="shared" si="101"/>
        <v>117</v>
      </c>
      <c r="CK15" s="72">
        <f t="shared" si="102"/>
        <v>123</v>
      </c>
      <c r="CL15" s="72">
        <f t="shared" si="103"/>
        <v>159</v>
      </c>
      <c r="CM15" s="72" t="str">
        <f t="shared" si="104"/>
        <v>-</v>
      </c>
      <c r="CN15" s="72">
        <f t="shared" si="105"/>
        <v>194</v>
      </c>
      <c r="CO15" s="72">
        <f t="shared" si="106"/>
        <v>209</v>
      </c>
      <c r="CP15" s="72">
        <f t="shared" si="107"/>
        <v>248</v>
      </c>
      <c r="CQ15" s="72">
        <f t="shared" si="108"/>
        <v>350</v>
      </c>
      <c r="CR15" s="72">
        <f t="shared" si="109"/>
        <v>383</v>
      </c>
      <c r="CS15" s="72">
        <f t="shared" si="110"/>
        <v>395</v>
      </c>
      <c r="CT15" s="23">
        <f t="shared" si="111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s="12" customFormat="1" x14ac:dyDescent="0.2">
      <c r="A16" s="9" t="str">
        <f t="shared" ref="A16" si="112">CONCATENATE(B16,"_",C16)</f>
        <v>5ht2b_human_6DRX</v>
      </c>
      <c r="B16" s="9" t="s">
        <v>35</v>
      </c>
      <c r="C16" s="9" t="s">
        <v>1513</v>
      </c>
      <c r="D16" s="9" t="str">
        <f>IFERROR(MID(VLOOKUP($B16,Seqs!$A:$B,2,0),E16,1),"")</f>
        <v>K</v>
      </c>
      <c r="E16" s="9">
        <v>53</v>
      </c>
      <c r="F16" s="9" t="str">
        <f>IFERROR(MID(VLOOKUP($B16,Seqs!$A:$B,2,0),G16,1),"")</f>
        <v>E</v>
      </c>
      <c r="G16" s="9">
        <v>82</v>
      </c>
      <c r="H16" s="9" t="str">
        <f>IFERROR(MID(VLOOKUP($B16,Seqs!$A:$B,2,0),I16,1),"")</f>
        <v>K</v>
      </c>
      <c r="I16" s="109">
        <v>83</v>
      </c>
      <c r="J16" s="9" t="str">
        <f>IFERROR(MID(VLOOKUP($B16,Seqs!$A:$B,2,0),K16,1),"")</f>
        <v>Q</v>
      </c>
      <c r="K16" s="109">
        <v>86</v>
      </c>
      <c r="L16" s="9" t="str">
        <f>IFERROR(MID(VLOOKUP($B16,Seqs!$A:$B,2,0),M16,1),"")</f>
        <v>Y</v>
      </c>
      <c r="M16" s="9">
        <v>87</v>
      </c>
      <c r="N16" s="9" t="str">
        <f>IFERROR(MID(VLOOKUP($B16,Seqs!$A:$B,2,0),O16,1),"")</f>
        <v>F</v>
      </c>
      <c r="O16" s="9">
        <v>117</v>
      </c>
      <c r="P16" s="9" t="str">
        <f>IFERROR(MID(VLOOKUP($B16,Seqs!$A:$B,2,0),Q16,1),"")</f>
        <v>M</v>
      </c>
      <c r="Q16" s="9">
        <v>120</v>
      </c>
      <c r="R16" s="9" t="str">
        <f>IFERROR(MID(VLOOKUP($B16,Seqs!$A:$B,2,0),S16,1),"")</f>
        <v>L</v>
      </c>
      <c r="S16" s="9">
        <v>123</v>
      </c>
      <c r="T16" s="9" t="str">
        <f>IFERROR(MID(VLOOKUP($B16,Seqs!$A:$B,2,0),U16,1),"")</f>
        <v>P</v>
      </c>
      <c r="U16" s="9">
        <v>124</v>
      </c>
      <c r="V16" s="9" t="str">
        <f>IFERROR(MID(VLOOKUP($B16,Seqs!$A:$B,2,0),W16,1),"")</f>
        <v>K</v>
      </c>
      <c r="W16" s="9">
        <v>159</v>
      </c>
      <c r="X16" s="9" t="str">
        <f>IFERROR(MID(VLOOKUP($B16,Seqs!$A:$B,2,0),Y16,1),"")</f>
        <v/>
      </c>
      <c r="Y16" s="9" t="s">
        <v>23</v>
      </c>
      <c r="Z16" s="9" t="str">
        <f>IFERROR(MID(VLOOKUP($B16,Seqs!$A:$B,2,0),AA16,1),"")</f>
        <v/>
      </c>
      <c r="AA16" s="9" t="s">
        <v>23</v>
      </c>
      <c r="AB16" s="9" t="str">
        <f>IFERROR(MID(VLOOKUP($B16,Seqs!$A:$B,2,0),AC16,1),"")</f>
        <v>N</v>
      </c>
      <c r="AC16" s="9">
        <v>164</v>
      </c>
      <c r="AD16" s="9" t="str">
        <f>IFERROR(MID(VLOOKUP($B16,Seqs!$A:$B,2,0),AE16,1),"")</f>
        <v>G</v>
      </c>
      <c r="AE16" s="9">
        <v>194</v>
      </c>
      <c r="AF16" s="9" t="str">
        <f>IFERROR(MID(VLOOKUP($B16,Seqs!$A:$B,2,0),AG16,1),"")</f>
        <v>C</v>
      </c>
      <c r="AG16" s="9">
        <v>207</v>
      </c>
      <c r="AH16" s="9" t="str">
        <f>IFERROR(MID(VLOOKUP($B16,Seqs!$A:$B,2,0),AI16,1),"")</f>
        <v>L</v>
      </c>
      <c r="AI16" s="9">
        <v>209</v>
      </c>
      <c r="AJ16" s="9" t="str">
        <f>IFERROR(MID(VLOOKUP($B16,Seqs!$A:$B,2,0),AK16,1),"")</f>
        <v>F</v>
      </c>
      <c r="AK16" s="9">
        <v>214</v>
      </c>
      <c r="AL16" s="9" t="str">
        <f>IFERROR(MID(VLOOKUP($B16,Seqs!$A:$B,2,0),AM16,1),"")</f>
        <v>A</v>
      </c>
      <c r="AM16" s="9">
        <v>248</v>
      </c>
      <c r="AN16" s="9" t="str">
        <f>IFERROR(MID(VLOOKUP($B16,Seqs!$A:$B,2,0),AO16,1),"")</f>
        <v>Q</v>
      </c>
      <c r="AO16" s="9">
        <v>314</v>
      </c>
      <c r="AP16" s="9" t="str">
        <f>IFERROR(MID(VLOOKUP($B16,Seqs!$A:$B,2,0),AQ16,1),"")</f>
        <v>C</v>
      </c>
      <c r="AQ16" s="9">
        <v>350</v>
      </c>
      <c r="AR16" s="9" t="str">
        <f>IFERROR(MID(VLOOKUP($B16,Seqs!$A:$B,2,0),AS16,1),"")</f>
        <v>N</v>
      </c>
      <c r="AS16" s="9">
        <v>354</v>
      </c>
      <c r="AT16" s="9" t="str">
        <f>IFERROR(MID(VLOOKUP($B16,Seqs!$A:$B,2,0),AU16,1),"")</f>
        <v>F</v>
      </c>
      <c r="AU16" s="9">
        <v>383</v>
      </c>
      <c r="AV16" s="9" t="str">
        <f>IFERROR(MID(VLOOKUP($B16,Seqs!$A:$B,2,0),AW16,1),"")</f>
        <v>N</v>
      </c>
      <c r="AW16" s="9">
        <v>384</v>
      </c>
      <c r="AX16" s="9" t="str">
        <f>IFERROR(MID(VLOOKUP($B16,Seqs!$A:$B,2,0),AY16,1),"")</f>
        <v>I</v>
      </c>
      <c r="AY16" s="9">
        <v>395</v>
      </c>
      <c r="AZ16" s="110" t="str">
        <f>VLOOKUP(B16,Classification!A:D,2,0)</f>
        <v>A</v>
      </c>
      <c r="BA16" s="98" t="str">
        <f>VLOOKUP(B16,Classification!A:D,4,0)</f>
        <v>5-Hydroxytryptamine</v>
      </c>
      <c r="BB16" s="36" t="b">
        <f t="shared" ref="BB16" si="113">AND(E16&lt;G16,OR(G16&lt;I16,I16="-"),OR(I16&lt;K16,I16="-"),OR(K16&lt;M16,K16="-"),M16&lt;O16,OR(O16&lt;Q16,Q16="-"),OR(Q16&lt;S16,Q16="-"),OR(S16&lt;U16,S16="-"),U16&lt;W16,OR(W16&lt;Y16,Y16="-"),OR(Y16&lt;AA16,Y16="-"),OR(AA16&lt;AC16,AA16="-"),AC16&lt;AE16,OR(AE16&lt;AG16,AG16="-"),OR(AG16&lt;AI16,AG16="-"),OR(AI16&lt;AK16,AI16="-"),AK16&lt;AM16,AM16&lt;AO16,AO16&lt;AQ16,AQ16&lt;AS16,AS16&lt;AU16,OR(AU16&lt;AW16,AW16="-"),OR(AW16&lt;AY16,AW16="-"))</f>
        <v>1</v>
      </c>
      <c r="BC16" s="109">
        <f t="shared" ref="BC16" si="114">_xlfn.AGGREGATE(9,6,CH16:CS16)-_xlfn.AGGREGATE(9,6,BV16:CG16)+12</f>
        <v>254</v>
      </c>
      <c r="BD16" s="11" t="s">
        <v>23</v>
      </c>
      <c r="BE16" s="9" t="s">
        <v>1429</v>
      </c>
      <c r="BF16" s="120">
        <v>3.1</v>
      </c>
      <c r="BG16" s="51" t="s">
        <v>1</v>
      </c>
      <c r="BH16" s="51" t="s">
        <v>1</v>
      </c>
      <c r="BJ16" s="111" t="s">
        <v>1288</v>
      </c>
      <c r="BK16" s="112" t="s">
        <v>1288</v>
      </c>
      <c r="BL16" s="112" t="s">
        <v>1288</v>
      </c>
      <c r="BM16" s="112" t="s">
        <v>1288</v>
      </c>
      <c r="BN16" s="112" t="s">
        <v>1288</v>
      </c>
      <c r="BO16" s="112" t="s">
        <v>1288</v>
      </c>
      <c r="BP16" s="112" t="s">
        <v>1288</v>
      </c>
      <c r="BQ16" s="112" t="s">
        <v>1288</v>
      </c>
      <c r="BR16" s="112" t="s">
        <v>1288</v>
      </c>
      <c r="BS16" s="112" t="s">
        <v>1288</v>
      </c>
      <c r="BT16" s="112" t="s">
        <v>1288</v>
      </c>
      <c r="BU16" s="112" t="s">
        <v>1288</v>
      </c>
      <c r="BV16" s="111">
        <f t="shared" ref="BV16" si="115">E16</f>
        <v>53</v>
      </c>
      <c r="BW16" s="113">
        <f t="shared" ref="BW16" si="116">I16</f>
        <v>83</v>
      </c>
      <c r="BX16" s="114">
        <f t="shared" ref="BX16" si="117">M16</f>
        <v>87</v>
      </c>
      <c r="BY16" s="113">
        <f t="shared" ref="BY16" si="118">Q16</f>
        <v>120</v>
      </c>
      <c r="BZ16" s="114">
        <f t="shared" ref="BZ16" si="119">U16</f>
        <v>124</v>
      </c>
      <c r="CA16" s="113" t="str">
        <f t="shared" ref="CA16" si="120">Y16</f>
        <v>-</v>
      </c>
      <c r="CB16" s="114">
        <f t="shared" ref="CB16" si="121">AC16</f>
        <v>164</v>
      </c>
      <c r="CC16" s="113">
        <f t="shared" ref="CC16" si="122">AG16</f>
        <v>207</v>
      </c>
      <c r="CD16" s="114">
        <f t="shared" ref="CD16" si="123">AK16</f>
        <v>214</v>
      </c>
      <c r="CE16" s="113">
        <f t="shared" ref="CE16" si="124">AO16</f>
        <v>314</v>
      </c>
      <c r="CF16" s="114">
        <f t="shared" ref="CF16" si="125">AS16</f>
        <v>354</v>
      </c>
      <c r="CG16" s="113">
        <f t="shared" ref="CG16" si="126">AW16</f>
        <v>384</v>
      </c>
      <c r="CH16" s="111">
        <f t="shared" ref="CH16" si="127">G16</f>
        <v>82</v>
      </c>
      <c r="CI16" s="113">
        <f t="shared" ref="CI16" si="128">K16</f>
        <v>86</v>
      </c>
      <c r="CJ16" s="114">
        <f t="shared" ref="CJ16" si="129">O16</f>
        <v>117</v>
      </c>
      <c r="CK16" s="114">
        <f t="shared" ref="CK16" si="130">S16</f>
        <v>123</v>
      </c>
      <c r="CL16" s="114">
        <f t="shared" ref="CL16" si="131">W16</f>
        <v>159</v>
      </c>
      <c r="CM16" s="114" t="str">
        <f t="shared" ref="CM16" si="132">AA16</f>
        <v>-</v>
      </c>
      <c r="CN16" s="114">
        <f t="shared" ref="CN16" si="133">AE16</f>
        <v>194</v>
      </c>
      <c r="CO16" s="114">
        <f t="shared" ref="CO16" si="134">AI16</f>
        <v>209</v>
      </c>
      <c r="CP16" s="114">
        <f t="shared" ref="CP16" si="135">AM16</f>
        <v>248</v>
      </c>
      <c r="CQ16" s="114">
        <f t="shared" ref="CQ16" si="136">AQ16</f>
        <v>350</v>
      </c>
      <c r="CR16" s="114">
        <f t="shared" ref="CR16" si="137">AU16</f>
        <v>383</v>
      </c>
      <c r="CS16" s="114">
        <f t="shared" ref="CS16" si="138">AY16</f>
        <v>395</v>
      </c>
      <c r="CT16" s="109">
        <f t="shared" ref="CT16" si="139">M16-K16</f>
        <v>1</v>
      </c>
    </row>
    <row r="17" spans="1:1029" s="12" customFormat="1" x14ac:dyDescent="0.2">
      <c r="A17" s="9" t="str">
        <f t="shared" ref="A17" si="140">CONCATENATE(B17,"_",C17)</f>
        <v>5ht2b_human_6DRY</v>
      </c>
      <c r="B17" s="9" t="s">
        <v>35</v>
      </c>
      <c r="C17" s="9" t="s">
        <v>1514</v>
      </c>
      <c r="D17" s="9" t="str">
        <f>IFERROR(MID(VLOOKUP($B17,Seqs!$A:$B,2,0),E17,1),"")</f>
        <v>K</v>
      </c>
      <c r="E17" s="9">
        <v>53</v>
      </c>
      <c r="F17" s="9" t="str">
        <f>IFERROR(MID(VLOOKUP($B17,Seqs!$A:$B,2,0),G17,1),"")</f>
        <v>E</v>
      </c>
      <c r="G17" s="9">
        <v>82</v>
      </c>
      <c r="H17" s="9" t="str">
        <f>IFERROR(MID(VLOOKUP($B17,Seqs!$A:$B,2,0),I17,1),"")</f>
        <v>K</v>
      </c>
      <c r="I17" s="109">
        <v>83</v>
      </c>
      <c r="J17" s="9" t="str">
        <f>IFERROR(MID(VLOOKUP($B17,Seqs!$A:$B,2,0),K17,1),"")</f>
        <v>Q</v>
      </c>
      <c r="K17" s="109">
        <v>86</v>
      </c>
      <c r="L17" s="9" t="str">
        <f>IFERROR(MID(VLOOKUP($B17,Seqs!$A:$B,2,0),M17,1),"")</f>
        <v>Y</v>
      </c>
      <c r="M17" s="9">
        <v>87</v>
      </c>
      <c r="N17" s="9" t="str">
        <f>IFERROR(MID(VLOOKUP($B17,Seqs!$A:$B,2,0),O17,1),"")</f>
        <v>F</v>
      </c>
      <c r="O17" s="9">
        <v>117</v>
      </c>
      <c r="P17" s="9" t="str">
        <f>IFERROR(MID(VLOOKUP($B17,Seqs!$A:$B,2,0),Q17,1),"")</f>
        <v>M</v>
      </c>
      <c r="Q17" s="9">
        <v>120</v>
      </c>
      <c r="R17" s="9" t="str">
        <f>IFERROR(MID(VLOOKUP($B17,Seqs!$A:$B,2,0),S17,1),"")</f>
        <v>L</v>
      </c>
      <c r="S17" s="9">
        <v>123</v>
      </c>
      <c r="T17" s="9" t="str">
        <f>IFERROR(MID(VLOOKUP($B17,Seqs!$A:$B,2,0),U17,1),"")</f>
        <v>P</v>
      </c>
      <c r="U17" s="9">
        <v>124</v>
      </c>
      <c r="V17" s="9" t="str">
        <f>IFERROR(MID(VLOOKUP($B17,Seqs!$A:$B,2,0),W17,1),"")</f>
        <v>K</v>
      </c>
      <c r="W17" s="9">
        <v>159</v>
      </c>
      <c r="X17" s="9" t="str">
        <f>IFERROR(MID(VLOOKUP($B17,Seqs!$A:$B,2,0),Y17,1),"")</f>
        <v/>
      </c>
      <c r="Y17" s="9" t="s">
        <v>23</v>
      </c>
      <c r="Z17" s="9" t="str">
        <f>IFERROR(MID(VLOOKUP($B17,Seqs!$A:$B,2,0),AA17,1),"")</f>
        <v/>
      </c>
      <c r="AA17" s="9" t="s">
        <v>23</v>
      </c>
      <c r="AB17" s="9" t="str">
        <f>IFERROR(MID(VLOOKUP($B17,Seqs!$A:$B,2,0),AC17,1),"")</f>
        <v>S</v>
      </c>
      <c r="AC17" s="9">
        <v>168</v>
      </c>
      <c r="AD17" s="9" t="str">
        <f>IFERROR(MID(VLOOKUP($B17,Seqs!$A:$B,2,0),AE17,1),"")</f>
        <v>G</v>
      </c>
      <c r="AE17" s="9">
        <v>194</v>
      </c>
      <c r="AF17" s="9" t="str">
        <f>IFERROR(MID(VLOOKUP($B17,Seqs!$A:$B,2,0),AG17,1),"")</f>
        <v>C</v>
      </c>
      <c r="AG17" s="9">
        <v>207</v>
      </c>
      <c r="AH17" s="9" t="str">
        <f>IFERROR(MID(VLOOKUP($B17,Seqs!$A:$B,2,0),AI17,1),"")</f>
        <v>L</v>
      </c>
      <c r="AI17" s="9">
        <v>209</v>
      </c>
      <c r="AJ17" s="9" t="str">
        <f>IFERROR(MID(VLOOKUP($B17,Seqs!$A:$B,2,0),AK17,1),"")</f>
        <v>F</v>
      </c>
      <c r="AK17" s="9">
        <v>214</v>
      </c>
      <c r="AL17" s="9" t="str">
        <f>IFERROR(MID(VLOOKUP($B17,Seqs!$A:$B,2,0),AM17,1),"")</f>
        <v>A</v>
      </c>
      <c r="AM17" s="9">
        <v>248</v>
      </c>
      <c r="AN17" s="9" t="str">
        <f>IFERROR(MID(VLOOKUP($B17,Seqs!$A:$B,2,0),AO17,1),"")</f>
        <v>V</v>
      </c>
      <c r="AO17" s="9">
        <v>313</v>
      </c>
      <c r="AP17" s="9" t="str">
        <f>IFERROR(MID(VLOOKUP($B17,Seqs!$A:$B,2,0),AQ17,1),"")</f>
        <v>C</v>
      </c>
      <c r="AQ17" s="9">
        <v>350</v>
      </c>
      <c r="AR17" s="9" t="str">
        <f>IFERROR(MID(VLOOKUP($B17,Seqs!$A:$B,2,0),AS17,1),"")</f>
        <v>N</v>
      </c>
      <c r="AS17" s="9">
        <v>354</v>
      </c>
      <c r="AT17" s="9" t="str">
        <f>IFERROR(MID(VLOOKUP($B17,Seqs!$A:$B,2,0),AU17,1),"")</f>
        <v>F</v>
      </c>
      <c r="AU17" s="9">
        <v>383</v>
      </c>
      <c r="AV17" s="9" t="str">
        <f>IFERROR(MID(VLOOKUP($B17,Seqs!$A:$B,2,0),AW17,1),"")</f>
        <v>N</v>
      </c>
      <c r="AW17" s="9">
        <v>384</v>
      </c>
      <c r="AX17" s="9" t="str">
        <f>IFERROR(MID(VLOOKUP($B17,Seqs!$A:$B,2,0),AY17,1),"")</f>
        <v>I</v>
      </c>
      <c r="AY17" s="9">
        <v>395</v>
      </c>
      <c r="AZ17" s="110" t="str">
        <f>VLOOKUP(B17,Classification!A:D,2,0)</f>
        <v>A</v>
      </c>
      <c r="BA17" s="98" t="str">
        <f>VLOOKUP(B17,Classification!A:D,4,0)</f>
        <v>5-Hydroxytryptamine</v>
      </c>
      <c r="BB17" s="36" t="b">
        <f t="shared" ref="BB17" si="141">AND(E17&lt;G17,OR(G17&lt;I17,I17="-"),OR(I17&lt;K17,I17="-"),OR(K17&lt;M17,K17="-"),M17&lt;O17,OR(O17&lt;Q17,Q17="-"),OR(Q17&lt;S17,Q17="-"),OR(S17&lt;U17,S17="-"),U17&lt;W17,OR(W17&lt;Y17,Y17="-"),OR(Y17&lt;AA17,Y17="-"),OR(AA17&lt;AC17,AA17="-"),AC17&lt;AE17,OR(AE17&lt;AG17,AG17="-"),OR(AG17&lt;AI17,AG17="-"),OR(AI17&lt;AK17,AI17="-"),AK17&lt;AM17,AM17&lt;AO17,AO17&lt;AQ17,AQ17&lt;AS17,AS17&lt;AU17,OR(AU17&lt;AW17,AW17="-"),OR(AW17&lt;AY17,AW17="-"))</f>
        <v>1</v>
      </c>
      <c r="BC17" s="109">
        <f t="shared" ref="BC17" si="142">_xlfn.AGGREGATE(9,6,CH17:CS17)-_xlfn.AGGREGATE(9,6,BV17:CG17)+12</f>
        <v>251</v>
      </c>
      <c r="BD17" s="11" t="s">
        <v>23</v>
      </c>
      <c r="BE17" s="9" t="s">
        <v>1429</v>
      </c>
      <c r="BF17" s="120">
        <v>2.92</v>
      </c>
      <c r="BG17" s="51" t="s">
        <v>1</v>
      </c>
      <c r="BH17" s="51" t="s">
        <v>1</v>
      </c>
      <c r="BJ17" s="111" t="s">
        <v>1288</v>
      </c>
      <c r="BK17" s="112" t="s">
        <v>1288</v>
      </c>
      <c r="BL17" s="112" t="s">
        <v>1288</v>
      </c>
      <c r="BM17" s="112" t="s">
        <v>1288</v>
      </c>
      <c r="BN17" s="112" t="s">
        <v>1288</v>
      </c>
      <c r="BO17" s="112" t="s">
        <v>1288</v>
      </c>
      <c r="BP17" s="112" t="s">
        <v>1288</v>
      </c>
      <c r="BQ17" s="112" t="s">
        <v>1288</v>
      </c>
      <c r="BR17" s="112" t="s">
        <v>1288</v>
      </c>
      <c r="BS17" s="112" t="s">
        <v>1288</v>
      </c>
      <c r="BT17" s="112" t="s">
        <v>1288</v>
      </c>
      <c r="BU17" s="112" t="s">
        <v>1288</v>
      </c>
      <c r="BV17" s="111">
        <f t="shared" ref="BV17" si="143">E17</f>
        <v>53</v>
      </c>
      <c r="BW17" s="113">
        <f t="shared" ref="BW17" si="144">I17</f>
        <v>83</v>
      </c>
      <c r="BX17" s="114">
        <f t="shared" ref="BX17" si="145">M17</f>
        <v>87</v>
      </c>
      <c r="BY17" s="113">
        <f t="shared" ref="BY17" si="146">Q17</f>
        <v>120</v>
      </c>
      <c r="BZ17" s="114">
        <f t="shared" ref="BZ17" si="147">U17</f>
        <v>124</v>
      </c>
      <c r="CA17" s="113" t="str">
        <f t="shared" ref="CA17" si="148">Y17</f>
        <v>-</v>
      </c>
      <c r="CB17" s="114">
        <f t="shared" ref="CB17" si="149">AC17</f>
        <v>168</v>
      </c>
      <c r="CC17" s="113">
        <f t="shared" ref="CC17" si="150">AG17</f>
        <v>207</v>
      </c>
      <c r="CD17" s="114">
        <f t="shared" ref="CD17" si="151">AK17</f>
        <v>214</v>
      </c>
      <c r="CE17" s="113">
        <f t="shared" ref="CE17" si="152">AO17</f>
        <v>313</v>
      </c>
      <c r="CF17" s="114">
        <f t="shared" ref="CF17" si="153">AS17</f>
        <v>354</v>
      </c>
      <c r="CG17" s="113">
        <f t="shared" ref="CG17" si="154">AW17</f>
        <v>384</v>
      </c>
      <c r="CH17" s="111">
        <f t="shared" ref="CH17" si="155">G17</f>
        <v>82</v>
      </c>
      <c r="CI17" s="113">
        <f t="shared" ref="CI17" si="156">K17</f>
        <v>86</v>
      </c>
      <c r="CJ17" s="114">
        <f t="shared" ref="CJ17" si="157">O17</f>
        <v>117</v>
      </c>
      <c r="CK17" s="114">
        <f t="shared" ref="CK17" si="158">S17</f>
        <v>123</v>
      </c>
      <c r="CL17" s="114">
        <f t="shared" ref="CL17" si="159">W17</f>
        <v>159</v>
      </c>
      <c r="CM17" s="114" t="str">
        <f t="shared" ref="CM17" si="160">AA17</f>
        <v>-</v>
      </c>
      <c r="CN17" s="114">
        <f t="shared" ref="CN17" si="161">AE17</f>
        <v>194</v>
      </c>
      <c r="CO17" s="114">
        <f t="shared" ref="CO17" si="162">AI17</f>
        <v>209</v>
      </c>
      <c r="CP17" s="114">
        <f t="shared" ref="CP17" si="163">AM17</f>
        <v>248</v>
      </c>
      <c r="CQ17" s="114">
        <f t="shared" ref="CQ17" si="164">AQ17</f>
        <v>350</v>
      </c>
      <c r="CR17" s="114">
        <f t="shared" ref="CR17" si="165">AU17</f>
        <v>383</v>
      </c>
      <c r="CS17" s="114">
        <f t="shared" ref="CS17" si="166">AY17</f>
        <v>395</v>
      </c>
      <c r="CT17" s="109">
        <f t="shared" ref="CT17" si="167">M17-K17</f>
        <v>1</v>
      </c>
    </row>
    <row r="18" spans="1:1029" s="12" customFormat="1" x14ac:dyDescent="0.2">
      <c r="A18" s="9" t="str">
        <f t="shared" ref="A18" si="168">CONCATENATE(B18,"_",C18)</f>
        <v>5ht2b_human_6DRZ</v>
      </c>
      <c r="B18" s="9" t="s">
        <v>35</v>
      </c>
      <c r="C18" s="9" t="s">
        <v>1515</v>
      </c>
      <c r="D18" s="9" t="str">
        <f>IFERROR(MID(VLOOKUP($B18,Seqs!$A:$B,2,0),E18,1),"")</f>
        <v>K</v>
      </c>
      <c r="E18" s="9">
        <v>53</v>
      </c>
      <c r="F18" s="9" t="str">
        <f>IFERROR(MID(VLOOKUP($B18,Seqs!$A:$B,2,0),G18,1),"")</f>
        <v>E</v>
      </c>
      <c r="G18" s="9">
        <v>82</v>
      </c>
      <c r="H18" s="9" t="str">
        <f>IFERROR(MID(VLOOKUP($B18,Seqs!$A:$B,2,0),I18,1),"")</f>
        <v>K</v>
      </c>
      <c r="I18" s="109">
        <v>83</v>
      </c>
      <c r="J18" s="9" t="str">
        <f>IFERROR(MID(VLOOKUP($B18,Seqs!$A:$B,2,0),K18,1),"")</f>
        <v>Q</v>
      </c>
      <c r="K18" s="109">
        <v>86</v>
      </c>
      <c r="L18" s="9" t="str">
        <f>IFERROR(MID(VLOOKUP($B18,Seqs!$A:$B,2,0),M18,1),"")</f>
        <v>Y</v>
      </c>
      <c r="M18" s="9">
        <v>87</v>
      </c>
      <c r="N18" s="9" t="str">
        <f>IFERROR(MID(VLOOKUP($B18,Seqs!$A:$B,2,0),O18,1),"")</f>
        <v>F</v>
      </c>
      <c r="O18" s="9">
        <v>117</v>
      </c>
      <c r="P18" s="9" t="str">
        <f>IFERROR(MID(VLOOKUP($B18,Seqs!$A:$B,2,0),Q18,1),"")</f>
        <v>M</v>
      </c>
      <c r="Q18" s="9">
        <v>120</v>
      </c>
      <c r="R18" s="9" t="str">
        <f>IFERROR(MID(VLOOKUP($B18,Seqs!$A:$B,2,0),S18,1),"")</f>
        <v>L</v>
      </c>
      <c r="S18" s="9">
        <v>123</v>
      </c>
      <c r="T18" s="9" t="str">
        <f>IFERROR(MID(VLOOKUP($B18,Seqs!$A:$B,2,0),U18,1),"")</f>
        <v>P</v>
      </c>
      <c r="U18" s="9">
        <v>124</v>
      </c>
      <c r="V18" s="9" t="str">
        <f>IFERROR(MID(VLOOKUP($B18,Seqs!$A:$B,2,0),W18,1),"")</f>
        <v>K</v>
      </c>
      <c r="W18" s="9">
        <v>159</v>
      </c>
      <c r="X18" s="9" t="str">
        <f>IFERROR(MID(VLOOKUP($B18,Seqs!$A:$B,2,0),Y18,1),"")</f>
        <v/>
      </c>
      <c r="Y18" s="9" t="s">
        <v>23</v>
      </c>
      <c r="Z18" s="9" t="str">
        <f>IFERROR(MID(VLOOKUP($B18,Seqs!$A:$B,2,0),AA18,1),"")</f>
        <v/>
      </c>
      <c r="AA18" s="9" t="s">
        <v>23</v>
      </c>
      <c r="AB18" s="9" t="str">
        <f>IFERROR(MID(VLOOKUP($B18,Seqs!$A:$B,2,0),AC18,1),"")</f>
        <v>R</v>
      </c>
      <c r="AC18" s="9">
        <v>169</v>
      </c>
      <c r="AD18" s="9" t="str">
        <f>IFERROR(MID(VLOOKUP($B18,Seqs!$A:$B,2,0),AE18,1),"")</f>
        <v>G</v>
      </c>
      <c r="AE18" s="9">
        <v>194</v>
      </c>
      <c r="AF18" s="9" t="str">
        <f>IFERROR(MID(VLOOKUP($B18,Seqs!$A:$B,2,0),AG18,1),"")</f>
        <v>C</v>
      </c>
      <c r="AG18" s="9">
        <v>207</v>
      </c>
      <c r="AH18" s="9" t="str">
        <f>IFERROR(MID(VLOOKUP($B18,Seqs!$A:$B,2,0),AI18,1),"")</f>
        <v>L</v>
      </c>
      <c r="AI18" s="9">
        <v>209</v>
      </c>
      <c r="AJ18" s="9" t="str">
        <f>IFERROR(MID(VLOOKUP($B18,Seqs!$A:$B,2,0),AK18,1),"")</f>
        <v>F</v>
      </c>
      <c r="AK18" s="9">
        <v>214</v>
      </c>
      <c r="AL18" s="9" t="str">
        <f>IFERROR(MID(VLOOKUP($B18,Seqs!$A:$B,2,0),AM18,1),"")</f>
        <v>A</v>
      </c>
      <c r="AM18" s="9">
        <v>248</v>
      </c>
      <c r="AN18" s="9" t="str">
        <f>IFERROR(MID(VLOOKUP($B18,Seqs!$A:$B,2,0),AO18,1),"")</f>
        <v>V</v>
      </c>
      <c r="AO18" s="9">
        <v>313</v>
      </c>
      <c r="AP18" s="9" t="str">
        <f>IFERROR(MID(VLOOKUP($B18,Seqs!$A:$B,2,0),AQ18,1),"")</f>
        <v>C</v>
      </c>
      <c r="AQ18" s="9">
        <v>350</v>
      </c>
      <c r="AR18" s="9" t="str">
        <f>IFERROR(MID(VLOOKUP($B18,Seqs!$A:$B,2,0),AS18,1),"")</f>
        <v>N</v>
      </c>
      <c r="AS18" s="9">
        <v>354</v>
      </c>
      <c r="AT18" s="9" t="str">
        <f>IFERROR(MID(VLOOKUP($B18,Seqs!$A:$B,2,0),AU18,1),"")</f>
        <v>F</v>
      </c>
      <c r="AU18" s="9">
        <v>383</v>
      </c>
      <c r="AV18" s="9" t="str">
        <f>IFERROR(MID(VLOOKUP($B18,Seqs!$A:$B,2,0),AW18,1),"")</f>
        <v>N</v>
      </c>
      <c r="AW18" s="9">
        <v>384</v>
      </c>
      <c r="AX18" s="9" t="str">
        <f>IFERROR(MID(VLOOKUP($B18,Seqs!$A:$B,2,0),AY18,1),"")</f>
        <v>I</v>
      </c>
      <c r="AY18" s="9">
        <v>395</v>
      </c>
      <c r="AZ18" s="110" t="str">
        <f>VLOOKUP(B18,Classification!A:D,2,0)</f>
        <v>A</v>
      </c>
      <c r="BA18" s="98" t="str">
        <f>VLOOKUP(B18,Classification!A:D,4,0)</f>
        <v>5-Hydroxytryptamine</v>
      </c>
      <c r="BB18" s="36" t="b">
        <f t="shared" ref="BB18" si="169"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C18" s="109">
        <f t="shared" ref="BC18" si="170">_xlfn.AGGREGATE(9,6,CH18:CS18)-_xlfn.AGGREGATE(9,6,BV18:CG18)+12</f>
        <v>250</v>
      </c>
      <c r="BD18" s="11" t="s">
        <v>23</v>
      </c>
      <c r="BE18" s="9" t="s">
        <v>1429</v>
      </c>
      <c r="BF18" s="120">
        <v>3.1</v>
      </c>
      <c r="BG18" s="51" t="s">
        <v>1</v>
      </c>
      <c r="BH18" s="51" t="s">
        <v>1</v>
      </c>
      <c r="BJ18" s="111" t="s">
        <v>1288</v>
      </c>
      <c r="BK18" s="112" t="s">
        <v>1288</v>
      </c>
      <c r="BL18" s="112" t="s">
        <v>1288</v>
      </c>
      <c r="BM18" s="112" t="s">
        <v>1288</v>
      </c>
      <c r="BN18" s="112" t="s">
        <v>1288</v>
      </c>
      <c r="BO18" s="112" t="s">
        <v>1288</v>
      </c>
      <c r="BP18" s="112" t="s">
        <v>1288</v>
      </c>
      <c r="BQ18" s="112" t="s">
        <v>1288</v>
      </c>
      <c r="BR18" s="112" t="s">
        <v>1288</v>
      </c>
      <c r="BS18" s="112" t="s">
        <v>1288</v>
      </c>
      <c r="BT18" s="112" t="s">
        <v>1288</v>
      </c>
      <c r="BU18" s="112" t="s">
        <v>1288</v>
      </c>
      <c r="BV18" s="111">
        <f t="shared" ref="BV18" si="171">E18</f>
        <v>53</v>
      </c>
      <c r="BW18" s="113">
        <f t="shared" ref="BW18" si="172">I18</f>
        <v>83</v>
      </c>
      <c r="BX18" s="114">
        <f t="shared" ref="BX18" si="173">M18</f>
        <v>87</v>
      </c>
      <c r="BY18" s="113">
        <f t="shared" ref="BY18" si="174">Q18</f>
        <v>120</v>
      </c>
      <c r="BZ18" s="114">
        <f t="shared" ref="BZ18" si="175">U18</f>
        <v>124</v>
      </c>
      <c r="CA18" s="113" t="str">
        <f t="shared" ref="CA18" si="176">Y18</f>
        <v>-</v>
      </c>
      <c r="CB18" s="114">
        <f t="shared" ref="CB18" si="177">AC18</f>
        <v>169</v>
      </c>
      <c r="CC18" s="113">
        <f t="shared" ref="CC18" si="178">AG18</f>
        <v>207</v>
      </c>
      <c r="CD18" s="114">
        <f t="shared" ref="CD18" si="179">AK18</f>
        <v>214</v>
      </c>
      <c r="CE18" s="113">
        <f t="shared" ref="CE18" si="180">AO18</f>
        <v>313</v>
      </c>
      <c r="CF18" s="114">
        <f t="shared" ref="CF18" si="181">AS18</f>
        <v>354</v>
      </c>
      <c r="CG18" s="113">
        <f t="shared" ref="CG18" si="182">AW18</f>
        <v>384</v>
      </c>
      <c r="CH18" s="111">
        <f t="shared" ref="CH18" si="183">G18</f>
        <v>82</v>
      </c>
      <c r="CI18" s="113">
        <f t="shared" ref="CI18" si="184">K18</f>
        <v>86</v>
      </c>
      <c r="CJ18" s="114">
        <f t="shared" ref="CJ18" si="185">O18</f>
        <v>117</v>
      </c>
      <c r="CK18" s="114">
        <f t="shared" ref="CK18" si="186">S18</f>
        <v>123</v>
      </c>
      <c r="CL18" s="114">
        <f t="shared" ref="CL18" si="187">W18</f>
        <v>159</v>
      </c>
      <c r="CM18" s="114" t="str">
        <f t="shared" ref="CM18" si="188">AA18</f>
        <v>-</v>
      </c>
      <c r="CN18" s="114">
        <f t="shared" ref="CN18" si="189">AE18</f>
        <v>194</v>
      </c>
      <c r="CO18" s="114">
        <f t="shared" ref="CO18" si="190">AI18</f>
        <v>209</v>
      </c>
      <c r="CP18" s="114">
        <f t="shared" ref="CP18" si="191">AM18</f>
        <v>248</v>
      </c>
      <c r="CQ18" s="114">
        <f t="shared" ref="CQ18" si="192">AQ18</f>
        <v>350</v>
      </c>
      <c r="CR18" s="114">
        <f t="shared" ref="CR18" si="193">AU18</f>
        <v>383</v>
      </c>
      <c r="CS18" s="114">
        <f t="shared" ref="CS18" si="194">AY18</f>
        <v>395</v>
      </c>
      <c r="CT18" s="109">
        <f t="shared" ref="CT18" si="195">M18-K18</f>
        <v>1</v>
      </c>
    </row>
    <row r="19" spans="1:1029" s="12" customFormat="1" x14ac:dyDescent="0.2">
      <c r="A19" s="9" t="str">
        <f t="shared" ref="A19" si="196">CONCATENATE(B19,"_",C19)</f>
        <v>5ht2b_human_6DS0</v>
      </c>
      <c r="B19" s="9" t="s">
        <v>35</v>
      </c>
      <c r="C19" s="9" t="s">
        <v>1516</v>
      </c>
      <c r="D19" s="9" t="str">
        <f>IFERROR(MID(VLOOKUP($B19,Seqs!$A:$B,2,0),E19,1),"")</f>
        <v>K</v>
      </c>
      <c r="E19" s="9">
        <v>53</v>
      </c>
      <c r="F19" s="9" t="str">
        <f>IFERROR(MID(VLOOKUP($B19,Seqs!$A:$B,2,0),G19,1),"")</f>
        <v>E</v>
      </c>
      <c r="G19" s="9">
        <v>82</v>
      </c>
      <c r="H19" s="9" t="str">
        <f>IFERROR(MID(VLOOKUP($B19,Seqs!$A:$B,2,0),I19,1),"")</f>
        <v>K</v>
      </c>
      <c r="I19" s="109">
        <v>83</v>
      </c>
      <c r="J19" s="9" t="str">
        <f>IFERROR(MID(VLOOKUP($B19,Seqs!$A:$B,2,0),K19,1),"")</f>
        <v>Q</v>
      </c>
      <c r="K19" s="109">
        <v>86</v>
      </c>
      <c r="L19" s="9" t="str">
        <f>IFERROR(MID(VLOOKUP($B19,Seqs!$A:$B,2,0),M19,1),"")</f>
        <v>Y</v>
      </c>
      <c r="M19" s="9">
        <v>87</v>
      </c>
      <c r="N19" s="9" t="str">
        <f>IFERROR(MID(VLOOKUP($B19,Seqs!$A:$B,2,0),O19,1),"")</f>
        <v>F</v>
      </c>
      <c r="O19" s="9">
        <v>117</v>
      </c>
      <c r="P19" s="9" t="str">
        <f>IFERROR(MID(VLOOKUP($B19,Seqs!$A:$B,2,0),Q19,1),"")</f>
        <v>M</v>
      </c>
      <c r="Q19" s="9">
        <v>120</v>
      </c>
      <c r="R19" s="9" t="str">
        <f>IFERROR(MID(VLOOKUP($B19,Seqs!$A:$B,2,0),S19,1),"")</f>
        <v>L</v>
      </c>
      <c r="S19" s="9">
        <v>123</v>
      </c>
      <c r="T19" s="9" t="str">
        <f>IFERROR(MID(VLOOKUP($B19,Seqs!$A:$B,2,0),U19,1),"")</f>
        <v>P</v>
      </c>
      <c r="U19" s="9">
        <v>124</v>
      </c>
      <c r="V19" s="9" t="str">
        <f>IFERROR(MID(VLOOKUP($B19,Seqs!$A:$B,2,0),W19,1),"")</f>
        <v>K</v>
      </c>
      <c r="W19" s="9">
        <v>159</v>
      </c>
      <c r="X19" s="9" t="str">
        <f>IFERROR(MID(VLOOKUP($B19,Seqs!$A:$B,2,0),Y19,1),"")</f>
        <v/>
      </c>
      <c r="Y19" s="9" t="s">
        <v>23</v>
      </c>
      <c r="Z19" s="9" t="str">
        <f>IFERROR(MID(VLOOKUP($B19,Seqs!$A:$B,2,0),AA19,1),"")</f>
        <v/>
      </c>
      <c r="AA19" s="9" t="s">
        <v>23</v>
      </c>
      <c r="AB19" s="9" t="str">
        <f>IFERROR(MID(VLOOKUP($B19,Seqs!$A:$B,2,0),AC19,1),"")</f>
        <v>N</v>
      </c>
      <c r="AC19" s="9">
        <v>167</v>
      </c>
      <c r="AD19" s="9" t="str">
        <f>IFERROR(MID(VLOOKUP($B19,Seqs!$A:$B,2,0),AE19,1),"")</f>
        <v>G</v>
      </c>
      <c r="AE19" s="9">
        <v>194</v>
      </c>
      <c r="AF19" s="9" t="str">
        <f>IFERROR(MID(VLOOKUP($B19,Seqs!$A:$B,2,0),AG19,1),"")</f>
        <v>C</v>
      </c>
      <c r="AG19" s="9">
        <v>207</v>
      </c>
      <c r="AH19" s="9" t="str">
        <f>IFERROR(MID(VLOOKUP($B19,Seqs!$A:$B,2,0),AI19,1),"")</f>
        <v>L</v>
      </c>
      <c r="AI19" s="9">
        <v>209</v>
      </c>
      <c r="AJ19" s="9" t="str">
        <f>IFERROR(MID(VLOOKUP($B19,Seqs!$A:$B,2,0),AK19,1),"")</f>
        <v>F</v>
      </c>
      <c r="AK19" s="9">
        <v>214</v>
      </c>
      <c r="AL19" s="9" t="str">
        <f>IFERROR(MID(VLOOKUP($B19,Seqs!$A:$B,2,0),AM19,1),"")</f>
        <v>A</v>
      </c>
      <c r="AM19" s="9">
        <v>248</v>
      </c>
      <c r="AN19" s="9" t="str">
        <f>IFERROR(MID(VLOOKUP($B19,Seqs!$A:$B,2,0),AO19,1),"")</f>
        <v>Q</v>
      </c>
      <c r="AO19" s="9">
        <v>314</v>
      </c>
      <c r="AP19" s="9" t="str">
        <f>IFERROR(MID(VLOOKUP($B19,Seqs!$A:$B,2,0),AQ19,1),"")</f>
        <v>C</v>
      </c>
      <c r="AQ19" s="9">
        <v>350</v>
      </c>
      <c r="AR19" s="9" t="str">
        <f>IFERROR(MID(VLOOKUP($B19,Seqs!$A:$B,2,0),AS19,1),"")</f>
        <v>N</v>
      </c>
      <c r="AS19" s="9">
        <v>354</v>
      </c>
      <c r="AT19" s="9" t="str">
        <f>IFERROR(MID(VLOOKUP($B19,Seqs!$A:$B,2,0),AU19,1),"")</f>
        <v>F</v>
      </c>
      <c r="AU19" s="9">
        <v>383</v>
      </c>
      <c r="AV19" s="9" t="str">
        <f>IFERROR(MID(VLOOKUP($B19,Seqs!$A:$B,2,0),AW19,1),"")</f>
        <v>N</v>
      </c>
      <c r="AW19" s="9">
        <v>384</v>
      </c>
      <c r="AX19" s="9" t="str">
        <f>IFERROR(MID(VLOOKUP($B19,Seqs!$A:$B,2,0),AY19,1),"")</f>
        <v>I</v>
      </c>
      <c r="AY19" s="9">
        <v>395</v>
      </c>
      <c r="AZ19" s="110" t="str">
        <f>VLOOKUP(B19,Classification!A:D,2,0)</f>
        <v>A</v>
      </c>
      <c r="BA19" s="98" t="str">
        <f>VLOOKUP(B19,Classification!A:D,4,0)</f>
        <v>5-Hydroxytryptamine</v>
      </c>
      <c r="BB19" s="36" t="b">
        <f t="shared" ref="BB19" si="197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C19" s="109">
        <f t="shared" ref="BC19" si="198">_xlfn.AGGREGATE(9,6,CH19:CS19)-_xlfn.AGGREGATE(9,6,BV19:CG19)+12</f>
        <v>251</v>
      </c>
      <c r="BD19" s="11" t="s">
        <v>23</v>
      </c>
      <c r="BE19" s="9" t="s">
        <v>1429</v>
      </c>
      <c r="BF19" s="120">
        <v>3.19</v>
      </c>
      <c r="BG19" s="51" t="s">
        <v>1</v>
      </c>
      <c r="BH19" s="51" t="s">
        <v>1</v>
      </c>
      <c r="BJ19" s="111" t="s">
        <v>1288</v>
      </c>
      <c r="BK19" s="112" t="s">
        <v>1288</v>
      </c>
      <c r="BL19" s="112" t="s">
        <v>1288</v>
      </c>
      <c r="BM19" s="112" t="s">
        <v>1288</v>
      </c>
      <c r="BN19" s="112" t="s">
        <v>1288</v>
      </c>
      <c r="BO19" s="112" t="s">
        <v>1288</v>
      </c>
      <c r="BP19" s="112" t="s">
        <v>1288</v>
      </c>
      <c r="BQ19" s="112" t="s">
        <v>1288</v>
      </c>
      <c r="BR19" s="112" t="s">
        <v>1288</v>
      </c>
      <c r="BS19" s="112" t="s">
        <v>1288</v>
      </c>
      <c r="BT19" s="112" t="s">
        <v>1288</v>
      </c>
      <c r="BU19" s="112" t="s">
        <v>1288</v>
      </c>
      <c r="BV19" s="111">
        <f t="shared" ref="BV19" si="199">E19</f>
        <v>53</v>
      </c>
      <c r="BW19" s="113">
        <f t="shared" ref="BW19" si="200">I19</f>
        <v>83</v>
      </c>
      <c r="BX19" s="114">
        <f t="shared" ref="BX19" si="201">M19</f>
        <v>87</v>
      </c>
      <c r="BY19" s="113">
        <f t="shared" ref="BY19" si="202">Q19</f>
        <v>120</v>
      </c>
      <c r="BZ19" s="114">
        <f t="shared" ref="BZ19" si="203">U19</f>
        <v>124</v>
      </c>
      <c r="CA19" s="113" t="str">
        <f t="shared" ref="CA19" si="204">Y19</f>
        <v>-</v>
      </c>
      <c r="CB19" s="114">
        <f t="shared" ref="CB19" si="205">AC19</f>
        <v>167</v>
      </c>
      <c r="CC19" s="113">
        <f t="shared" ref="CC19" si="206">AG19</f>
        <v>207</v>
      </c>
      <c r="CD19" s="114">
        <f t="shared" ref="CD19" si="207">AK19</f>
        <v>214</v>
      </c>
      <c r="CE19" s="113">
        <f t="shared" ref="CE19" si="208">AO19</f>
        <v>314</v>
      </c>
      <c r="CF19" s="114">
        <f t="shared" ref="CF19" si="209">AS19</f>
        <v>354</v>
      </c>
      <c r="CG19" s="113">
        <f t="shared" ref="CG19" si="210">AW19</f>
        <v>384</v>
      </c>
      <c r="CH19" s="111">
        <f t="shared" ref="CH19" si="211">G19</f>
        <v>82</v>
      </c>
      <c r="CI19" s="113">
        <f t="shared" ref="CI19" si="212">K19</f>
        <v>86</v>
      </c>
      <c r="CJ19" s="114">
        <f t="shared" ref="CJ19" si="213">O19</f>
        <v>117</v>
      </c>
      <c r="CK19" s="114">
        <f t="shared" ref="CK19" si="214">S19</f>
        <v>123</v>
      </c>
      <c r="CL19" s="114">
        <f t="shared" ref="CL19" si="215">W19</f>
        <v>159</v>
      </c>
      <c r="CM19" s="114" t="str">
        <f t="shared" ref="CM19" si="216">AA19</f>
        <v>-</v>
      </c>
      <c r="CN19" s="114">
        <f t="shared" ref="CN19" si="217">AE19</f>
        <v>194</v>
      </c>
      <c r="CO19" s="114">
        <f t="shared" ref="CO19" si="218">AI19</f>
        <v>209</v>
      </c>
      <c r="CP19" s="114">
        <f t="shared" ref="CP19" si="219">AM19</f>
        <v>248</v>
      </c>
      <c r="CQ19" s="114">
        <f t="shared" ref="CQ19" si="220">AQ19</f>
        <v>350</v>
      </c>
      <c r="CR19" s="114">
        <f t="shared" ref="CR19" si="221">AU19</f>
        <v>383</v>
      </c>
      <c r="CS19" s="114">
        <f t="shared" ref="CS19" si="222">AY19</f>
        <v>395</v>
      </c>
      <c r="CT19" s="109">
        <f t="shared" ref="CT19" si="223">M19-K19</f>
        <v>1</v>
      </c>
    </row>
    <row r="20" spans="1:1029" x14ac:dyDescent="0.2">
      <c r="A20" s="3" t="str">
        <f t="shared" si="84"/>
        <v>5ht2c_human__wt</v>
      </c>
      <c r="B20" s="3" t="s">
        <v>133</v>
      </c>
      <c r="C20" s="3" t="s">
        <v>100</v>
      </c>
      <c r="D20" s="3" t="str">
        <f>IFERROR(MID(VLOOKUP($B20,Seqs!$A:$B,2,0),E20,1),"")</f>
        <v>N</v>
      </c>
      <c r="E20" s="3">
        <v>54</v>
      </c>
      <c r="F20" s="3" t="str">
        <f>IFERROR(MID(VLOOKUP($B20,Seqs!$A:$B,2,0),G20,1),"")</f>
        <v>E</v>
      </c>
      <c r="G20" s="3">
        <v>81</v>
      </c>
      <c r="H20" s="3" t="str">
        <f>IFERROR(MID(VLOOKUP($B20,Seqs!$A:$B,2,0),I20,1),"")</f>
        <v>K</v>
      </c>
      <c r="I20" s="23">
        <v>82</v>
      </c>
      <c r="J20" s="3" t="str">
        <f>IFERROR(MID(VLOOKUP($B20,Seqs!$A:$B,2,0),K20,1),"")</f>
        <v>H</v>
      </c>
      <c r="K20" s="23">
        <v>85</v>
      </c>
      <c r="L20" s="3" t="str">
        <f>IFERROR(MID(VLOOKUP($B20,Seqs!$A:$B,2,0),M20,1),"")</f>
        <v>N</v>
      </c>
      <c r="M20" s="3">
        <v>86</v>
      </c>
      <c r="N20" s="3" t="str">
        <f>IFERROR(MID(VLOOKUP($B20,Seqs!$A:$B,2,0),O20,1),"")</f>
        <v>D</v>
      </c>
      <c r="O20" s="3">
        <v>117</v>
      </c>
      <c r="P20" s="3" t="str">
        <f>IFERROR(MID(VLOOKUP($B20,Seqs!$A:$B,2,0),Q20,1),"")</f>
        <v>V</v>
      </c>
      <c r="Q20" s="3">
        <v>119</v>
      </c>
      <c r="R20" s="3" t="str">
        <f>IFERROR(MID(VLOOKUP($B20,Seqs!$A:$B,2,0),S20,1),"")</f>
        <v>L</v>
      </c>
      <c r="S20" s="3">
        <v>122</v>
      </c>
      <c r="T20" s="3" t="str">
        <f>IFERROR(MID(VLOOKUP($B20,Seqs!$A:$B,2,0),U20,1),"")</f>
        <v>P</v>
      </c>
      <c r="U20" s="3">
        <v>123</v>
      </c>
      <c r="V20" s="3" t="str">
        <f>IFERROR(MID(VLOOKUP($B20,Seqs!$A:$B,2,0),W20,1),"")</f>
        <v>N</v>
      </c>
      <c r="W20" s="3">
        <v>158</v>
      </c>
      <c r="X20" s="3" t="str">
        <f>IFERROR(MID(VLOOKUP($B20,Seqs!$A:$B,2,0),Y20,1),"")</f>
        <v>P</v>
      </c>
      <c r="Y20" s="3">
        <v>159</v>
      </c>
      <c r="Z20" s="3" t="str">
        <f>IFERROR(MID(VLOOKUP($B20,Seqs!$A:$B,2,0),AA20,1),"")</f>
        <v>N</v>
      </c>
      <c r="AA20" s="3">
        <v>166</v>
      </c>
      <c r="AB20" s="3" t="str">
        <f>IFERROR(MID(VLOOKUP($B20,Seqs!$A:$B,2,0),AC20,1),"")</f>
        <v>S</v>
      </c>
      <c r="AC20" s="3">
        <v>167</v>
      </c>
      <c r="AD20" s="3" t="str">
        <f>IFERROR(MID(VLOOKUP($B20,Seqs!$A:$B,2,0),AE20,1),"")</f>
        <v>D</v>
      </c>
      <c r="AE20" s="3">
        <v>196</v>
      </c>
      <c r="AF20" s="3" t="str">
        <f>IFERROR(MID(VLOOKUP($B20,Seqs!$A:$B,2,0),AG20,1),"")</f>
        <v>C</v>
      </c>
      <c r="AG20" s="3">
        <v>207</v>
      </c>
      <c r="AH20" s="3" t="str">
        <f>IFERROR(MID(VLOOKUP($B20,Seqs!$A:$B,2,0),AI20,1),"")</f>
        <v>L</v>
      </c>
      <c r="AI20" s="3">
        <v>209</v>
      </c>
      <c r="AJ20" s="3" t="str">
        <f>IFERROR(MID(VLOOKUP($B20,Seqs!$A:$B,2,0),AK20,1),"")</f>
        <v>D</v>
      </c>
      <c r="AK20" s="3">
        <v>211</v>
      </c>
      <c r="AL20" s="3" t="str">
        <f>IFERROR(MID(VLOOKUP($B20,Seqs!$A:$B,2,0),AM20,1),"")</f>
        <v>H</v>
      </c>
      <c r="AM20" s="3">
        <v>250</v>
      </c>
      <c r="AN20" s="3" t="str">
        <f>IFERROR(MID(VLOOKUP($B20,Seqs!$A:$B,2,0),AO20,1),"")</f>
        <v>M</v>
      </c>
      <c r="AO20" s="3">
        <v>300</v>
      </c>
      <c r="AP20" s="3" t="str">
        <f>IFERROR(MID(VLOOKUP($B20,Seqs!$A:$B,2,0),AQ20,1),"")</f>
        <v>C</v>
      </c>
      <c r="AQ20" s="3">
        <v>337</v>
      </c>
      <c r="AR20" s="3" t="str">
        <f>IFERROR(MID(VLOOKUP($B20,Seqs!$A:$B,2,0),AS20,1),"")</f>
        <v>N</v>
      </c>
      <c r="AS20" s="3">
        <v>342</v>
      </c>
      <c r="AT20" s="3" t="str">
        <f>IFERROR(MID(VLOOKUP($B20,Seqs!$A:$B,2,0),AU20,1),"")</f>
        <v>F</v>
      </c>
      <c r="AU20" s="3">
        <v>371</v>
      </c>
      <c r="AV20" s="3" t="str">
        <f>IFERROR(MID(VLOOKUP($B20,Seqs!$A:$B,2,0),AW20,1),"")</f>
        <v>N</v>
      </c>
      <c r="AW20" s="3">
        <v>372</v>
      </c>
      <c r="AX20" s="3" t="str">
        <f>IFERROR(MID(VLOOKUP($B20,Seqs!$A:$B,2,0),AY20,1),"")</f>
        <v>C</v>
      </c>
      <c r="AY20" s="3">
        <v>385</v>
      </c>
      <c r="AZ20" s="77" t="str">
        <f>VLOOKUP(B20,Classification!A:D,2,0)</f>
        <v>A</v>
      </c>
      <c r="BA20" s="94" t="str">
        <f>VLOOKUP(B20,Classification!A:D,4,0)</f>
        <v>5-Hydroxytryptamine</v>
      </c>
      <c r="BB20" s="27" t="b">
        <f t="shared" si="85"/>
        <v>1</v>
      </c>
      <c r="BC20" s="23">
        <f t="shared" si="86"/>
        <v>267</v>
      </c>
      <c r="BD20" s="4" t="s">
        <v>23</v>
      </c>
      <c r="BE20" s="3" t="s">
        <v>23</v>
      </c>
      <c r="BF20" s="119" t="s">
        <v>23</v>
      </c>
      <c r="BG20" s="49" t="s">
        <v>1378</v>
      </c>
      <c r="BH20" s="49" t="s">
        <v>1378</v>
      </c>
      <c r="BI20" s="1"/>
      <c r="BJ20" s="70" t="s">
        <v>1288</v>
      </c>
      <c r="BK20" s="57" t="s">
        <v>1288</v>
      </c>
      <c r="BL20" s="57" t="s">
        <v>1288</v>
      </c>
      <c r="BM20" s="57" t="s">
        <v>1288</v>
      </c>
      <c r="BN20" s="57" t="s">
        <v>1288</v>
      </c>
      <c r="BO20" s="57" t="s">
        <v>1288</v>
      </c>
      <c r="BP20" s="57" t="s">
        <v>1288</v>
      </c>
      <c r="BQ20" s="57" t="s">
        <v>1288</v>
      </c>
      <c r="BR20" s="57" t="s">
        <v>1288</v>
      </c>
      <c r="BS20" s="57" t="s">
        <v>1288</v>
      </c>
      <c r="BT20" s="57" t="s">
        <v>1288</v>
      </c>
      <c r="BU20" s="57" t="s">
        <v>1288</v>
      </c>
      <c r="BV20" s="70">
        <f t="shared" si="87"/>
        <v>54</v>
      </c>
      <c r="BW20" s="71">
        <f t="shared" si="88"/>
        <v>82</v>
      </c>
      <c r="BX20" s="72">
        <f t="shared" si="89"/>
        <v>86</v>
      </c>
      <c r="BY20" s="71">
        <f t="shared" si="90"/>
        <v>119</v>
      </c>
      <c r="BZ20" s="72">
        <f t="shared" si="91"/>
        <v>123</v>
      </c>
      <c r="CA20" s="71">
        <f t="shared" si="92"/>
        <v>159</v>
      </c>
      <c r="CB20" s="72">
        <f t="shared" si="93"/>
        <v>167</v>
      </c>
      <c r="CC20" s="71">
        <f t="shared" si="94"/>
        <v>207</v>
      </c>
      <c r="CD20" s="72">
        <f t="shared" si="95"/>
        <v>211</v>
      </c>
      <c r="CE20" s="71">
        <f t="shared" si="96"/>
        <v>300</v>
      </c>
      <c r="CF20" s="72">
        <f t="shared" si="97"/>
        <v>342</v>
      </c>
      <c r="CG20" s="71">
        <f t="shared" si="98"/>
        <v>372</v>
      </c>
      <c r="CH20" s="70">
        <f t="shared" si="99"/>
        <v>81</v>
      </c>
      <c r="CI20" s="71">
        <f t="shared" si="100"/>
        <v>85</v>
      </c>
      <c r="CJ20" s="72">
        <f t="shared" si="101"/>
        <v>117</v>
      </c>
      <c r="CK20" s="72">
        <f t="shared" si="102"/>
        <v>122</v>
      </c>
      <c r="CL20" s="72">
        <f t="shared" si="103"/>
        <v>158</v>
      </c>
      <c r="CM20" s="72">
        <f t="shared" si="104"/>
        <v>166</v>
      </c>
      <c r="CN20" s="72">
        <f t="shared" si="105"/>
        <v>196</v>
      </c>
      <c r="CO20" s="72">
        <f t="shared" si="106"/>
        <v>209</v>
      </c>
      <c r="CP20" s="72">
        <f t="shared" si="107"/>
        <v>250</v>
      </c>
      <c r="CQ20" s="72">
        <f t="shared" si="108"/>
        <v>337</v>
      </c>
      <c r="CR20" s="72">
        <f t="shared" si="109"/>
        <v>371</v>
      </c>
      <c r="CS20" s="72">
        <f t="shared" si="110"/>
        <v>385</v>
      </c>
      <c r="CT20" s="23">
        <f t="shared" si="111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84"/>
        <v>5ht2c_human_6BQG</v>
      </c>
      <c r="B21" s="3" t="s">
        <v>133</v>
      </c>
      <c r="C21" s="3" t="s">
        <v>1466</v>
      </c>
      <c r="D21" s="3" t="str">
        <f>IFERROR(MID(VLOOKUP($B21,Seqs!$A:$B,2,0),E21,1),"")</f>
        <v>V</v>
      </c>
      <c r="E21" s="3">
        <v>61</v>
      </c>
      <c r="F21" s="3" t="str">
        <f>IFERROR(MID(VLOOKUP($B21,Seqs!$A:$B,2,0),G21,1),"")</f>
        <v>E</v>
      </c>
      <c r="G21" s="3">
        <v>81</v>
      </c>
      <c r="H21" s="3" t="str">
        <f>IFERROR(MID(VLOOKUP($B21,Seqs!$A:$B,2,0),I21,1),"")</f>
        <v>K</v>
      </c>
      <c r="I21" s="23">
        <v>82</v>
      </c>
      <c r="J21" s="3" t="str">
        <f>IFERROR(MID(VLOOKUP($B21,Seqs!$A:$B,2,0),K21,1),"")</f>
        <v>H</v>
      </c>
      <c r="K21" s="23">
        <v>85</v>
      </c>
      <c r="L21" s="3" t="str">
        <f>IFERROR(MID(VLOOKUP($B21,Seqs!$A:$B,2,0),M21,1),"")</f>
        <v>N</v>
      </c>
      <c r="M21" s="3">
        <v>86</v>
      </c>
      <c r="N21" s="3" t="str">
        <f>IFERROR(MID(VLOOKUP($B21,Seqs!$A:$B,2,0),O21,1),"")</f>
        <v>D</v>
      </c>
      <c r="O21" s="3">
        <v>117</v>
      </c>
      <c r="P21" s="3" t="str">
        <f>IFERROR(MID(VLOOKUP($B21,Seqs!$A:$B,2,0),Q21,1),"")</f>
        <v>V</v>
      </c>
      <c r="Q21" s="3">
        <v>119</v>
      </c>
      <c r="R21" s="3" t="str">
        <f>IFERROR(MID(VLOOKUP($B21,Seqs!$A:$B,2,0),S21,1),"")</f>
        <v>L</v>
      </c>
      <c r="S21" s="3">
        <v>122</v>
      </c>
      <c r="T21" s="3" t="str">
        <f>IFERROR(MID(VLOOKUP($B21,Seqs!$A:$B,2,0),U21,1),"")</f>
        <v>P</v>
      </c>
      <c r="U21" s="3">
        <v>123</v>
      </c>
      <c r="V21" s="3" t="str">
        <f>IFERROR(MID(VLOOKUP($B21,Seqs!$A:$B,2,0),W21,1),"")</f>
        <v>N</v>
      </c>
      <c r="W21" s="3">
        <v>158</v>
      </c>
      <c r="X21" s="3" t="str">
        <f>IFERROR(MID(VLOOKUP($B21,Seqs!$A:$B,2,0),Y21,1),"")</f>
        <v/>
      </c>
      <c r="Y21" s="3" t="s">
        <v>23</v>
      </c>
      <c r="Z21" s="3" t="str">
        <f>IFERROR(MID(VLOOKUP($B21,Seqs!$A:$B,2,0),AA21,1),"")</f>
        <v/>
      </c>
      <c r="AA21" s="3" t="s">
        <v>23</v>
      </c>
      <c r="AB21" s="3" t="str">
        <f>IFERROR(MID(VLOOKUP($B21,Seqs!$A:$B,2,0),AC21,1),"")</f>
        <v>S</v>
      </c>
      <c r="AC21" s="3">
        <v>167</v>
      </c>
      <c r="AD21" s="3" t="str">
        <f>IFERROR(MID(VLOOKUP($B21,Seqs!$A:$B,2,0),AE21,1),"")</f>
        <v>D</v>
      </c>
      <c r="AE21" s="3">
        <v>196</v>
      </c>
      <c r="AF21" s="3" t="str">
        <f>IFERROR(MID(VLOOKUP($B21,Seqs!$A:$B,2,0),AG21,1),"")</f>
        <v>C</v>
      </c>
      <c r="AG21" s="3">
        <v>207</v>
      </c>
      <c r="AH21" s="3" t="str">
        <f>IFERROR(MID(VLOOKUP($B21,Seqs!$A:$B,2,0),AI21,1),"")</f>
        <v>L</v>
      </c>
      <c r="AI21" s="3">
        <v>209</v>
      </c>
      <c r="AJ21" s="3" t="str">
        <f>IFERROR(MID(VLOOKUP($B21,Seqs!$A:$B,2,0),AK21,1),"")</f>
        <v>D</v>
      </c>
      <c r="AK21" s="3">
        <v>211</v>
      </c>
      <c r="AL21" s="3" t="str">
        <f>IFERROR(MID(VLOOKUP($B21,Seqs!$A:$B,2,0),AM21,1),"")</f>
        <v>A</v>
      </c>
      <c r="AM21" s="3">
        <v>245</v>
      </c>
      <c r="AN21" s="3" t="str">
        <f>IFERROR(MID(VLOOKUP($B21,Seqs!$A:$B,2,0),AO21,1),"")</f>
        <v>Q</v>
      </c>
      <c r="AO21" s="3">
        <v>301</v>
      </c>
      <c r="AP21" s="3" t="str">
        <f>IFERROR(MID(VLOOKUP($B21,Seqs!$A:$B,2,0),AQ21,1),"")</f>
        <v>C</v>
      </c>
      <c r="AQ21" s="3">
        <v>337</v>
      </c>
      <c r="AR21" s="3" t="str">
        <f>IFERROR(MID(VLOOKUP($B21,Seqs!$A:$B,2,0),AS21,1),"")</f>
        <v>N</v>
      </c>
      <c r="AS21" s="3">
        <v>342</v>
      </c>
      <c r="AT21" s="3" t="str">
        <f>IFERROR(MID(VLOOKUP($B21,Seqs!$A:$B,2,0),AU21,1),"")</f>
        <v>F</v>
      </c>
      <c r="AU21" s="3">
        <v>371</v>
      </c>
      <c r="AV21" s="3" t="str">
        <f>IFERROR(MID(VLOOKUP($B21,Seqs!$A:$B,2,0),AW21,1),"")</f>
        <v>N</v>
      </c>
      <c r="AW21" s="3">
        <v>372</v>
      </c>
      <c r="AX21" s="3" t="str">
        <f>IFERROR(MID(VLOOKUP($B21,Seqs!$A:$B,2,0),AY21,1),"")</f>
        <v>C</v>
      </c>
      <c r="AY21" s="3">
        <v>385</v>
      </c>
      <c r="AZ21" s="77" t="str">
        <f>VLOOKUP(B21,Classification!A:D,2,0)</f>
        <v>A</v>
      </c>
      <c r="BA21" s="94" t="str">
        <f>VLOOKUP(B21,Classification!A:D,4,0)</f>
        <v>5-Hydroxytryptamine</v>
      </c>
      <c r="BB21" s="27" t="b">
        <f t="shared" si="85"/>
        <v>1</v>
      </c>
      <c r="BC21" s="23">
        <f t="shared" si="86"/>
        <v>247</v>
      </c>
      <c r="BD21" s="4" t="s">
        <v>1376</v>
      </c>
      <c r="BE21" s="3" t="s">
        <v>1292</v>
      </c>
      <c r="BF21" s="119">
        <v>3</v>
      </c>
      <c r="BG21" s="49" t="s">
        <v>1</v>
      </c>
      <c r="BH21" s="49" t="s">
        <v>1</v>
      </c>
      <c r="BI21" s="1"/>
      <c r="BJ21" s="70" t="s">
        <v>1288</v>
      </c>
      <c r="BK21" s="57" t="s">
        <v>1288</v>
      </c>
      <c r="BL21" s="57" t="s">
        <v>1288</v>
      </c>
      <c r="BM21" s="57" t="s">
        <v>1288</v>
      </c>
      <c r="BN21" s="57" t="s">
        <v>1288</v>
      </c>
      <c r="BO21" s="57" t="s">
        <v>1288</v>
      </c>
      <c r="BP21" s="57" t="s">
        <v>1288</v>
      </c>
      <c r="BQ21" s="57" t="s">
        <v>1288</v>
      </c>
      <c r="BR21" s="57" t="s">
        <v>1288</v>
      </c>
      <c r="BS21" s="57" t="s">
        <v>1288</v>
      </c>
      <c r="BT21" s="57" t="s">
        <v>1288</v>
      </c>
      <c r="BU21" s="57" t="s">
        <v>1288</v>
      </c>
      <c r="BV21" s="70">
        <f t="shared" si="87"/>
        <v>61</v>
      </c>
      <c r="BW21" s="71">
        <f t="shared" si="88"/>
        <v>82</v>
      </c>
      <c r="BX21" s="72">
        <f t="shared" si="89"/>
        <v>86</v>
      </c>
      <c r="BY21" s="71">
        <f t="shared" si="90"/>
        <v>119</v>
      </c>
      <c r="BZ21" s="72">
        <f t="shared" si="91"/>
        <v>123</v>
      </c>
      <c r="CA21" s="71" t="str">
        <f t="shared" si="92"/>
        <v>-</v>
      </c>
      <c r="CB21" s="72">
        <f t="shared" si="93"/>
        <v>167</v>
      </c>
      <c r="CC21" s="71">
        <f t="shared" si="94"/>
        <v>207</v>
      </c>
      <c r="CD21" s="72">
        <f t="shared" si="95"/>
        <v>211</v>
      </c>
      <c r="CE21" s="71">
        <f t="shared" si="96"/>
        <v>301</v>
      </c>
      <c r="CF21" s="72">
        <f t="shared" si="97"/>
        <v>342</v>
      </c>
      <c r="CG21" s="71">
        <f t="shared" si="98"/>
        <v>372</v>
      </c>
      <c r="CH21" s="70">
        <f t="shared" si="99"/>
        <v>81</v>
      </c>
      <c r="CI21" s="71">
        <f t="shared" si="100"/>
        <v>85</v>
      </c>
      <c r="CJ21" s="72">
        <f t="shared" si="101"/>
        <v>117</v>
      </c>
      <c r="CK21" s="72">
        <f t="shared" si="102"/>
        <v>122</v>
      </c>
      <c r="CL21" s="72">
        <f t="shared" si="103"/>
        <v>158</v>
      </c>
      <c r="CM21" s="72" t="str">
        <f t="shared" si="104"/>
        <v>-</v>
      </c>
      <c r="CN21" s="72">
        <f t="shared" si="105"/>
        <v>196</v>
      </c>
      <c r="CO21" s="72">
        <f t="shared" si="106"/>
        <v>209</v>
      </c>
      <c r="CP21" s="72">
        <f t="shared" si="107"/>
        <v>245</v>
      </c>
      <c r="CQ21" s="72">
        <f t="shared" si="108"/>
        <v>337</v>
      </c>
      <c r="CR21" s="72">
        <f t="shared" si="109"/>
        <v>371</v>
      </c>
      <c r="CS21" s="72">
        <f t="shared" si="110"/>
        <v>385</v>
      </c>
      <c r="CT21" s="23">
        <f t="shared" si="111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29" x14ac:dyDescent="0.2">
      <c r="A22" s="3" t="str">
        <f t="shared" si="84"/>
        <v>5ht2c_human_6BQH</v>
      </c>
      <c r="B22" s="3" t="s">
        <v>133</v>
      </c>
      <c r="C22" s="3" t="s">
        <v>1467</v>
      </c>
      <c r="D22" s="3" t="str">
        <f>IFERROR(MID(VLOOKUP($B22,Seqs!$A:$B,2,0),E22,1),"")</f>
        <v>I</v>
      </c>
      <c r="E22" s="3">
        <v>60</v>
      </c>
      <c r="F22" s="3" t="str">
        <f>IFERROR(MID(VLOOKUP($B22,Seqs!$A:$B,2,0),G22,1),"")</f>
        <v>E</v>
      </c>
      <c r="G22" s="3">
        <v>81</v>
      </c>
      <c r="H22" s="3" t="str">
        <f>IFERROR(MID(VLOOKUP($B22,Seqs!$A:$B,2,0),I22,1),"")</f>
        <v>K</v>
      </c>
      <c r="I22" s="23">
        <v>82</v>
      </c>
      <c r="J22" s="3" t="str">
        <f>IFERROR(MID(VLOOKUP($B22,Seqs!$A:$B,2,0),K22,1),"")</f>
        <v>H</v>
      </c>
      <c r="K22" s="23">
        <v>85</v>
      </c>
      <c r="L22" s="3" t="str">
        <f>IFERROR(MID(VLOOKUP($B22,Seqs!$A:$B,2,0),M22,1),"")</f>
        <v>N</v>
      </c>
      <c r="M22" s="3">
        <v>86</v>
      </c>
      <c r="N22" s="3" t="str">
        <f>IFERROR(MID(VLOOKUP($B22,Seqs!$A:$B,2,0),O22,1),"")</f>
        <v>D</v>
      </c>
      <c r="O22" s="3">
        <v>117</v>
      </c>
      <c r="P22" s="3" t="str">
        <f>IFERROR(MID(VLOOKUP($B22,Seqs!$A:$B,2,0),Q22,1),"")</f>
        <v>V</v>
      </c>
      <c r="Q22" s="3">
        <v>119</v>
      </c>
      <c r="R22" s="3" t="str">
        <f>IFERROR(MID(VLOOKUP($B22,Seqs!$A:$B,2,0),S22,1),"")</f>
        <v>L</v>
      </c>
      <c r="S22" s="3">
        <v>122</v>
      </c>
      <c r="T22" s="3" t="str">
        <f>IFERROR(MID(VLOOKUP($B22,Seqs!$A:$B,2,0),U22,1),"")</f>
        <v>P</v>
      </c>
      <c r="U22" s="3">
        <v>123</v>
      </c>
      <c r="V22" s="3" t="str">
        <f>IFERROR(MID(VLOOKUP($B22,Seqs!$A:$B,2,0),W22,1),"")</f>
        <v>R</v>
      </c>
      <c r="W22" s="3">
        <v>157</v>
      </c>
      <c r="X22" s="3" t="str">
        <f>IFERROR(MID(VLOOKUP($B22,Seqs!$A:$B,2,0),Y22,1),"")</f>
        <v/>
      </c>
      <c r="Y22" s="3" t="s">
        <v>23</v>
      </c>
      <c r="Z22" s="3" t="str">
        <f>IFERROR(MID(VLOOKUP($B22,Seqs!$A:$B,2,0),AA22,1),"")</f>
        <v/>
      </c>
      <c r="AA22" s="3" t="s">
        <v>23</v>
      </c>
      <c r="AB22" s="3" t="str">
        <f>IFERROR(MID(VLOOKUP($B22,Seqs!$A:$B,2,0),AC22,1),"")</f>
        <v>N</v>
      </c>
      <c r="AC22" s="3">
        <v>166</v>
      </c>
      <c r="AD22" s="3" t="str">
        <f>IFERROR(MID(VLOOKUP($B22,Seqs!$A:$B,2,0),AE22,1),"")</f>
        <v>D</v>
      </c>
      <c r="AE22" s="3">
        <v>196</v>
      </c>
      <c r="AF22" s="3" t="str">
        <f>IFERROR(MID(VLOOKUP($B22,Seqs!$A:$B,2,0),AG22,1),"")</f>
        <v>C</v>
      </c>
      <c r="AG22" s="3">
        <v>207</v>
      </c>
      <c r="AH22" s="3" t="str">
        <f>IFERROR(MID(VLOOKUP($B22,Seqs!$A:$B,2,0),AI22,1),"")</f>
        <v>L</v>
      </c>
      <c r="AI22" s="3">
        <v>209</v>
      </c>
      <c r="AJ22" s="3" t="str">
        <f>IFERROR(MID(VLOOKUP($B22,Seqs!$A:$B,2,0),AK22,1),"")</f>
        <v>D</v>
      </c>
      <c r="AK22" s="3">
        <v>211</v>
      </c>
      <c r="AL22" s="3" t="str">
        <f>IFERROR(MID(VLOOKUP($B22,Seqs!$A:$B,2,0),AM22,1),"")</f>
        <v>A</v>
      </c>
      <c r="AM22" s="3">
        <v>245</v>
      </c>
      <c r="AN22" s="3" t="str">
        <f>IFERROR(MID(VLOOKUP($B22,Seqs!$A:$B,2,0),AO22,1),"")</f>
        <v>Q</v>
      </c>
      <c r="AO22" s="3">
        <v>301</v>
      </c>
      <c r="AP22" s="3" t="str">
        <f>IFERROR(MID(VLOOKUP($B22,Seqs!$A:$B,2,0),AQ22,1),"")</f>
        <v>L</v>
      </c>
      <c r="AQ22" s="3">
        <v>336</v>
      </c>
      <c r="AR22" s="3" t="str">
        <f>IFERROR(MID(VLOOKUP($B22,Seqs!$A:$B,2,0),AS22,1),"")</f>
        <v>N</v>
      </c>
      <c r="AS22" s="3">
        <v>342</v>
      </c>
      <c r="AT22" s="3" t="str">
        <f>IFERROR(MID(VLOOKUP($B22,Seqs!$A:$B,2,0),AU22,1),"")</f>
        <v>F</v>
      </c>
      <c r="AU22" s="3">
        <v>371</v>
      </c>
      <c r="AV22" s="3" t="str">
        <f>IFERROR(MID(VLOOKUP($B22,Seqs!$A:$B,2,0),AW22,1),"")</f>
        <v>N</v>
      </c>
      <c r="AW22" s="3">
        <v>372</v>
      </c>
      <c r="AX22" s="3" t="str">
        <f>IFERROR(MID(VLOOKUP($B22,Seqs!$A:$B,2,0),AY22,1),"")</f>
        <v>N</v>
      </c>
      <c r="AY22" s="3">
        <v>386</v>
      </c>
      <c r="AZ22" s="77" t="str">
        <f>VLOOKUP(B22,Classification!A:D,2,0)</f>
        <v>A</v>
      </c>
      <c r="BA22" s="94" t="str">
        <f>VLOOKUP(B22,Classification!A:D,4,0)</f>
        <v>5-Hydroxytryptamine</v>
      </c>
      <c r="BB22" s="27" t="b">
        <f t="shared" si="85"/>
        <v>1</v>
      </c>
      <c r="BC22" s="23">
        <f t="shared" si="86"/>
        <v>248</v>
      </c>
      <c r="BD22" s="4" t="s">
        <v>1430</v>
      </c>
      <c r="BE22" s="3" t="s">
        <v>1429</v>
      </c>
      <c r="BF22" s="119">
        <v>2.7</v>
      </c>
      <c r="BG22" s="49" t="s">
        <v>1</v>
      </c>
      <c r="BH22" s="49" t="s">
        <v>1</v>
      </c>
      <c r="BI22" s="1"/>
      <c r="BJ22" s="70" t="s">
        <v>1288</v>
      </c>
      <c r="BK22" s="57" t="s">
        <v>1288</v>
      </c>
      <c r="BL22" s="57" t="s">
        <v>1288</v>
      </c>
      <c r="BM22" s="57" t="s">
        <v>1288</v>
      </c>
      <c r="BN22" s="57" t="s">
        <v>1288</v>
      </c>
      <c r="BO22" s="57" t="s">
        <v>1288</v>
      </c>
      <c r="BP22" s="57" t="s">
        <v>1288</v>
      </c>
      <c r="BQ22" s="57" t="s">
        <v>1288</v>
      </c>
      <c r="BR22" s="57" t="s">
        <v>1288</v>
      </c>
      <c r="BS22" s="57" t="s">
        <v>1288</v>
      </c>
      <c r="BT22" s="57" t="s">
        <v>1288</v>
      </c>
      <c r="BU22" s="57" t="s">
        <v>1288</v>
      </c>
      <c r="BV22" s="70">
        <f t="shared" si="87"/>
        <v>60</v>
      </c>
      <c r="BW22" s="71">
        <f t="shared" si="88"/>
        <v>82</v>
      </c>
      <c r="BX22" s="72">
        <f t="shared" si="89"/>
        <v>86</v>
      </c>
      <c r="BY22" s="71">
        <f t="shared" si="90"/>
        <v>119</v>
      </c>
      <c r="BZ22" s="72">
        <f t="shared" si="91"/>
        <v>123</v>
      </c>
      <c r="CA22" s="71" t="str">
        <f t="shared" si="92"/>
        <v>-</v>
      </c>
      <c r="CB22" s="72">
        <f t="shared" si="93"/>
        <v>166</v>
      </c>
      <c r="CC22" s="71">
        <f t="shared" si="94"/>
        <v>207</v>
      </c>
      <c r="CD22" s="72">
        <f t="shared" si="95"/>
        <v>211</v>
      </c>
      <c r="CE22" s="71">
        <f t="shared" si="96"/>
        <v>301</v>
      </c>
      <c r="CF22" s="72">
        <f t="shared" si="97"/>
        <v>342</v>
      </c>
      <c r="CG22" s="71">
        <f t="shared" si="98"/>
        <v>372</v>
      </c>
      <c r="CH22" s="70">
        <f t="shared" si="99"/>
        <v>81</v>
      </c>
      <c r="CI22" s="71">
        <f t="shared" si="100"/>
        <v>85</v>
      </c>
      <c r="CJ22" s="72">
        <f t="shared" si="101"/>
        <v>117</v>
      </c>
      <c r="CK22" s="72">
        <f t="shared" si="102"/>
        <v>122</v>
      </c>
      <c r="CL22" s="72">
        <f t="shared" si="103"/>
        <v>157</v>
      </c>
      <c r="CM22" s="72" t="str">
        <f t="shared" si="104"/>
        <v>-</v>
      </c>
      <c r="CN22" s="72">
        <f t="shared" si="105"/>
        <v>196</v>
      </c>
      <c r="CO22" s="72">
        <f t="shared" si="106"/>
        <v>209</v>
      </c>
      <c r="CP22" s="72">
        <f t="shared" si="107"/>
        <v>245</v>
      </c>
      <c r="CQ22" s="72">
        <f t="shared" si="108"/>
        <v>336</v>
      </c>
      <c r="CR22" s="72">
        <f t="shared" si="109"/>
        <v>371</v>
      </c>
      <c r="CS22" s="72">
        <f t="shared" si="110"/>
        <v>386</v>
      </c>
      <c r="CT22" s="23">
        <f t="shared" si="111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29" x14ac:dyDescent="0.2">
      <c r="A23" s="3" t="str">
        <f t="shared" si="84"/>
        <v>aa1r_human__wt</v>
      </c>
      <c r="B23" s="3" t="s">
        <v>138</v>
      </c>
      <c r="C23" s="3" t="s">
        <v>100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37</v>
      </c>
      <c r="H23" s="3" t="str">
        <f>IFERROR(MID(VLOOKUP($B23,Seqs!$A:$B,2,0),I23,1),"")</f>
        <v>Q</v>
      </c>
      <c r="I23" s="23">
        <v>38</v>
      </c>
      <c r="J23" s="3" t="str">
        <f>IFERROR(MID(VLOOKUP($B23,Seqs!$A:$B,2,0),K23,1),"")</f>
        <v>R</v>
      </c>
      <c r="K23" s="23">
        <v>41</v>
      </c>
      <c r="L23" s="3" t="str">
        <f>IFERROR(MID(VLOOKUP($B23,Seqs!$A:$B,2,0),M23,1),"")</f>
        <v>D</v>
      </c>
      <c r="M23" s="3">
        <v>42</v>
      </c>
      <c r="N23" s="3" t="str">
        <f>IFERROR(MID(VLOOKUP($B23,Seqs!$A:$B,2,0),O23,1),"")</f>
        <v>G</v>
      </c>
      <c r="O23" s="3">
        <v>72</v>
      </c>
      <c r="P23" s="3" t="str">
        <f>IFERROR(MID(VLOOKUP($B23,Seqs!$A:$B,2,0),Q23,1),"")</f>
        <v>P</v>
      </c>
      <c r="Q23" s="3">
        <v>73</v>
      </c>
      <c r="R23" s="3" t="str">
        <f>IFERROR(MID(VLOOKUP($B23,Seqs!$A:$B,2,0),S23,1),"")</f>
        <v>T</v>
      </c>
      <c r="S23" s="3">
        <v>75</v>
      </c>
      <c r="T23" s="3" t="str">
        <f>IFERROR(MID(VLOOKUP($B23,Seqs!$A:$B,2,0),U23,1),"")</f>
        <v>Y</v>
      </c>
      <c r="U23" s="3">
        <v>76</v>
      </c>
      <c r="V23" s="3" t="str">
        <f>IFERROR(MID(VLOOKUP($B23,Seqs!$A:$B,2,0),W23,1),"")</f>
        <v>I</v>
      </c>
      <c r="W23" s="3">
        <v>111</v>
      </c>
      <c r="X23" s="3" t="str">
        <f>IFERROR(MID(VLOOKUP($B23,Seqs!$A:$B,2,0),Y23,1),"")</f>
        <v>P</v>
      </c>
      <c r="Y23" s="3">
        <v>112</v>
      </c>
      <c r="Z23" s="3" t="str">
        <f>IFERROR(MID(VLOOKUP($B23,Seqs!$A:$B,2,0),AA23,1),"")</f>
        <v>V</v>
      </c>
      <c r="AA23" s="3">
        <v>119</v>
      </c>
      <c r="AB23" s="3" t="str">
        <f>IFERROR(MID(VLOOKUP($B23,Seqs!$A:$B,2,0),AC23,1),"")</f>
        <v>T</v>
      </c>
      <c r="AC23" s="3">
        <v>120</v>
      </c>
      <c r="AD23" s="3" t="str">
        <f>IFERROR(MID(VLOOKUP($B23,Seqs!$A:$B,2,0),AE23,1),"")</f>
        <v>G</v>
      </c>
      <c r="AE23" s="3">
        <v>145</v>
      </c>
      <c r="AF23" s="3" t="str">
        <f>IFERROR(MID(VLOOKUP($B23,Seqs!$A:$B,2,0),AG23,1),"")</f>
        <v>C</v>
      </c>
      <c r="AG23" s="3">
        <v>169</v>
      </c>
      <c r="AH23" s="3" t="str">
        <f>IFERROR(MID(VLOOKUP($B23,Seqs!$A:$B,2,0),AI23,1),"")</f>
        <v>F</v>
      </c>
      <c r="AI23" s="3">
        <v>171</v>
      </c>
      <c r="AJ23" s="3" t="str">
        <f>IFERROR(MID(VLOOKUP($B23,Seqs!$A:$B,2,0),AK23,1),"")</f>
        <v>S</v>
      </c>
      <c r="AK23" s="3">
        <v>176</v>
      </c>
      <c r="AL23" s="3" t="str">
        <f>IFERROR(MID(VLOOKUP($B23,Seqs!$A:$B,2,0),AM23,1),"")</f>
        <v>V</v>
      </c>
      <c r="AM23" s="3">
        <v>215</v>
      </c>
      <c r="AN23" s="3" t="str">
        <f>IFERROR(MID(VLOOKUP($B23,Seqs!$A:$B,2,0),AO23,1),"")</f>
        <v>D</v>
      </c>
      <c r="AO23" s="3">
        <v>221</v>
      </c>
      <c r="AP23" s="3" t="str">
        <f>IFERROR(MID(VLOOKUP($B23,Seqs!$A:$B,2,0),AQ23,1),"")</f>
        <v>C</v>
      </c>
      <c r="AQ23" s="3">
        <v>260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P</v>
      </c>
      <c r="AY23" s="3">
        <v>314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 t="shared" si="85"/>
        <v>1</v>
      </c>
      <c r="BC23" s="23">
        <f t="shared" si="86"/>
        <v>272</v>
      </c>
      <c r="BD23" s="4" t="s">
        <v>23</v>
      </c>
      <c r="BE23" s="3" t="s">
        <v>23</v>
      </c>
      <c r="BF23" s="119" t="s">
        <v>23</v>
      </c>
      <c r="BG23" s="49" t="s">
        <v>1378</v>
      </c>
      <c r="BH23" s="49" t="s">
        <v>1378</v>
      </c>
      <c r="BI23" s="1"/>
      <c r="BJ23" s="70" t="s">
        <v>1288</v>
      </c>
      <c r="BK23" s="57" t="s">
        <v>1288</v>
      </c>
      <c r="BL23" s="57" t="s">
        <v>1288</v>
      </c>
      <c r="BM23" s="57" t="s">
        <v>1288</v>
      </c>
      <c r="BN23" s="57" t="s">
        <v>1288</v>
      </c>
      <c r="BO23" s="57" t="s">
        <v>1288</v>
      </c>
      <c r="BP23" s="57" t="s">
        <v>1288</v>
      </c>
      <c r="BQ23" s="57" t="s">
        <v>1288</v>
      </c>
      <c r="BR23" s="57" t="s">
        <v>1288</v>
      </c>
      <c r="BS23" s="57" t="s">
        <v>1288</v>
      </c>
      <c r="BT23" s="57" t="s">
        <v>1288</v>
      </c>
      <c r="BU23" s="57" t="s">
        <v>1288</v>
      </c>
      <c r="BV23" s="70">
        <f t="shared" si="87"/>
        <v>6</v>
      </c>
      <c r="BW23" s="71">
        <f t="shared" si="88"/>
        <v>38</v>
      </c>
      <c r="BX23" s="72">
        <f t="shared" si="89"/>
        <v>42</v>
      </c>
      <c r="BY23" s="71">
        <f t="shared" si="90"/>
        <v>73</v>
      </c>
      <c r="BZ23" s="72">
        <f t="shared" si="91"/>
        <v>76</v>
      </c>
      <c r="CA23" s="71">
        <f t="shared" si="92"/>
        <v>112</v>
      </c>
      <c r="CB23" s="72">
        <f t="shared" si="93"/>
        <v>120</v>
      </c>
      <c r="CC23" s="71">
        <f t="shared" si="94"/>
        <v>169</v>
      </c>
      <c r="CD23" s="72">
        <f t="shared" si="95"/>
        <v>176</v>
      </c>
      <c r="CE23" s="71">
        <f t="shared" si="96"/>
        <v>221</v>
      </c>
      <c r="CF23" s="72">
        <f t="shared" si="97"/>
        <v>266</v>
      </c>
      <c r="CG23" s="71">
        <f t="shared" si="98"/>
        <v>292</v>
      </c>
      <c r="CH23" s="70">
        <f t="shared" si="99"/>
        <v>37</v>
      </c>
      <c r="CI23" s="71">
        <f t="shared" si="100"/>
        <v>41</v>
      </c>
      <c r="CJ23" s="72">
        <f t="shared" si="101"/>
        <v>72</v>
      </c>
      <c r="CK23" s="72">
        <f t="shared" si="102"/>
        <v>75</v>
      </c>
      <c r="CL23" s="72">
        <f t="shared" si="103"/>
        <v>111</v>
      </c>
      <c r="CM23" s="72">
        <f t="shared" si="104"/>
        <v>119</v>
      </c>
      <c r="CN23" s="72">
        <f t="shared" si="105"/>
        <v>145</v>
      </c>
      <c r="CO23" s="72">
        <f t="shared" si="106"/>
        <v>171</v>
      </c>
      <c r="CP23" s="72">
        <f t="shared" si="107"/>
        <v>215</v>
      </c>
      <c r="CQ23" s="72">
        <f t="shared" si="108"/>
        <v>260</v>
      </c>
      <c r="CR23" s="72">
        <f t="shared" si="109"/>
        <v>291</v>
      </c>
      <c r="CS23" s="72">
        <f t="shared" si="110"/>
        <v>314</v>
      </c>
      <c r="CT23" s="23">
        <f t="shared" si="111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29" x14ac:dyDescent="0.2">
      <c r="A24" s="3" t="str">
        <f t="shared" si="84"/>
        <v>aa1r_human_5N2S</v>
      </c>
      <c r="B24" s="3" t="s">
        <v>138</v>
      </c>
      <c r="C24" s="3" t="s">
        <v>1432</v>
      </c>
      <c r="D24" s="3" t="str">
        <f>IFERROR(MID(VLOOKUP($B24,Seqs!$A:$B,2,0),E24,1),"")</f>
        <v/>
      </c>
      <c r="E24" s="3">
        <v>1111</v>
      </c>
      <c r="F24" s="3" t="str">
        <f>IFERROR(MID(VLOOKUP($B24,Seqs!$A:$B,2,0),G24,1),"")</f>
        <v/>
      </c>
      <c r="G24" s="3">
        <v>1141</v>
      </c>
      <c r="H24" s="3" t="str">
        <f>IFERROR(MID(VLOOKUP($B24,Seqs!$A:$B,2,0),I24,1),"")</f>
        <v/>
      </c>
      <c r="I24" s="23" t="s">
        <v>23</v>
      </c>
      <c r="J24" s="3" t="str">
        <f>IFERROR(MID(VLOOKUP($B24,Seqs!$A:$B,2,0),K24,1),"")</f>
        <v/>
      </c>
      <c r="K24" s="23" t="s">
        <v>23</v>
      </c>
      <c r="L24" s="3" t="str">
        <f>IFERROR(MID(VLOOKUP($B24,Seqs!$A:$B,2,0),M24,1),"")</f>
        <v/>
      </c>
      <c r="M24" s="3">
        <v>1147</v>
      </c>
      <c r="N24" s="3" t="str">
        <f>IFERROR(MID(VLOOKUP($B24,Seqs!$A:$B,2,0),O24,1),"")</f>
        <v/>
      </c>
      <c r="O24" s="3">
        <v>1177</v>
      </c>
      <c r="P24" s="3" t="str">
        <f>IFERROR(MID(VLOOKUP($B24,Seqs!$A:$B,2,0),Q24,1),"")</f>
        <v/>
      </c>
      <c r="Q24" s="3">
        <v>1178</v>
      </c>
      <c r="R24" s="3" t="str">
        <f>IFERROR(MID(VLOOKUP($B24,Seqs!$A:$B,2,0),S24,1),"")</f>
        <v/>
      </c>
      <c r="S24" s="3">
        <v>1180</v>
      </c>
      <c r="T24" s="3" t="str">
        <f>IFERROR(MID(VLOOKUP($B24,Seqs!$A:$B,2,0),U24,1),"")</f>
        <v/>
      </c>
      <c r="U24" s="3">
        <v>1181</v>
      </c>
      <c r="V24" s="3" t="str">
        <f>IFERROR(MID(VLOOKUP($B24,Seqs!$A:$B,2,0),W24,1),"")</f>
        <v/>
      </c>
      <c r="W24" s="3">
        <v>1216</v>
      </c>
      <c r="X24" s="3" t="str">
        <f>IFERROR(MID(VLOOKUP($B24,Seqs!$A:$B,2,0),Y24,1),"")</f>
        <v/>
      </c>
      <c r="Y24" s="3">
        <v>1217</v>
      </c>
      <c r="Z24" s="3" t="str">
        <f>IFERROR(MID(VLOOKUP($B24,Seqs!$A:$B,2,0),AA24,1),"")</f>
        <v/>
      </c>
      <c r="AA24" s="3">
        <v>1224</v>
      </c>
      <c r="AB24" s="3" t="str">
        <f>IFERROR(MID(VLOOKUP($B24,Seqs!$A:$B,2,0),AC24,1),"")</f>
        <v/>
      </c>
      <c r="AC24" s="3">
        <v>1225</v>
      </c>
      <c r="AD24" s="3" t="str">
        <f>IFERROR(MID(VLOOKUP($B24,Seqs!$A:$B,2,0),AE24,1),"")</f>
        <v/>
      </c>
      <c r="AE24" s="3">
        <v>1250</v>
      </c>
      <c r="AF24" s="3" t="str">
        <f>IFERROR(MID(VLOOKUP($B24,Seqs!$A:$B,2,0),AG24,1),"")</f>
        <v/>
      </c>
      <c r="AG24" s="3">
        <v>1274</v>
      </c>
      <c r="AH24" s="3" t="str">
        <f>IFERROR(MID(VLOOKUP($B24,Seqs!$A:$B,2,0),AI24,1),"")</f>
        <v/>
      </c>
      <c r="AI24" s="3">
        <v>1276</v>
      </c>
      <c r="AJ24" s="3" t="str">
        <f>IFERROR(MID(VLOOKUP($B24,Seqs!$A:$B,2,0),AK24,1),"")</f>
        <v/>
      </c>
      <c r="AK24" s="3">
        <v>1281</v>
      </c>
      <c r="AL24" s="3" t="str">
        <f>IFERROR(MID(VLOOKUP($B24,Seqs!$A:$B,2,0),AM24,1),"")</f>
        <v/>
      </c>
      <c r="AM24" s="3">
        <v>1316</v>
      </c>
      <c r="AN24" s="3" t="str">
        <f>IFERROR(MID(VLOOKUP($B24,Seqs!$A:$B,2,0),AO24,1),"")</f>
        <v/>
      </c>
      <c r="AO24" s="3">
        <v>1328</v>
      </c>
      <c r="AP24" s="3" t="str">
        <f>IFERROR(MID(VLOOKUP($B24,Seqs!$A:$B,2,0),AQ24,1),"")</f>
        <v/>
      </c>
      <c r="AQ24" s="3">
        <v>1365</v>
      </c>
      <c r="AR24" s="3" t="str">
        <f>IFERROR(MID(VLOOKUP($B24,Seqs!$A:$B,2,0),AS24,1),"")</f>
        <v/>
      </c>
      <c r="AS24" s="3">
        <v>1371</v>
      </c>
      <c r="AT24" s="3" t="str">
        <f>IFERROR(MID(VLOOKUP($B24,Seqs!$A:$B,2,0),AU24,1),"")</f>
        <v/>
      </c>
      <c r="AU24" s="3">
        <v>1400</v>
      </c>
      <c r="AV24" s="3" t="str">
        <f>IFERROR(MID(VLOOKUP($B24,Seqs!$A:$B,2,0),AW24,1),"")</f>
        <v/>
      </c>
      <c r="AW24" s="3" t="s">
        <v>23</v>
      </c>
      <c r="AX24" s="3" t="str">
        <f>IFERROR(MID(VLOOKUP($B24,Seqs!$A:$B,2,0),AY24,1),"")</f>
        <v/>
      </c>
      <c r="AY24" s="3" t="s">
        <v>23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85"/>
        <v>1</v>
      </c>
      <c r="BC24" s="23">
        <f t="shared" si="86"/>
        <v>244</v>
      </c>
      <c r="BD24" s="5" t="s">
        <v>23</v>
      </c>
      <c r="BE24" s="3" t="s">
        <v>1375</v>
      </c>
      <c r="BF24" s="119">
        <v>3.3</v>
      </c>
      <c r="BG24" s="49" t="s">
        <v>1</v>
      </c>
      <c r="BH24" s="49" t="s">
        <v>1</v>
      </c>
      <c r="BI24" s="1"/>
      <c r="BJ24" s="70" t="s">
        <v>1288</v>
      </c>
      <c r="BK24" s="57" t="s">
        <v>1288</v>
      </c>
      <c r="BL24" s="57" t="s">
        <v>1288</v>
      </c>
      <c r="BM24" s="57" t="s">
        <v>1288</v>
      </c>
      <c r="BN24" s="57" t="s">
        <v>1288</v>
      </c>
      <c r="BO24" s="57" t="s">
        <v>1288</v>
      </c>
      <c r="BP24" s="57" t="s">
        <v>1288</v>
      </c>
      <c r="BQ24" s="57" t="s">
        <v>1288</v>
      </c>
      <c r="BR24" s="57" t="s">
        <v>1288</v>
      </c>
      <c r="BS24" s="57" t="s">
        <v>1288</v>
      </c>
      <c r="BT24" s="57" t="s">
        <v>1288</v>
      </c>
      <c r="BU24" s="57" t="s">
        <v>1288</v>
      </c>
      <c r="BV24" s="70">
        <f t="shared" si="87"/>
        <v>1111</v>
      </c>
      <c r="BW24" s="71" t="str">
        <f t="shared" si="88"/>
        <v>-</v>
      </c>
      <c r="BX24" s="72">
        <f t="shared" si="89"/>
        <v>1147</v>
      </c>
      <c r="BY24" s="71">
        <f t="shared" si="90"/>
        <v>1178</v>
      </c>
      <c r="BZ24" s="72">
        <f t="shared" si="91"/>
        <v>1181</v>
      </c>
      <c r="CA24" s="71">
        <f t="shared" si="92"/>
        <v>1217</v>
      </c>
      <c r="CB24" s="72">
        <f t="shared" si="93"/>
        <v>1225</v>
      </c>
      <c r="CC24" s="71">
        <f t="shared" si="94"/>
        <v>1274</v>
      </c>
      <c r="CD24" s="72">
        <f t="shared" si="95"/>
        <v>1281</v>
      </c>
      <c r="CE24" s="71">
        <f t="shared" si="96"/>
        <v>1328</v>
      </c>
      <c r="CF24" s="72">
        <f t="shared" si="97"/>
        <v>1371</v>
      </c>
      <c r="CG24" s="71" t="str">
        <f t="shared" si="98"/>
        <v>-</v>
      </c>
      <c r="CH24" s="70">
        <f t="shared" si="99"/>
        <v>1141</v>
      </c>
      <c r="CI24" s="71" t="str">
        <f t="shared" si="100"/>
        <v>-</v>
      </c>
      <c r="CJ24" s="72">
        <f t="shared" si="101"/>
        <v>1177</v>
      </c>
      <c r="CK24" s="72">
        <f t="shared" si="102"/>
        <v>1180</v>
      </c>
      <c r="CL24" s="72">
        <f t="shared" si="103"/>
        <v>1216</v>
      </c>
      <c r="CM24" s="72">
        <f t="shared" si="104"/>
        <v>1224</v>
      </c>
      <c r="CN24" s="72">
        <f t="shared" si="105"/>
        <v>1250</v>
      </c>
      <c r="CO24" s="72">
        <f t="shared" si="106"/>
        <v>1276</v>
      </c>
      <c r="CP24" s="72">
        <f t="shared" si="107"/>
        <v>1316</v>
      </c>
      <c r="CQ24" s="72">
        <f t="shared" si="108"/>
        <v>1365</v>
      </c>
      <c r="CR24" s="72">
        <f t="shared" si="109"/>
        <v>1400</v>
      </c>
      <c r="CS24" s="72" t="str">
        <f t="shared" si="110"/>
        <v>-</v>
      </c>
      <c r="CT24" s="23" t="e">
        <f t="shared" si="111"/>
        <v>#VALUE!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29" x14ac:dyDescent="0.2">
      <c r="A25" s="3" t="str">
        <f t="shared" si="84"/>
        <v>aa1r_human_5UEN</v>
      </c>
      <c r="B25" s="3" t="s">
        <v>138</v>
      </c>
      <c r="C25" s="3" t="s">
        <v>1390</v>
      </c>
      <c r="D25" s="3" t="str">
        <f>IFERROR(MID(VLOOKUP($B25,Seqs!$A:$B,2,0),E25,1),"")</f>
        <v>S</v>
      </c>
      <c r="E25" s="3">
        <v>6</v>
      </c>
      <c r="F25" s="3" t="str">
        <f>IFERROR(MID(VLOOKUP($B25,Seqs!$A:$B,2,0),G25,1),"")</f>
        <v>N</v>
      </c>
      <c r="G25" s="3">
        <v>37</v>
      </c>
      <c r="H25" s="3" t="str">
        <f>IFERROR(MID(VLOOKUP($B25,Seqs!$A:$B,2,0),I25,1),"")</f>
        <v>Q</v>
      </c>
      <c r="I25" s="23">
        <v>38</v>
      </c>
      <c r="J25" s="3" t="str">
        <f>IFERROR(MID(VLOOKUP($B25,Seqs!$A:$B,2,0),K25,1),"")</f>
        <v>R</v>
      </c>
      <c r="K25" s="23">
        <v>41</v>
      </c>
      <c r="L25" s="3" t="str">
        <f>IFERROR(MID(VLOOKUP($B25,Seqs!$A:$B,2,0),M25,1),"")</f>
        <v>D</v>
      </c>
      <c r="M25" s="3">
        <v>42</v>
      </c>
      <c r="N25" s="3" t="str">
        <f>IFERROR(MID(VLOOKUP($B25,Seqs!$A:$B,2,0),O25,1),"")</f>
        <v>G</v>
      </c>
      <c r="O25" s="3">
        <v>72</v>
      </c>
      <c r="P25" s="3" t="str">
        <f>IFERROR(MID(VLOOKUP($B25,Seqs!$A:$B,2,0),Q25,1),"")</f>
        <v>P</v>
      </c>
      <c r="Q25" s="3">
        <v>73</v>
      </c>
      <c r="R25" s="3" t="str">
        <f>IFERROR(MID(VLOOKUP($B25,Seqs!$A:$B,2,0),S25,1),"")</f>
        <v>T</v>
      </c>
      <c r="S25" s="3">
        <v>75</v>
      </c>
      <c r="T25" s="3" t="str">
        <f>IFERROR(MID(VLOOKUP($B25,Seqs!$A:$B,2,0),U25,1),"")</f>
        <v>Y</v>
      </c>
      <c r="U25" s="3">
        <v>76</v>
      </c>
      <c r="V25" s="3" t="str">
        <f>IFERROR(MID(VLOOKUP($B25,Seqs!$A:$B,2,0),W25,1),"")</f>
        <v>I</v>
      </c>
      <c r="W25" s="3">
        <v>111</v>
      </c>
      <c r="X25" s="3" t="str">
        <f>IFERROR(MID(VLOOKUP($B25,Seqs!$A:$B,2,0),Y25,1),"")</f>
        <v>P</v>
      </c>
      <c r="Y25" s="3">
        <v>112</v>
      </c>
      <c r="Z25" s="3" t="str">
        <f>IFERROR(MID(VLOOKUP($B25,Seqs!$A:$B,2,0),AA25,1),"")</f>
        <v>V</v>
      </c>
      <c r="AA25" s="3">
        <v>119</v>
      </c>
      <c r="AB25" s="3" t="str">
        <f>IFERROR(MID(VLOOKUP($B25,Seqs!$A:$B,2,0),AC25,1),"")</f>
        <v>T</v>
      </c>
      <c r="AC25" s="3">
        <v>120</v>
      </c>
      <c r="AD25" s="3" t="str">
        <f>IFERROR(MID(VLOOKUP($B25,Seqs!$A:$B,2,0),AE25,1),"")</f>
        <v>G</v>
      </c>
      <c r="AE25" s="3">
        <v>145</v>
      </c>
      <c r="AF25" s="3" t="str">
        <f>IFERROR(MID(VLOOKUP($B25,Seqs!$A:$B,2,0),AG25,1),"")</f>
        <v>C</v>
      </c>
      <c r="AG25" s="3">
        <v>169</v>
      </c>
      <c r="AH25" s="3" t="str">
        <f>IFERROR(MID(VLOOKUP($B25,Seqs!$A:$B,2,0),AI25,1),"")</f>
        <v>F</v>
      </c>
      <c r="AI25" s="3">
        <v>171</v>
      </c>
      <c r="AJ25" s="3" t="str">
        <f>IFERROR(MID(VLOOKUP($B25,Seqs!$A:$B,2,0),AK25,1),"")</f>
        <v>S</v>
      </c>
      <c r="AK25" s="3">
        <v>176</v>
      </c>
      <c r="AL25" s="3" t="str">
        <f>IFERROR(MID(VLOOKUP($B25,Seqs!$A:$B,2,0),AM25,1),"")</f>
        <v>L</v>
      </c>
      <c r="AM25" s="3">
        <v>211</v>
      </c>
      <c r="AN25" s="3" t="str">
        <f>IFERROR(MID(VLOOKUP($B25,Seqs!$A:$B,2,0),AO25,1),"")</f>
        <v>G</v>
      </c>
      <c r="AO25" s="3">
        <v>220</v>
      </c>
      <c r="AP25" s="3" t="str">
        <f>IFERROR(MID(VLOOKUP($B25,Seqs!$A:$B,2,0),AQ25,1),"")</f>
        <v>C</v>
      </c>
      <c r="AQ25" s="3">
        <v>260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F</v>
      </c>
      <c r="AY25" s="3">
        <v>307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85"/>
        <v>1</v>
      </c>
      <c r="BC25" s="23">
        <f t="shared" si="86"/>
        <v>262</v>
      </c>
      <c r="BD25" s="4" t="s">
        <v>1377</v>
      </c>
      <c r="BE25" s="3" t="s">
        <v>1375</v>
      </c>
      <c r="BF25" s="119">
        <v>3.2</v>
      </c>
      <c r="BG25" s="49" t="s">
        <v>1378</v>
      </c>
      <c r="BH25" s="49" t="s">
        <v>1378</v>
      </c>
      <c r="BI25" s="1"/>
      <c r="BJ25" s="70" t="s">
        <v>1288</v>
      </c>
      <c r="BK25" s="57" t="s">
        <v>1288</v>
      </c>
      <c r="BL25" s="57" t="s">
        <v>1288</v>
      </c>
      <c r="BM25" s="57" t="s">
        <v>1288</v>
      </c>
      <c r="BN25" s="57" t="s">
        <v>1288</v>
      </c>
      <c r="BO25" s="57" t="s">
        <v>1288</v>
      </c>
      <c r="BP25" s="57" t="s">
        <v>1288</v>
      </c>
      <c r="BQ25" s="57" t="s">
        <v>1288</v>
      </c>
      <c r="BR25" s="57" t="s">
        <v>1288</v>
      </c>
      <c r="BS25" s="57" t="s">
        <v>1288</v>
      </c>
      <c r="BT25" s="57" t="s">
        <v>1288</v>
      </c>
      <c r="BU25" s="57" t="s">
        <v>1288</v>
      </c>
      <c r="BV25" s="70">
        <f t="shared" si="87"/>
        <v>6</v>
      </c>
      <c r="BW25" s="71">
        <f t="shared" si="88"/>
        <v>38</v>
      </c>
      <c r="BX25" s="72">
        <f t="shared" si="89"/>
        <v>42</v>
      </c>
      <c r="BY25" s="71">
        <f t="shared" si="90"/>
        <v>73</v>
      </c>
      <c r="BZ25" s="72">
        <f t="shared" si="91"/>
        <v>76</v>
      </c>
      <c r="CA25" s="71">
        <f t="shared" si="92"/>
        <v>112</v>
      </c>
      <c r="CB25" s="72">
        <f t="shared" si="93"/>
        <v>120</v>
      </c>
      <c r="CC25" s="71">
        <f t="shared" si="94"/>
        <v>169</v>
      </c>
      <c r="CD25" s="72">
        <f t="shared" si="95"/>
        <v>176</v>
      </c>
      <c r="CE25" s="71">
        <f t="shared" si="96"/>
        <v>220</v>
      </c>
      <c r="CF25" s="72">
        <f t="shared" si="97"/>
        <v>266</v>
      </c>
      <c r="CG25" s="71">
        <f t="shared" si="98"/>
        <v>292</v>
      </c>
      <c r="CH25" s="70">
        <f t="shared" si="99"/>
        <v>37</v>
      </c>
      <c r="CI25" s="71">
        <f t="shared" si="100"/>
        <v>41</v>
      </c>
      <c r="CJ25" s="72">
        <f t="shared" si="101"/>
        <v>72</v>
      </c>
      <c r="CK25" s="72">
        <f t="shared" si="102"/>
        <v>75</v>
      </c>
      <c r="CL25" s="72">
        <f t="shared" si="103"/>
        <v>111</v>
      </c>
      <c r="CM25" s="72">
        <f t="shared" si="104"/>
        <v>119</v>
      </c>
      <c r="CN25" s="72">
        <f t="shared" si="105"/>
        <v>145</v>
      </c>
      <c r="CO25" s="72">
        <f t="shared" si="106"/>
        <v>171</v>
      </c>
      <c r="CP25" s="72">
        <f t="shared" si="107"/>
        <v>211</v>
      </c>
      <c r="CQ25" s="72">
        <f t="shared" si="108"/>
        <v>260</v>
      </c>
      <c r="CR25" s="72">
        <f t="shared" si="109"/>
        <v>291</v>
      </c>
      <c r="CS25" s="72">
        <f t="shared" si="110"/>
        <v>307</v>
      </c>
      <c r="CT25" s="23">
        <f t="shared" si="111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29" x14ac:dyDescent="0.2">
      <c r="A26" s="3" t="str">
        <f>CONCATENATE(B26,"_",C26)</f>
        <v>aa1r_human_6D9H</v>
      </c>
      <c r="B26" s="3" t="s">
        <v>138</v>
      </c>
      <c r="C26" s="3" t="s">
        <v>1504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37</v>
      </c>
      <c r="H26" s="3" t="str">
        <f>IFERROR(MID(VLOOKUP($B26,Seqs!$A:$B,2,0),I26,1),"")</f>
        <v/>
      </c>
      <c r="I26" s="23" t="s">
        <v>23</v>
      </c>
      <c r="J26" s="3" t="str">
        <f>IFERROR(MID(VLOOKUP($B26,Seqs!$A:$B,2,0),K26,1),"")</f>
        <v/>
      </c>
      <c r="K26" s="23" t="s">
        <v>23</v>
      </c>
      <c r="L26" s="3" t="str">
        <f>IFERROR(MID(VLOOKUP($B26,Seqs!$A:$B,2,0),M26,1),"")</f>
        <v>D</v>
      </c>
      <c r="M26" s="3">
        <v>42</v>
      </c>
      <c r="N26" s="3" t="str">
        <f>IFERROR(MID(VLOOKUP($B26,Seqs!$A:$B,2,0),O26,1),"")</f>
        <v>G</v>
      </c>
      <c r="O26" s="3">
        <v>72</v>
      </c>
      <c r="P26" s="3" t="str">
        <f>IFERROR(MID(VLOOKUP($B26,Seqs!$A:$B,2,0),Q26,1),"")</f>
        <v>P</v>
      </c>
      <c r="Q26" s="3">
        <v>73</v>
      </c>
      <c r="R26" s="3" t="str">
        <f>IFERROR(MID(VLOOKUP($B26,Seqs!$A:$B,2,0),S26,1),"")</f>
        <v>T</v>
      </c>
      <c r="S26" s="3">
        <v>75</v>
      </c>
      <c r="T26" s="3" t="str">
        <f>IFERROR(MID(VLOOKUP($B26,Seqs!$A:$B,2,0),U26,1),"")</f>
        <v>Y</v>
      </c>
      <c r="U26" s="3">
        <v>76</v>
      </c>
      <c r="V26" s="3" t="str">
        <f>IFERROR(MID(VLOOKUP($B26,Seqs!$A:$B,2,0),W26,1),"")</f>
        <v>I</v>
      </c>
      <c r="W26" s="3">
        <v>111</v>
      </c>
      <c r="X26" s="3" t="str">
        <f>IFERROR(MID(VLOOKUP($B26,Seqs!$A:$B,2,0),Y26,1),"")</f>
        <v>P</v>
      </c>
      <c r="Y26" s="3">
        <v>112</v>
      </c>
      <c r="Z26" s="3" t="str">
        <f>IFERROR(MID(VLOOKUP($B26,Seqs!$A:$B,2,0),AA26,1),"")</f>
        <v>V</v>
      </c>
      <c r="AA26" s="3">
        <v>119</v>
      </c>
      <c r="AB26" s="3" t="str">
        <f>IFERROR(MID(VLOOKUP($B26,Seqs!$A:$B,2,0),AC26,1),"")</f>
        <v>T</v>
      </c>
      <c r="AC26" s="3">
        <v>120</v>
      </c>
      <c r="AD26" s="3" t="str">
        <f>IFERROR(MID(VLOOKUP($B26,Seqs!$A:$B,2,0),AE26,1),"")</f>
        <v>G</v>
      </c>
      <c r="AE26" s="3">
        <v>145</v>
      </c>
      <c r="AF26" s="3" t="str">
        <f>IFERROR(MID(VLOOKUP($B26,Seqs!$A:$B,2,0),AG26,1),"")</f>
        <v>C</v>
      </c>
      <c r="AG26" s="3">
        <v>169</v>
      </c>
      <c r="AH26" s="3" t="str">
        <f>IFERROR(MID(VLOOKUP($B26,Seqs!$A:$B,2,0),AI26,1),"")</f>
        <v>F</v>
      </c>
      <c r="AI26" s="3">
        <v>171</v>
      </c>
      <c r="AJ26" s="3" t="str">
        <f>IFERROR(MID(VLOOKUP($B26,Seqs!$A:$B,2,0),AK26,1),"")</f>
        <v>S</v>
      </c>
      <c r="AK26" s="3">
        <v>176</v>
      </c>
      <c r="AL26" s="3" t="str">
        <f>IFERROR(MID(VLOOKUP($B26,Seqs!$A:$B,2,0),AM26,1),"")</f>
        <v>K</v>
      </c>
      <c r="AM26" s="3">
        <v>213</v>
      </c>
      <c r="AN26" s="3" t="str">
        <f>IFERROR(MID(VLOOKUP($B26,Seqs!$A:$B,2,0),AO26,1),"")</f>
        <v>Q</v>
      </c>
      <c r="AO26" s="3">
        <v>223</v>
      </c>
      <c r="AP26" s="3" t="str">
        <f>IFERROR(MID(VLOOKUP($B26,Seqs!$A:$B,2,0),AQ26,1),"")</f>
        <v>C</v>
      </c>
      <c r="AQ26" s="3">
        <v>260</v>
      </c>
      <c r="AR26" s="3" t="str">
        <f>IFERROR(MID(VLOOKUP($B26,Seqs!$A:$B,2,0),AS26,1),"")</f>
        <v>S</v>
      </c>
      <c r="AS26" s="3">
        <v>267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K</v>
      </c>
      <c r="AY26" s="3">
        <v>301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>AND(E26&lt;G26,OR(G26&lt;I26,I26="-"),OR(I26&lt;K26,I26="-"),OR(K26&lt;M26,K26="-"),M26&lt;O26,OR(O26&lt;Q26,Q26="-"),OR(Q26&lt;S26,Q26="-"),OR(S26&lt;U26,S26="-"),U26&lt;W26,OR(W26&lt;Y26,Y26="-"),OR(Y26&lt;AA26,Y26="-"),OR(AA26&lt;AC26,AA26="-"),AC26&lt;AE26,OR(AE26&lt;AG26,AG26="-"),OR(AG26&lt;AI26,AG26="-"),OR(AI26&lt;AK26,AI26="-"),AK26&lt;AM26,AM26&lt;AO26,AO26&lt;AQ26,AQ26&lt;AS26,AS26&lt;AU26,OR(AU26&lt;AW26,AW26="-"),OR(AW26&lt;AY26,AW26="-"))</f>
        <v>1</v>
      </c>
      <c r="BC26" s="23">
        <f>_xlfn.AGGREGATE(9,6,CH26:CS26)-_xlfn.AGGREGATE(9,6,BV26:CG26)+12</f>
        <v>251</v>
      </c>
      <c r="BD26" s="4" t="s">
        <v>1376</v>
      </c>
      <c r="BE26" s="3" t="s">
        <v>1292</v>
      </c>
      <c r="BF26" s="119">
        <v>3.6</v>
      </c>
      <c r="BG26" s="49" t="s">
        <v>1423</v>
      </c>
      <c r="BH26" s="49" t="s">
        <v>1423</v>
      </c>
      <c r="BI26" s="1"/>
      <c r="BJ26" s="70" t="s">
        <v>1288</v>
      </c>
      <c r="BK26" s="57" t="s">
        <v>1288</v>
      </c>
      <c r="BL26" s="57" t="s">
        <v>1288</v>
      </c>
      <c r="BM26" s="57" t="s">
        <v>1288</v>
      </c>
      <c r="BN26" s="57" t="s">
        <v>1288</v>
      </c>
      <c r="BO26" s="57" t="s">
        <v>1288</v>
      </c>
      <c r="BP26" s="57" t="s">
        <v>1288</v>
      </c>
      <c r="BQ26" s="57" t="s">
        <v>1288</v>
      </c>
      <c r="BR26" s="57" t="s">
        <v>1288</v>
      </c>
      <c r="BS26" s="57" t="s">
        <v>1288</v>
      </c>
      <c r="BT26" s="57" t="s">
        <v>1288</v>
      </c>
      <c r="BU26" s="57" t="s">
        <v>1288</v>
      </c>
      <c r="BV26" s="70">
        <f>E26</f>
        <v>6</v>
      </c>
      <c r="BW26" s="71" t="str">
        <f>I26</f>
        <v>-</v>
      </c>
      <c r="BX26" s="72">
        <f>M26</f>
        <v>42</v>
      </c>
      <c r="BY26" s="71">
        <f>Q26</f>
        <v>73</v>
      </c>
      <c r="BZ26" s="72">
        <f>U26</f>
        <v>76</v>
      </c>
      <c r="CA26" s="71">
        <f>Y26</f>
        <v>112</v>
      </c>
      <c r="CB26" s="72">
        <f>AC26</f>
        <v>120</v>
      </c>
      <c r="CC26" s="71">
        <f>AG26</f>
        <v>169</v>
      </c>
      <c r="CD26" s="72">
        <f>AK26</f>
        <v>176</v>
      </c>
      <c r="CE26" s="71">
        <f>AO26</f>
        <v>223</v>
      </c>
      <c r="CF26" s="72">
        <f>AS26</f>
        <v>267</v>
      </c>
      <c r="CG26" s="71">
        <f>AW26</f>
        <v>292</v>
      </c>
      <c r="CH26" s="70">
        <f>G26</f>
        <v>37</v>
      </c>
      <c r="CI26" s="71" t="str">
        <f>K26</f>
        <v>-</v>
      </c>
      <c r="CJ26" s="72">
        <f>O26</f>
        <v>72</v>
      </c>
      <c r="CK26" s="72">
        <f>S26</f>
        <v>75</v>
      </c>
      <c r="CL26" s="72">
        <f>W26</f>
        <v>111</v>
      </c>
      <c r="CM26" s="72">
        <f>AA26</f>
        <v>119</v>
      </c>
      <c r="CN26" s="72">
        <f>AE26</f>
        <v>145</v>
      </c>
      <c r="CO26" s="72">
        <f>AI26</f>
        <v>171</v>
      </c>
      <c r="CP26" s="72">
        <f>AM26</f>
        <v>213</v>
      </c>
      <c r="CQ26" s="72">
        <f>AQ26</f>
        <v>260</v>
      </c>
      <c r="CR26" s="72">
        <f>AU26</f>
        <v>291</v>
      </c>
      <c r="CS26" s="72">
        <f>AY26</f>
        <v>301</v>
      </c>
      <c r="CT26" s="23" t="e">
        <f>M26-K26</f>
        <v>#VALUE!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29" x14ac:dyDescent="0.2">
      <c r="A27" s="3" t="str">
        <f t="shared" si="0"/>
        <v>aa2ar_human__wt</v>
      </c>
      <c r="B27" s="3" t="s">
        <v>139</v>
      </c>
      <c r="C27" s="3" t="s">
        <v>100</v>
      </c>
      <c r="D27" s="3" t="str">
        <f>IFERROR(MID(VLOOKUP($B27,Seqs!$A:$B,2,0),E27,1),"")</f>
        <v>M</v>
      </c>
      <c r="E27" s="3">
        <v>1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S</v>
      </c>
      <c r="AM27" s="3">
        <v>213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F</v>
      </c>
      <c r="AY27" s="3">
        <v>314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ref="BC27:BC37" si="224">_xlfn.AGGREGATE(9,6,CH27:CS27)-_xlfn.AGGREGATE(9,6,BV27:CG27)+12</f>
        <v>276</v>
      </c>
      <c r="BD27" s="34" t="s">
        <v>23</v>
      </c>
      <c r="BE27" s="3" t="s">
        <v>23</v>
      </c>
      <c r="BF27" s="119" t="s">
        <v>23</v>
      </c>
      <c r="BG27" s="49" t="s">
        <v>1373</v>
      </c>
      <c r="BH27" s="49" t="s">
        <v>1378</v>
      </c>
      <c r="BI27" s="1"/>
      <c r="BJ27" s="70" t="s">
        <v>1288</v>
      </c>
      <c r="BK27" s="57" t="s">
        <v>1288</v>
      </c>
      <c r="BL27" s="57" t="s">
        <v>1288</v>
      </c>
      <c r="BM27" s="57" t="s">
        <v>1288</v>
      </c>
      <c r="BN27" s="57" t="s">
        <v>1288</v>
      </c>
      <c r="BO27" s="57" t="s">
        <v>1288</v>
      </c>
      <c r="BP27" s="57" t="s">
        <v>1288</v>
      </c>
      <c r="BQ27" s="57" t="s">
        <v>1288</v>
      </c>
      <c r="BR27" s="57" t="s">
        <v>1288</v>
      </c>
      <c r="BS27" s="57" t="s">
        <v>1288</v>
      </c>
      <c r="BT27" s="57" t="s">
        <v>1288</v>
      </c>
      <c r="BU27" s="57" t="s">
        <v>1288</v>
      </c>
      <c r="BV27" s="70">
        <f t="shared" si="3"/>
        <v>1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219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213</v>
      </c>
      <c r="CQ27" s="72">
        <f t="shared" si="24"/>
        <v>259</v>
      </c>
      <c r="CR27" s="72">
        <f t="shared" si="25"/>
        <v>291</v>
      </c>
      <c r="CS27" s="72">
        <f t="shared" si="26"/>
        <v>314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29" x14ac:dyDescent="0.2">
      <c r="A28" s="3" t="str">
        <f t="shared" si="0"/>
        <v>aa2ar_human_2YDO</v>
      </c>
      <c r="B28" s="3" t="s">
        <v>139</v>
      </c>
      <c r="C28" s="3" t="s">
        <v>1029</v>
      </c>
      <c r="D28" s="3" t="str">
        <f>IFERROR(MID(VLOOKUP($B28,Seqs!$A:$B,2,0),E28,1),"")</f>
        <v>S</v>
      </c>
      <c r="E28" s="3">
        <v>7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210</v>
      </c>
      <c r="AN28" s="3" t="str">
        <f>IFERROR(MID(VLOOKUP($B28,Seqs!$A:$B,2,0),AO28,1),"")</f>
        <v>L</v>
      </c>
      <c r="AO28" s="3">
        <v>225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A</v>
      </c>
      <c r="AY28" s="3">
        <v>317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224"/>
        <v>264</v>
      </c>
      <c r="BD28" s="4" t="s">
        <v>23</v>
      </c>
      <c r="BE28" s="3" t="s">
        <v>1429</v>
      </c>
      <c r="BF28" s="119">
        <v>3</v>
      </c>
      <c r="BG28" s="49" t="s">
        <v>1378</v>
      </c>
      <c r="BH28" s="49" t="s">
        <v>1378</v>
      </c>
      <c r="BI28" s="1"/>
      <c r="BJ28" s="70" t="s">
        <v>1288</v>
      </c>
      <c r="BK28" s="57" t="s">
        <v>1288</v>
      </c>
      <c r="BL28" s="57" t="s">
        <v>1288</v>
      </c>
      <c r="BM28" s="57" t="s">
        <v>1288</v>
      </c>
      <c r="BN28" s="57" t="s">
        <v>1288</v>
      </c>
      <c r="BO28" s="57" t="s">
        <v>1288</v>
      </c>
      <c r="BP28" s="57" t="s">
        <v>1288</v>
      </c>
      <c r="BQ28" s="57" t="s">
        <v>1288</v>
      </c>
      <c r="BR28" s="57" t="s">
        <v>1288</v>
      </c>
      <c r="BS28" s="57" t="s">
        <v>1288</v>
      </c>
      <c r="BT28" s="57" t="s">
        <v>1288</v>
      </c>
      <c r="BU28" s="57" t="s">
        <v>1288</v>
      </c>
      <c r="BV28" s="70">
        <f t="shared" si="3"/>
        <v>7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225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210</v>
      </c>
      <c r="CQ28" s="72">
        <f t="shared" si="24"/>
        <v>259</v>
      </c>
      <c r="CR28" s="72">
        <f t="shared" si="25"/>
        <v>291</v>
      </c>
      <c r="CS28" s="72">
        <f t="shared" si="26"/>
        <v>317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29" x14ac:dyDescent="0.2">
      <c r="A29" s="3" t="str">
        <f t="shared" si="0"/>
        <v>aa2ar_human_2YDV</v>
      </c>
      <c r="B29" s="3" t="s">
        <v>139</v>
      </c>
      <c r="C29" s="3" t="s">
        <v>80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210</v>
      </c>
      <c r="AN29" s="3" t="str">
        <f>IFERROR(MID(VLOOKUP($B29,Seqs!$A:$B,2,0),AO29,1),"")</f>
        <v>T</v>
      </c>
      <c r="AO29" s="3">
        <v>224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A</v>
      </c>
      <c r="AY29" s="3">
        <v>317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224"/>
        <v>265</v>
      </c>
      <c r="BD29" s="4" t="s">
        <v>23</v>
      </c>
      <c r="BE29" s="3" t="s">
        <v>1429</v>
      </c>
      <c r="BF29" s="119">
        <v>2.6</v>
      </c>
      <c r="BG29" s="49" t="s">
        <v>1378</v>
      </c>
      <c r="BH29" s="49" t="s">
        <v>1378</v>
      </c>
      <c r="BI29" s="1"/>
      <c r="BJ29" s="70" t="s">
        <v>1288</v>
      </c>
      <c r="BK29" s="57" t="s">
        <v>1288</v>
      </c>
      <c r="BL29" s="57" t="s">
        <v>1288</v>
      </c>
      <c r="BM29" s="57" t="s">
        <v>1288</v>
      </c>
      <c r="BN29" s="57" t="s">
        <v>1288</v>
      </c>
      <c r="BO29" s="57" t="s">
        <v>1288</v>
      </c>
      <c r="BP29" s="57" t="s">
        <v>1288</v>
      </c>
      <c r="BQ29" s="57" t="s">
        <v>1288</v>
      </c>
      <c r="BR29" s="57" t="s">
        <v>1288</v>
      </c>
      <c r="BS29" s="57" t="s">
        <v>1288</v>
      </c>
      <c r="BT29" s="57" t="s">
        <v>1288</v>
      </c>
      <c r="BU29" s="57" t="s">
        <v>1288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224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210</v>
      </c>
      <c r="CQ29" s="72">
        <f t="shared" si="24"/>
        <v>259</v>
      </c>
      <c r="CR29" s="72">
        <f t="shared" si="25"/>
        <v>291</v>
      </c>
      <c r="CS29" s="72">
        <f t="shared" si="26"/>
        <v>317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29" x14ac:dyDescent="0.2">
      <c r="A30" s="3" t="str">
        <f t="shared" si="0"/>
        <v>aa2ar_human_3QAK</v>
      </c>
      <c r="B30" s="3" t="s">
        <v>139</v>
      </c>
      <c r="C30" s="3" t="s">
        <v>1034</v>
      </c>
      <c r="D30" s="3" t="str">
        <f>IFERROR(MID(VLOOKUP($B30,Seqs!$A:$B,2,0),E30,1),"")</f>
        <v>G</v>
      </c>
      <c r="E30" s="3">
        <v>5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A</v>
      </c>
      <c r="AM30" s="3">
        <v>204</v>
      </c>
      <c r="AN30" s="3" t="str">
        <f>IFERROR(MID(VLOOKUP($B30,Seqs!$A:$B,2,0),AO30,1),"")</f>
        <v>Q</v>
      </c>
      <c r="AO30" s="3">
        <v>226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L</v>
      </c>
      <c r="AY30" s="3">
        <v>308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224"/>
        <v>250</v>
      </c>
      <c r="BD30" s="4" t="s">
        <v>23</v>
      </c>
      <c r="BE30" s="3" t="s">
        <v>1429</v>
      </c>
      <c r="BF30" s="119">
        <v>2.71</v>
      </c>
      <c r="BG30" s="49" t="s">
        <v>1378</v>
      </c>
      <c r="BH30" s="49" t="s">
        <v>1378</v>
      </c>
      <c r="BI30" s="1"/>
      <c r="BJ30" s="70" t="s">
        <v>1288</v>
      </c>
      <c r="BK30" s="57" t="s">
        <v>1288</v>
      </c>
      <c r="BL30" s="57" t="s">
        <v>1288</v>
      </c>
      <c r="BM30" s="57" t="s">
        <v>1288</v>
      </c>
      <c r="BN30" s="57" t="s">
        <v>1288</v>
      </c>
      <c r="BO30" s="57" t="s">
        <v>1288</v>
      </c>
      <c r="BP30" s="57" t="s">
        <v>1288</v>
      </c>
      <c r="BQ30" s="57" t="s">
        <v>1288</v>
      </c>
      <c r="BR30" s="57" t="s">
        <v>1288</v>
      </c>
      <c r="BS30" s="57" t="s">
        <v>1288</v>
      </c>
      <c r="BT30" s="57" t="s">
        <v>1288</v>
      </c>
      <c r="BU30" s="57" t="s">
        <v>1288</v>
      </c>
      <c r="BV30" s="70">
        <f t="shared" si="3"/>
        <v>5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226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204</v>
      </c>
      <c r="CQ30" s="72">
        <f t="shared" si="24"/>
        <v>259</v>
      </c>
      <c r="CR30" s="72">
        <f t="shared" si="25"/>
        <v>291</v>
      </c>
      <c r="CS30" s="72">
        <f t="shared" si="26"/>
        <v>308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29" x14ac:dyDescent="0.2">
      <c r="A31" s="3" t="str">
        <f t="shared" si="0"/>
        <v>aa2ar_human_3REY</v>
      </c>
      <c r="B31" s="3" t="s">
        <v>139</v>
      </c>
      <c r="C31" s="3" t="s">
        <v>83</v>
      </c>
      <c r="D31" s="3" t="str">
        <f>IFERROR(MID(VLOOKUP($B31,Seqs!$A:$B,2,0),E31,1),"")</f>
        <v>S</v>
      </c>
      <c r="E31" s="3">
        <v>7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Q</v>
      </c>
      <c r="AM31" s="3">
        <v>210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224"/>
        <v>258</v>
      </c>
      <c r="BD31" s="4" t="s">
        <v>23</v>
      </c>
      <c r="BE31" s="3" t="s">
        <v>1429</v>
      </c>
      <c r="BF31" s="119">
        <v>3.31</v>
      </c>
      <c r="BG31" s="49" t="s">
        <v>1378</v>
      </c>
      <c r="BH31" s="49" t="s">
        <v>1378</v>
      </c>
      <c r="BI31" s="1"/>
      <c r="BJ31" s="70" t="s">
        <v>1288</v>
      </c>
      <c r="BK31" s="57" t="s">
        <v>1288</v>
      </c>
      <c r="BL31" s="57" t="s">
        <v>1288</v>
      </c>
      <c r="BM31" s="57" t="s">
        <v>1288</v>
      </c>
      <c r="BN31" s="57" t="s">
        <v>1288</v>
      </c>
      <c r="BO31" s="57" t="s">
        <v>1288</v>
      </c>
      <c r="BP31" s="57" t="s">
        <v>1288</v>
      </c>
      <c r="BQ31" s="57" t="s">
        <v>1288</v>
      </c>
      <c r="BR31" s="57" t="s">
        <v>1288</v>
      </c>
      <c r="BS31" s="57" t="s">
        <v>1288</v>
      </c>
      <c r="BT31" s="57" t="s">
        <v>1288</v>
      </c>
      <c r="BU31" s="57" t="s">
        <v>1288</v>
      </c>
      <c r="BV31" s="70">
        <f t="shared" si="3"/>
        <v>7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210</v>
      </c>
      <c r="CQ31" s="72">
        <f t="shared" si="24"/>
        <v>259</v>
      </c>
      <c r="CR31" s="72">
        <f t="shared" si="25"/>
        <v>291</v>
      </c>
      <c r="CS31" s="72">
        <f t="shared" si="26"/>
        <v>305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29" x14ac:dyDescent="0.2">
      <c r="A32" s="3" t="str">
        <f t="shared" si="0"/>
        <v>aa2ar_human_3RFM</v>
      </c>
      <c r="B32" s="3" t="s">
        <v>139</v>
      </c>
      <c r="C32" s="3" t="s">
        <v>1035</v>
      </c>
      <c r="D32" s="3" t="str">
        <f>IFERROR(MID(VLOOKUP($B32,Seqs!$A:$B,2,0),E32,1),"")</f>
        <v>S</v>
      </c>
      <c r="E32" s="3">
        <v>7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S</v>
      </c>
      <c r="AM32" s="3">
        <v>213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224"/>
        <v>261</v>
      </c>
      <c r="BD32" s="4" t="s">
        <v>23</v>
      </c>
      <c r="BE32" s="3" t="s">
        <v>1375</v>
      </c>
      <c r="BF32" s="119">
        <v>3.6</v>
      </c>
      <c r="BG32" s="49" t="s">
        <v>1378</v>
      </c>
      <c r="BH32" s="49" t="s">
        <v>1378</v>
      </c>
      <c r="BI32" s="1"/>
      <c r="BJ32" s="70" t="s">
        <v>1288</v>
      </c>
      <c r="BK32" s="57" t="s">
        <v>1288</v>
      </c>
      <c r="BL32" s="57" t="s">
        <v>1288</v>
      </c>
      <c r="BM32" s="57" t="s">
        <v>1288</v>
      </c>
      <c r="BN32" s="57" t="s">
        <v>1288</v>
      </c>
      <c r="BO32" s="57" t="s">
        <v>1288</v>
      </c>
      <c r="BP32" s="57" t="s">
        <v>1288</v>
      </c>
      <c r="BQ32" s="57" t="s">
        <v>1288</v>
      </c>
      <c r="BR32" s="57" t="s">
        <v>1288</v>
      </c>
      <c r="BS32" s="57" t="s">
        <v>1288</v>
      </c>
      <c r="BT32" s="57" t="s">
        <v>1288</v>
      </c>
      <c r="BU32" s="57" t="s">
        <v>1288</v>
      </c>
      <c r="BV32" s="70">
        <f t="shared" si="3"/>
        <v>7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219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213</v>
      </c>
      <c r="CQ32" s="72">
        <f t="shared" si="24"/>
        <v>259</v>
      </c>
      <c r="CR32" s="72">
        <f t="shared" si="25"/>
        <v>291</v>
      </c>
      <c r="CS32" s="72">
        <f t="shared" si="26"/>
        <v>305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30" x14ac:dyDescent="0.2">
      <c r="A33" s="3" t="str">
        <f t="shared" si="0"/>
        <v>aa2ar_human_3UZA</v>
      </c>
      <c r="B33" s="3" t="s">
        <v>139</v>
      </c>
      <c r="C33" s="3" t="s">
        <v>1036</v>
      </c>
      <c r="D33" s="3" t="str">
        <f>IFERROR(MID(VLOOKUP($B33,Seqs!$A:$B,2,0),E33,1),"")</f>
        <v>S</v>
      </c>
      <c r="E33" s="3">
        <v>7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S</v>
      </c>
      <c r="AM33" s="3">
        <v>213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S</v>
      </c>
      <c r="AY33" s="3">
        <v>305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224"/>
        <v>261</v>
      </c>
      <c r="BD33" s="4" t="s">
        <v>23</v>
      </c>
      <c r="BE33" s="3" t="s">
        <v>1375</v>
      </c>
      <c r="BF33" s="119">
        <v>3.27</v>
      </c>
      <c r="BG33" s="49" t="s">
        <v>1378</v>
      </c>
      <c r="BH33" s="49" t="s">
        <v>1378</v>
      </c>
      <c r="BI33" s="1"/>
      <c r="BJ33" s="70" t="s">
        <v>1288</v>
      </c>
      <c r="BK33" s="57" t="s">
        <v>1288</v>
      </c>
      <c r="BL33" s="57" t="s">
        <v>1288</v>
      </c>
      <c r="BM33" s="57" t="s">
        <v>1288</v>
      </c>
      <c r="BN33" s="57" t="s">
        <v>1288</v>
      </c>
      <c r="BO33" s="57" t="s">
        <v>1288</v>
      </c>
      <c r="BP33" s="57" t="s">
        <v>1288</v>
      </c>
      <c r="BQ33" s="57" t="s">
        <v>1288</v>
      </c>
      <c r="BR33" s="57" t="s">
        <v>1288</v>
      </c>
      <c r="BS33" s="57" t="s">
        <v>1288</v>
      </c>
      <c r="BT33" s="57" t="s">
        <v>1288</v>
      </c>
      <c r="BU33" s="57" t="s">
        <v>1288</v>
      </c>
      <c r="BV33" s="70">
        <f t="shared" si="3"/>
        <v>7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213</v>
      </c>
      <c r="CQ33" s="72">
        <f t="shared" si="24"/>
        <v>259</v>
      </c>
      <c r="CR33" s="72">
        <f t="shared" si="25"/>
        <v>291</v>
      </c>
      <c r="CS33" s="72">
        <f t="shared" si="26"/>
        <v>305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30" s="6" customFormat="1" x14ac:dyDescent="0.2">
      <c r="A34" s="3" t="str">
        <f t="shared" si="0"/>
        <v>aa2ar_human_3UZC</v>
      </c>
      <c r="B34" s="3" t="s">
        <v>139</v>
      </c>
      <c r="C34" s="3" t="s">
        <v>1037</v>
      </c>
      <c r="D34" s="3" t="str">
        <f>IFERROR(MID(VLOOKUP($B34,Seqs!$A:$B,2,0),E34,1),"")</f>
        <v>S</v>
      </c>
      <c r="E34" s="3">
        <v>7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224"/>
        <v>261</v>
      </c>
      <c r="BD34" s="4" t="s">
        <v>23</v>
      </c>
      <c r="BE34" s="3" t="s">
        <v>1375</v>
      </c>
      <c r="BF34" s="119">
        <v>3.34</v>
      </c>
      <c r="BG34" s="49" t="s">
        <v>1378</v>
      </c>
      <c r="BH34" s="49" t="s">
        <v>1378</v>
      </c>
      <c r="BI34" s="1"/>
      <c r="BJ34" s="70" t="s">
        <v>1288</v>
      </c>
      <c r="BK34" s="57" t="s">
        <v>1288</v>
      </c>
      <c r="BL34" s="57" t="s">
        <v>1288</v>
      </c>
      <c r="BM34" s="57" t="s">
        <v>1288</v>
      </c>
      <c r="BN34" s="57" t="s">
        <v>1288</v>
      </c>
      <c r="BO34" s="57" t="s">
        <v>1288</v>
      </c>
      <c r="BP34" s="57" t="s">
        <v>1288</v>
      </c>
      <c r="BQ34" s="57" t="s">
        <v>1288</v>
      </c>
      <c r="BR34" s="57" t="s">
        <v>1288</v>
      </c>
      <c r="BS34" s="57" t="s">
        <v>1288</v>
      </c>
      <c r="BT34" s="57" t="s">
        <v>1288</v>
      </c>
      <c r="BU34" s="57" t="s">
        <v>1288</v>
      </c>
      <c r="BV34" s="70">
        <f t="shared" si="3"/>
        <v>7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305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</row>
    <row r="35" spans="1:1030" s="6" customFormat="1" x14ac:dyDescent="0.2">
      <c r="A35" s="3" t="str">
        <f t="shared" si="0"/>
        <v>aa2ar_human_3VG9</v>
      </c>
      <c r="B35" s="3" t="s">
        <v>139</v>
      </c>
      <c r="C35" s="3" t="s">
        <v>1104</v>
      </c>
      <c r="D35" s="3" t="str">
        <f>IFERROR(MID(VLOOKUP($B35,Seqs!$A:$B,2,0),E35,1),"")</f>
        <v>S</v>
      </c>
      <c r="E35" s="3">
        <v>6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214</v>
      </c>
      <c r="AN35" s="3" t="str">
        <f>IFERROR(MID(VLOOKUP($B35,Seqs!$A:$B,2,0),AO35,1),"")</f>
        <v>A</v>
      </c>
      <c r="AO35" s="3">
        <v>221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Q</v>
      </c>
      <c r="AY35" s="3">
        <v>311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224"/>
        <v>267</v>
      </c>
      <c r="BD35" s="4" t="s">
        <v>1377</v>
      </c>
      <c r="BE35" s="3" t="s">
        <v>1375</v>
      </c>
      <c r="BF35" s="119">
        <v>2.7</v>
      </c>
      <c r="BG35" s="49" t="s">
        <v>1378</v>
      </c>
      <c r="BH35" s="49" t="s">
        <v>1378</v>
      </c>
      <c r="BI35" s="1"/>
      <c r="BJ35" s="70" t="s">
        <v>1288</v>
      </c>
      <c r="BK35" s="57" t="s">
        <v>1288</v>
      </c>
      <c r="BL35" s="57" t="s">
        <v>1288</v>
      </c>
      <c r="BM35" s="57" t="s">
        <v>1288</v>
      </c>
      <c r="BN35" s="57" t="s">
        <v>1288</v>
      </c>
      <c r="BO35" s="57" t="s">
        <v>1288</v>
      </c>
      <c r="BP35" s="57" t="s">
        <v>1288</v>
      </c>
      <c r="BQ35" s="57" t="s">
        <v>1288</v>
      </c>
      <c r="BR35" s="57" t="s">
        <v>1288</v>
      </c>
      <c r="BS35" s="57" t="s">
        <v>1288</v>
      </c>
      <c r="BT35" s="57" t="s">
        <v>1288</v>
      </c>
      <c r="BU35" s="57" t="s">
        <v>1288</v>
      </c>
      <c r="BV35" s="70">
        <f t="shared" si="3"/>
        <v>6</v>
      </c>
      <c r="BW35" s="71">
        <f t="shared" si="4"/>
        <v>35</v>
      </c>
      <c r="BX35" s="72">
        <f t="shared" si="5"/>
        <v>39</v>
      </c>
      <c r="BY35" s="71">
        <f t="shared" si="6"/>
        <v>70</v>
      </c>
      <c r="BZ35" s="72">
        <f t="shared" si="7"/>
        <v>73</v>
      </c>
      <c r="CA35" s="71">
        <f t="shared" si="8"/>
        <v>109</v>
      </c>
      <c r="CB35" s="72">
        <f t="shared" si="9"/>
        <v>117</v>
      </c>
      <c r="CC35" s="71">
        <f t="shared" si="10"/>
        <v>166</v>
      </c>
      <c r="CD35" s="72">
        <f t="shared" si="11"/>
        <v>173</v>
      </c>
      <c r="CE35" s="71">
        <f t="shared" si="12"/>
        <v>221</v>
      </c>
      <c r="CF35" s="72">
        <f t="shared" si="13"/>
        <v>266</v>
      </c>
      <c r="CG35" s="71">
        <f t="shared" si="14"/>
        <v>292</v>
      </c>
      <c r="CH35" s="70">
        <f t="shared" si="15"/>
        <v>34</v>
      </c>
      <c r="CI35" s="71">
        <f t="shared" si="16"/>
        <v>38</v>
      </c>
      <c r="CJ35" s="72">
        <f t="shared" si="17"/>
        <v>69</v>
      </c>
      <c r="CK35" s="72">
        <f t="shared" si="18"/>
        <v>72</v>
      </c>
      <c r="CL35" s="72">
        <f t="shared" si="19"/>
        <v>108</v>
      </c>
      <c r="CM35" s="72">
        <f t="shared" si="20"/>
        <v>116</v>
      </c>
      <c r="CN35" s="72">
        <f t="shared" si="21"/>
        <v>142</v>
      </c>
      <c r="CO35" s="72">
        <f t="shared" si="22"/>
        <v>168</v>
      </c>
      <c r="CP35" s="72">
        <f t="shared" si="23"/>
        <v>214</v>
      </c>
      <c r="CQ35" s="72">
        <f t="shared" si="24"/>
        <v>259</v>
      </c>
      <c r="CR35" s="72">
        <f t="shared" si="25"/>
        <v>291</v>
      </c>
      <c r="CS35" s="72">
        <f t="shared" si="26"/>
        <v>311</v>
      </c>
      <c r="CT35" s="23">
        <f t="shared" si="2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</row>
    <row r="36" spans="1:1030" x14ac:dyDescent="0.2">
      <c r="A36" s="3" t="str">
        <f t="shared" si="0"/>
        <v>aa2ar_human_4EIY</v>
      </c>
      <c r="B36" s="3" t="s">
        <v>139</v>
      </c>
      <c r="C36" s="3" t="s">
        <v>81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Q</v>
      </c>
      <c r="AM36" s="3">
        <v>207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V</v>
      </c>
      <c r="AY36" s="3">
        <v>307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224"/>
        <v>262</v>
      </c>
      <c r="BD36" s="4" t="s">
        <v>23</v>
      </c>
      <c r="BE36" s="3" t="s">
        <v>1375</v>
      </c>
      <c r="BF36" s="119">
        <v>1.8</v>
      </c>
      <c r="BG36" s="49" t="s">
        <v>1378</v>
      </c>
      <c r="BH36" s="49" t="s">
        <v>1378</v>
      </c>
      <c r="BI36" s="1"/>
      <c r="BJ36" s="70" t="s">
        <v>1288</v>
      </c>
      <c r="BK36" s="57" t="s">
        <v>1288</v>
      </c>
      <c r="BL36" s="57" t="s">
        <v>1288</v>
      </c>
      <c r="BM36" s="57" t="s">
        <v>1288</v>
      </c>
      <c r="BN36" s="57" t="s">
        <v>1288</v>
      </c>
      <c r="BO36" s="57" t="s">
        <v>1288</v>
      </c>
      <c r="BP36" s="57" t="s">
        <v>1288</v>
      </c>
      <c r="BQ36" s="57" t="s">
        <v>1288</v>
      </c>
      <c r="BR36" s="57" t="s">
        <v>1288</v>
      </c>
      <c r="BS36" s="57" t="s">
        <v>1288</v>
      </c>
      <c r="BT36" s="57" t="s">
        <v>1288</v>
      </c>
      <c r="BU36" s="57" t="s">
        <v>1288</v>
      </c>
      <c r="BV36" s="70">
        <f t="shared" si="3"/>
        <v>2</v>
      </c>
      <c r="BW36" s="71">
        <f t="shared" si="4"/>
        <v>35</v>
      </c>
      <c r="BX36" s="72">
        <f t="shared" si="5"/>
        <v>39</v>
      </c>
      <c r="BY36" s="71">
        <f t="shared" si="6"/>
        <v>70</v>
      </c>
      <c r="BZ36" s="72">
        <f t="shared" si="7"/>
        <v>73</v>
      </c>
      <c r="CA36" s="71">
        <f t="shared" si="8"/>
        <v>109</v>
      </c>
      <c r="CB36" s="72">
        <f t="shared" si="9"/>
        <v>117</v>
      </c>
      <c r="CC36" s="71">
        <f t="shared" si="10"/>
        <v>166</v>
      </c>
      <c r="CD36" s="72">
        <f t="shared" si="11"/>
        <v>173</v>
      </c>
      <c r="CE36" s="71">
        <f t="shared" si="12"/>
        <v>219</v>
      </c>
      <c r="CF36" s="72">
        <f t="shared" si="13"/>
        <v>266</v>
      </c>
      <c r="CG36" s="71">
        <f t="shared" si="14"/>
        <v>292</v>
      </c>
      <c r="CH36" s="70">
        <f t="shared" si="15"/>
        <v>34</v>
      </c>
      <c r="CI36" s="71">
        <f t="shared" si="16"/>
        <v>38</v>
      </c>
      <c r="CJ36" s="72">
        <f t="shared" si="17"/>
        <v>69</v>
      </c>
      <c r="CK36" s="72">
        <f t="shared" si="18"/>
        <v>72</v>
      </c>
      <c r="CL36" s="72">
        <f t="shared" si="19"/>
        <v>108</v>
      </c>
      <c r="CM36" s="72">
        <f t="shared" si="20"/>
        <v>116</v>
      </c>
      <c r="CN36" s="72">
        <f t="shared" si="21"/>
        <v>142</v>
      </c>
      <c r="CO36" s="72">
        <f t="shared" si="22"/>
        <v>168</v>
      </c>
      <c r="CP36" s="72">
        <f t="shared" si="23"/>
        <v>207</v>
      </c>
      <c r="CQ36" s="72">
        <f t="shared" si="24"/>
        <v>259</v>
      </c>
      <c r="CR36" s="72">
        <f t="shared" si="25"/>
        <v>291</v>
      </c>
      <c r="CS36" s="72">
        <f t="shared" si="26"/>
        <v>307</v>
      </c>
      <c r="CT36" s="23">
        <f t="shared" si="2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30" x14ac:dyDescent="0.2">
      <c r="A37" s="3" t="str">
        <f t="shared" si="0"/>
        <v>aa2ar_human_4UHR</v>
      </c>
      <c r="B37" s="3" t="s">
        <v>139</v>
      </c>
      <c r="C37" s="3" t="s">
        <v>1055</v>
      </c>
      <c r="D37" s="3" t="str">
        <f>IFERROR(MID(VLOOKUP($B37,Seqs!$A:$B,2,0),E37,1),"")</f>
        <v>S</v>
      </c>
      <c r="E37" s="3">
        <v>6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S</v>
      </c>
      <c r="AM37" s="3">
        <v>213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Q</v>
      </c>
      <c r="AY37" s="3">
        <v>311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224"/>
        <v>268</v>
      </c>
      <c r="BD37" s="2" t="s">
        <v>1430</v>
      </c>
      <c r="BE37" s="3" t="s">
        <v>1429</v>
      </c>
      <c r="BF37" s="119">
        <v>2.6</v>
      </c>
      <c r="BG37" s="49" t="s">
        <v>1378</v>
      </c>
      <c r="BH37" s="49" t="s">
        <v>1378</v>
      </c>
      <c r="BI37" s="1"/>
      <c r="BJ37" s="70" t="s">
        <v>1288</v>
      </c>
      <c r="BK37" s="57" t="s">
        <v>1288</v>
      </c>
      <c r="BL37" s="57" t="s">
        <v>1288</v>
      </c>
      <c r="BM37" s="57" t="s">
        <v>1288</v>
      </c>
      <c r="BN37" s="57" t="s">
        <v>1288</v>
      </c>
      <c r="BO37" s="57" t="s">
        <v>1288</v>
      </c>
      <c r="BP37" s="57" t="s">
        <v>1288</v>
      </c>
      <c r="BQ37" s="57" t="s">
        <v>1288</v>
      </c>
      <c r="BR37" s="57" t="s">
        <v>1288</v>
      </c>
      <c r="BS37" s="57" t="s">
        <v>1288</v>
      </c>
      <c r="BT37" s="57" t="s">
        <v>1288</v>
      </c>
      <c r="BU37" s="57" t="s">
        <v>1288</v>
      </c>
      <c r="BV37" s="70">
        <f t="shared" si="3"/>
        <v>6</v>
      </c>
      <c r="BW37" s="71">
        <f t="shared" si="4"/>
        <v>35</v>
      </c>
      <c r="BX37" s="72">
        <f t="shared" si="5"/>
        <v>39</v>
      </c>
      <c r="BY37" s="71">
        <f t="shared" si="6"/>
        <v>70</v>
      </c>
      <c r="BZ37" s="72">
        <f t="shared" si="7"/>
        <v>73</v>
      </c>
      <c r="CA37" s="71">
        <f t="shared" si="8"/>
        <v>109</v>
      </c>
      <c r="CB37" s="72">
        <f t="shared" si="9"/>
        <v>117</v>
      </c>
      <c r="CC37" s="71">
        <f t="shared" si="10"/>
        <v>166</v>
      </c>
      <c r="CD37" s="72">
        <f t="shared" si="11"/>
        <v>173</v>
      </c>
      <c r="CE37" s="71">
        <f t="shared" si="12"/>
        <v>219</v>
      </c>
      <c r="CF37" s="72">
        <f t="shared" si="13"/>
        <v>266</v>
      </c>
      <c r="CG37" s="71">
        <f t="shared" si="14"/>
        <v>292</v>
      </c>
      <c r="CH37" s="70">
        <f t="shared" si="15"/>
        <v>34</v>
      </c>
      <c r="CI37" s="71">
        <f t="shared" si="16"/>
        <v>38</v>
      </c>
      <c r="CJ37" s="72">
        <f t="shared" si="17"/>
        <v>69</v>
      </c>
      <c r="CK37" s="72">
        <f t="shared" si="18"/>
        <v>72</v>
      </c>
      <c r="CL37" s="72">
        <f t="shared" si="19"/>
        <v>108</v>
      </c>
      <c r="CM37" s="72">
        <f t="shared" si="20"/>
        <v>116</v>
      </c>
      <c r="CN37" s="72">
        <f t="shared" si="21"/>
        <v>142</v>
      </c>
      <c r="CO37" s="72">
        <f t="shared" si="22"/>
        <v>168</v>
      </c>
      <c r="CP37" s="72">
        <f t="shared" si="23"/>
        <v>213</v>
      </c>
      <c r="CQ37" s="72">
        <f t="shared" si="24"/>
        <v>259</v>
      </c>
      <c r="CR37" s="72">
        <f t="shared" si="25"/>
        <v>291</v>
      </c>
      <c r="CS37" s="72">
        <f t="shared" si="26"/>
        <v>311</v>
      </c>
      <c r="CT37" s="23">
        <f t="shared" si="2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30" x14ac:dyDescent="0.2">
      <c r="A38" s="3" t="str">
        <f t="shared" si="0"/>
        <v>aa2ar_human_5G53</v>
      </c>
      <c r="B38" s="3" t="s">
        <v>139</v>
      </c>
      <c r="C38" s="3" t="s">
        <v>1293</v>
      </c>
      <c r="D38" s="3" t="str">
        <f>IFERROR(MID(VLOOKUP($B38,Seqs!$A:$B,2,0),E38,1),"")</f>
        <v>S</v>
      </c>
      <c r="E38" s="3">
        <v>6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Q</v>
      </c>
      <c r="AM38" s="3">
        <v>207</v>
      </c>
      <c r="AN38" s="3" t="str">
        <f>IFERROR(MID(VLOOKUP($B38,Seqs!$A:$B,2,0),AO38,1),"")</f>
        <v>T</v>
      </c>
      <c r="AO38" s="3">
        <v>224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ref="BC38:BC99" si="225">_xlfn.AGGREGATE(9,6,CH38:CS38)-_xlfn.AGGREGATE(9,6,BV38:CG38)+12</f>
        <v>251</v>
      </c>
      <c r="BD38" s="4" t="s">
        <v>1376</v>
      </c>
      <c r="BE38" s="3" t="s">
        <v>1292</v>
      </c>
      <c r="BF38" s="119">
        <v>3.4</v>
      </c>
      <c r="BG38" s="49" t="s">
        <v>1282</v>
      </c>
      <c r="BH38" s="49" t="s">
        <v>1282</v>
      </c>
      <c r="BI38" s="1"/>
      <c r="BJ38" s="70" t="s">
        <v>1288</v>
      </c>
      <c r="BK38" s="57" t="s">
        <v>1288</v>
      </c>
      <c r="BL38" s="57" t="s">
        <v>1288</v>
      </c>
      <c r="BM38" s="57" t="s">
        <v>1288</v>
      </c>
      <c r="BN38" s="57" t="s">
        <v>1288</v>
      </c>
      <c r="BO38" s="57" t="s">
        <v>1288</v>
      </c>
      <c r="BP38" s="57" t="s">
        <v>1288</v>
      </c>
      <c r="BQ38" s="57" t="s">
        <v>1288</v>
      </c>
      <c r="BR38" s="57" t="s">
        <v>1288</v>
      </c>
      <c r="BS38" s="57" t="s">
        <v>1288</v>
      </c>
      <c r="BT38" s="57" t="s">
        <v>1288</v>
      </c>
      <c r="BU38" s="57" t="s">
        <v>1288</v>
      </c>
      <c r="BV38" s="70">
        <f t="shared" ref="BV38:BV99" si="226">E38</f>
        <v>6</v>
      </c>
      <c r="BW38" s="71">
        <f t="shared" ref="BW38:BW99" si="227">I38</f>
        <v>35</v>
      </c>
      <c r="BX38" s="72">
        <f t="shared" ref="BX38:BX99" si="228">M38</f>
        <v>39</v>
      </c>
      <c r="BY38" s="71">
        <f t="shared" ref="BY38:BY99" si="229">Q38</f>
        <v>70</v>
      </c>
      <c r="BZ38" s="72">
        <f t="shared" ref="BZ38:BZ99" si="230">U38</f>
        <v>73</v>
      </c>
      <c r="CA38" s="71">
        <f t="shared" ref="CA38:CA99" si="231">Y38</f>
        <v>109</v>
      </c>
      <c r="CB38" s="72">
        <f t="shared" ref="CB38:CB99" si="232">AC38</f>
        <v>117</v>
      </c>
      <c r="CC38" s="71">
        <f t="shared" ref="CC38:CC99" si="233">AG38</f>
        <v>166</v>
      </c>
      <c r="CD38" s="72">
        <f t="shared" ref="CD38:CD99" si="234">AK38</f>
        <v>173</v>
      </c>
      <c r="CE38" s="71">
        <f t="shared" ref="CE38:CE99" si="235">AO38</f>
        <v>224</v>
      </c>
      <c r="CF38" s="72">
        <f t="shared" ref="CF38:CF99" si="236">AS38</f>
        <v>266</v>
      </c>
      <c r="CG38" s="71">
        <f t="shared" ref="CG38:CG99" si="237">AW38</f>
        <v>292</v>
      </c>
      <c r="CH38" s="70">
        <f t="shared" ref="CH38:CH99" si="238">G38</f>
        <v>34</v>
      </c>
      <c r="CI38" s="71">
        <f t="shared" ref="CI38:CI99" si="239">K38</f>
        <v>38</v>
      </c>
      <c r="CJ38" s="72">
        <f t="shared" ref="CJ38:CJ99" si="240">O38</f>
        <v>69</v>
      </c>
      <c r="CK38" s="72">
        <f t="shared" ref="CK38:CK99" si="241">S38</f>
        <v>72</v>
      </c>
      <c r="CL38" s="72">
        <f t="shared" ref="CL38:CL99" si="242">W38</f>
        <v>108</v>
      </c>
      <c r="CM38" s="72">
        <f t="shared" ref="CM38:CM99" si="243">AA38</f>
        <v>116</v>
      </c>
      <c r="CN38" s="72">
        <f t="shared" ref="CN38:CN99" si="244">AE38</f>
        <v>142</v>
      </c>
      <c r="CO38" s="72">
        <f t="shared" ref="CO38:CO99" si="245">AI38</f>
        <v>168</v>
      </c>
      <c r="CP38" s="72">
        <f t="shared" ref="CP38:CP99" si="246">AM38</f>
        <v>207</v>
      </c>
      <c r="CQ38" s="72">
        <f t="shared" ref="CQ38:CQ99" si="247">AQ38</f>
        <v>259</v>
      </c>
      <c r="CR38" s="72">
        <f t="shared" ref="CR38:CR99" si="248">AU38</f>
        <v>291</v>
      </c>
      <c r="CS38" s="72">
        <f t="shared" ref="CS38:CS99" si="249">AY38</f>
        <v>305</v>
      </c>
      <c r="CT38" s="23">
        <f t="shared" ref="CT38:CT99" si="250">M38-K38</f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30" x14ac:dyDescent="0.2">
      <c r="A39" s="3" t="str">
        <f t="shared" si="0"/>
        <v>aa2ar_human_5IU4</v>
      </c>
      <c r="B39" s="3" t="s">
        <v>139</v>
      </c>
      <c r="C39" s="3" t="s">
        <v>1346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225"/>
        <v>261</v>
      </c>
      <c r="BD39" s="4" t="s">
        <v>23</v>
      </c>
      <c r="BE39" s="3" t="s">
        <v>1375</v>
      </c>
      <c r="BF39" s="119">
        <v>1.72</v>
      </c>
      <c r="BG39" s="49" t="s">
        <v>1378</v>
      </c>
      <c r="BH39" s="49" t="s">
        <v>1378</v>
      </c>
      <c r="BI39" s="1"/>
      <c r="BJ39" s="70" t="s">
        <v>1288</v>
      </c>
      <c r="BK39" s="57" t="s">
        <v>1288</v>
      </c>
      <c r="BL39" s="57" t="s">
        <v>1288</v>
      </c>
      <c r="BM39" s="57" t="s">
        <v>1288</v>
      </c>
      <c r="BN39" s="57" t="s">
        <v>1288</v>
      </c>
      <c r="BO39" s="57" t="s">
        <v>1288</v>
      </c>
      <c r="BP39" s="57" t="s">
        <v>1288</v>
      </c>
      <c r="BQ39" s="57" t="s">
        <v>1288</v>
      </c>
      <c r="BR39" s="57" t="s">
        <v>1288</v>
      </c>
      <c r="BS39" s="57" t="s">
        <v>1288</v>
      </c>
      <c r="BT39" s="57" t="s">
        <v>1288</v>
      </c>
      <c r="BU39" s="57" t="s">
        <v>1288</v>
      </c>
      <c r="BV39" s="70">
        <f t="shared" si="226"/>
        <v>2</v>
      </c>
      <c r="BW39" s="71">
        <f t="shared" si="227"/>
        <v>35</v>
      </c>
      <c r="BX39" s="72">
        <f t="shared" si="228"/>
        <v>39</v>
      </c>
      <c r="BY39" s="71">
        <f t="shared" si="229"/>
        <v>70</v>
      </c>
      <c r="BZ39" s="72">
        <f t="shared" si="230"/>
        <v>73</v>
      </c>
      <c r="CA39" s="71">
        <f t="shared" si="231"/>
        <v>109</v>
      </c>
      <c r="CB39" s="72">
        <f t="shared" si="232"/>
        <v>117</v>
      </c>
      <c r="CC39" s="71">
        <f t="shared" si="233"/>
        <v>166</v>
      </c>
      <c r="CD39" s="72">
        <f t="shared" si="234"/>
        <v>173</v>
      </c>
      <c r="CE39" s="71">
        <f t="shared" si="235"/>
        <v>219</v>
      </c>
      <c r="CF39" s="72">
        <f t="shared" si="236"/>
        <v>266</v>
      </c>
      <c r="CG39" s="71">
        <f t="shared" si="237"/>
        <v>292</v>
      </c>
      <c r="CH39" s="70">
        <f t="shared" si="238"/>
        <v>34</v>
      </c>
      <c r="CI39" s="71">
        <f t="shared" si="239"/>
        <v>38</v>
      </c>
      <c r="CJ39" s="72">
        <f t="shared" si="240"/>
        <v>69</v>
      </c>
      <c r="CK39" s="72">
        <f t="shared" si="241"/>
        <v>72</v>
      </c>
      <c r="CL39" s="72">
        <f t="shared" si="242"/>
        <v>108</v>
      </c>
      <c r="CM39" s="72">
        <f t="shared" si="243"/>
        <v>116</v>
      </c>
      <c r="CN39" s="72">
        <f t="shared" si="244"/>
        <v>142</v>
      </c>
      <c r="CO39" s="72">
        <f t="shared" si="245"/>
        <v>168</v>
      </c>
      <c r="CP39" s="72">
        <f t="shared" si="246"/>
        <v>208</v>
      </c>
      <c r="CQ39" s="72">
        <f t="shared" si="247"/>
        <v>259</v>
      </c>
      <c r="CR39" s="72">
        <f t="shared" si="248"/>
        <v>291</v>
      </c>
      <c r="CS39" s="72">
        <f t="shared" si="249"/>
        <v>305</v>
      </c>
      <c r="CT39" s="23">
        <f t="shared" si="250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30" x14ac:dyDescent="0.2">
      <c r="A40" s="3" t="str">
        <f t="shared" si="0"/>
        <v>aa2ar_human_5IU7</v>
      </c>
      <c r="B40" s="3" t="s">
        <v>139</v>
      </c>
      <c r="C40" s="3" t="s">
        <v>1347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225"/>
        <v>263</v>
      </c>
      <c r="BD40" s="4" t="s">
        <v>23</v>
      </c>
      <c r="BE40" s="3" t="s">
        <v>1375</v>
      </c>
      <c r="BF40" s="119">
        <v>1.9</v>
      </c>
      <c r="BG40" s="49" t="s">
        <v>1378</v>
      </c>
      <c r="BH40" s="49" t="s">
        <v>1378</v>
      </c>
      <c r="BI40" s="1"/>
      <c r="BJ40" s="70" t="s">
        <v>1288</v>
      </c>
      <c r="BK40" s="57" t="s">
        <v>1288</v>
      </c>
      <c r="BL40" s="57" t="s">
        <v>1288</v>
      </c>
      <c r="BM40" s="57" t="s">
        <v>1288</v>
      </c>
      <c r="BN40" s="57" t="s">
        <v>1288</v>
      </c>
      <c r="BO40" s="57" t="s">
        <v>1288</v>
      </c>
      <c r="BP40" s="57" t="s">
        <v>1288</v>
      </c>
      <c r="BQ40" s="57" t="s">
        <v>1288</v>
      </c>
      <c r="BR40" s="57" t="s">
        <v>1288</v>
      </c>
      <c r="BS40" s="57" t="s">
        <v>1288</v>
      </c>
      <c r="BT40" s="57" t="s">
        <v>1288</v>
      </c>
      <c r="BU40" s="57" t="s">
        <v>1288</v>
      </c>
      <c r="BV40" s="70">
        <f t="shared" si="226"/>
        <v>2</v>
      </c>
      <c r="BW40" s="71">
        <f t="shared" si="227"/>
        <v>35</v>
      </c>
      <c r="BX40" s="72">
        <f t="shared" si="228"/>
        <v>39</v>
      </c>
      <c r="BY40" s="71">
        <f t="shared" si="229"/>
        <v>70</v>
      </c>
      <c r="BZ40" s="72">
        <f t="shared" si="230"/>
        <v>73</v>
      </c>
      <c r="CA40" s="71">
        <f t="shared" si="231"/>
        <v>109</v>
      </c>
      <c r="CB40" s="72">
        <f t="shared" si="232"/>
        <v>117</v>
      </c>
      <c r="CC40" s="71">
        <f t="shared" si="233"/>
        <v>166</v>
      </c>
      <c r="CD40" s="72">
        <f t="shared" si="234"/>
        <v>173</v>
      </c>
      <c r="CE40" s="71">
        <f t="shared" si="235"/>
        <v>219</v>
      </c>
      <c r="CF40" s="72">
        <f t="shared" si="236"/>
        <v>266</v>
      </c>
      <c r="CG40" s="71">
        <f t="shared" si="237"/>
        <v>292</v>
      </c>
      <c r="CH40" s="70">
        <f t="shared" si="238"/>
        <v>34</v>
      </c>
      <c r="CI40" s="71">
        <f t="shared" si="239"/>
        <v>38</v>
      </c>
      <c r="CJ40" s="72">
        <f t="shared" si="240"/>
        <v>69</v>
      </c>
      <c r="CK40" s="72">
        <f t="shared" si="241"/>
        <v>72</v>
      </c>
      <c r="CL40" s="72">
        <f t="shared" si="242"/>
        <v>108</v>
      </c>
      <c r="CM40" s="72">
        <f t="shared" si="243"/>
        <v>116</v>
      </c>
      <c r="CN40" s="72">
        <f t="shared" si="244"/>
        <v>142</v>
      </c>
      <c r="CO40" s="72">
        <f t="shared" si="245"/>
        <v>168</v>
      </c>
      <c r="CP40" s="72">
        <f t="shared" si="246"/>
        <v>208</v>
      </c>
      <c r="CQ40" s="72">
        <f t="shared" si="247"/>
        <v>259</v>
      </c>
      <c r="CR40" s="72">
        <f t="shared" si="248"/>
        <v>291</v>
      </c>
      <c r="CS40" s="72">
        <f t="shared" si="249"/>
        <v>307</v>
      </c>
      <c r="CT40" s="23">
        <f t="shared" si="25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30" x14ac:dyDescent="0.2">
      <c r="A41" s="3" t="str">
        <f t="shared" si="0"/>
        <v>aa2ar_human_5IU8</v>
      </c>
      <c r="B41" s="3" t="s">
        <v>139</v>
      </c>
      <c r="C41" s="3" t="s">
        <v>1348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225"/>
        <v>261</v>
      </c>
      <c r="BD41" s="4" t="s">
        <v>23</v>
      </c>
      <c r="BE41" s="3" t="s">
        <v>1375</v>
      </c>
      <c r="BF41" s="119">
        <v>2</v>
      </c>
      <c r="BG41" s="49" t="s">
        <v>1378</v>
      </c>
      <c r="BH41" s="49" t="s">
        <v>1378</v>
      </c>
      <c r="BI41" s="1"/>
      <c r="BJ41" s="70" t="s">
        <v>1288</v>
      </c>
      <c r="BK41" s="57" t="s">
        <v>1288</v>
      </c>
      <c r="BL41" s="57" t="s">
        <v>1288</v>
      </c>
      <c r="BM41" s="57" t="s">
        <v>1288</v>
      </c>
      <c r="BN41" s="57" t="s">
        <v>1288</v>
      </c>
      <c r="BO41" s="57" t="s">
        <v>1288</v>
      </c>
      <c r="BP41" s="57" t="s">
        <v>1288</v>
      </c>
      <c r="BQ41" s="57" t="s">
        <v>1288</v>
      </c>
      <c r="BR41" s="57" t="s">
        <v>1288</v>
      </c>
      <c r="BS41" s="57" t="s">
        <v>1288</v>
      </c>
      <c r="BT41" s="57" t="s">
        <v>1288</v>
      </c>
      <c r="BU41" s="57" t="s">
        <v>1288</v>
      </c>
      <c r="BV41" s="70">
        <f t="shared" si="226"/>
        <v>2</v>
      </c>
      <c r="BW41" s="71">
        <f t="shared" si="227"/>
        <v>35</v>
      </c>
      <c r="BX41" s="72">
        <f t="shared" si="228"/>
        <v>39</v>
      </c>
      <c r="BY41" s="71">
        <f t="shared" si="229"/>
        <v>70</v>
      </c>
      <c r="BZ41" s="72">
        <f t="shared" si="230"/>
        <v>73</v>
      </c>
      <c r="CA41" s="71">
        <f t="shared" si="231"/>
        <v>109</v>
      </c>
      <c r="CB41" s="72">
        <f t="shared" si="232"/>
        <v>117</v>
      </c>
      <c r="CC41" s="71">
        <f t="shared" si="233"/>
        <v>166</v>
      </c>
      <c r="CD41" s="72">
        <f t="shared" si="234"/>
        <v>173</v>
      </c>
      <c r="CE41" s="71">
        <f t="shared" si="235"/>
        <v>219</v>
      </c>
      <c r="CF41" s="72">
        <f t="shared" si="236"/>
        <v>266</v>
      </c>
      <c r="CG41" s="71">
        <f t="shared" si="237"/>
        <v>292</v>
      </c>
      <c r="CH41" s="70">
        <f t="shared" si="238"/>
        <v>34</v>
      </c>
      <c r="CI41" s="71">
        <f t="shared" si="239"/>
        <v>38</v>
      </c>
      <c r="CJ41" s="72">
        <f t="shared" si="240"/>
        <v>69</v>
      </c>
      <c r="CK41" s="72">
        <f t="shared" si="241"/>
        <v>72</v>
      </c>
      <c r="CL41" s="72">
        <f t="shared" si="242"/>
        <v>108</v>
      </c>
      <c r="CM41" s="72">
        <f t="shared" si="243"/>
        <v>116</v>
      </c>
      <c r="CN41" s="72">
        <f t="shared" si="244"/>
        <v>142</v>
      </c>
      <c r="CO41" s="72">
        <f t="shared" si="245"/>
        <v>168</v>
      </c>
      <c r="CP41" s="72">
        <f t="shared" si="246"/>
        <v>208</v>
      </c>
      <c r="CQ41" s="72">
        <f t="shared" si="247"/>
        <v>259</v>
      </c>
      <c r="CR41" s="72">
        <f t="shared" si="248"/>
        <v>291</v>
      </c>
      <c r="CS41" s="72">
        <f t="shared" si="249"/>
        <v>305</v>
      </c>
      <c r="CT41" s="23">
        <f t="shared" si="250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30" x14ac:dyDescent="0.2">
      <c r="A42" s="3" t="str">
        <f t="shared" si="0"/>
        <v>aa2ar_human_5IUA</v>
      </c>
      <c r="B42" s="3" t="s">
        <v>139</v>
      </c>
      <c r="C42" s="3" t="s">
        <v>1349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H</v>
      </c>
      <c r="AY42" s="3">
        <v>306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225"/>
        <v>262</v>
      </c>
      <c r="BD42" s="4" t="s">
        <v>23</v>
      </c>
      <c r="BE42" s="3" t="s">
        <v>1375</v>
      </c>
      <c r="BF42" s="119">
        <v>2.2000000000000002</v>
      </c>
      <c r="BG42" s="49" t="s">
        <v>1378</v>
      </c>
      <c r="BH42" s="49" t="s">
        <v>1378</v>
      </c>
      <c r="BI42" s="1"/>
      <c r="BJ42" s="70" t="s">
        <v>1288</v>
      </c>
      <c r="BK42" s="57" t="s">
        <v>1288</v>
      </c>
      <c r="BL42" s="57" t="s">
        <v>1288</v>
      </c>
      <c r="BM42" s="57" t="s">
        <v>1288</v>
      </c>
      <c r="BN42" s="57" t="s">
        <v>1288</v>
      </c>
      <c r="BO42" s="57" t="s">
        <v>1288</v>
      </c>
      <c r="BP42" s="57" t="s">
        <v>1288</v>
      </c>
      <c r="BQ42" s="57" t="s">
        <v>1288</v>
      </c>
      <c r="BR42" s="57" t="s">
        <v>1288</v>
      </c>
      <c r="BS42" s="57" t="s">
        <v>1288</v>
      </c>
      <c r="BT42" s="57" t="s">
        <v>1288</v>
      </c>
      <c r="BU42" s="57" t="s">
        <v>1288</v>
      </c>
      <c r="BV42" s="70">
        <f t="shared" si="226"/>
        <v>2</v>
      </c>
      <c r="BW42" s="71">
        <f t="shared" si="227"/>
        <v>35</v>
      </c>
      <c r="BX42" s="72">
        <f t="shared" si="228"/>
        <v>39</v>
      </c>
      <c r="BY42" s="71">
        <f t="shared" si="229"/>
        <v>70</v>
      </c>
      <c r="BZ42" s="72">
        <f t="shared" si="230"/>
        <v>73</v>
      </c>
      <c r="CA42" s="71">
        <f t="shared" si="231"/>
        <v>109</v>
      </c>
      <c r="CB42" s="72">
        <f t="shared" si="232"/>
        <v>117</v>
      </c>
      <c r="CC42" s="71">
        <f t="shared" si="233"/>
        <v>166</v>
      </c>
      <c r="CD42" s="72">
        <f t="shared" si="234"/>
        <v>173</v>
      </c>
      <c r="CE42" s="71">
        <f t="shared" si="235"/>
        <v>219</v>
      </c>
      <c r="CF42" s="72">
        <f t="shared" si="236"/>
        <v>266</v>
      </c>
      <c r="CG42" s="71">
        <f t="shared" si="237"/>
        <v>292</v>
      </c>
      <c r="CH42" s="70">
        <f t="shared" si="238"/>
        <v>34</v>
      </c>
      <c r="CI42" s="71">
        <f t="shared" si="239"/>
        <v>38</v>
      </c>
      <c r="CJ42" s="72">
        <f t="shared" si="240"/>
        <v>69</v>
      </c>
      <c r="CK42" s="72">
        <f t="shared" si="241"/>
        <v>72</v>
      </c>
      <c r="CL42" s="72">
        <f t="shared" si="242"/>
        <v>108</v>
      </c>
      <c r="CM42" s="72">
        <f t="shared" si="243"/>
        <v>116</v>
      </c>
      <c r="CN42" s="72">
        <f t="shared" si="244"/>
        <v>142</v>
      </c>
      <c r="CO42" s="72">
        <f t="shared" si="245"/>
        <v>168</v>
      </c>
      <c r="CP42" s="72">
        <f t="shared" si="246"/>
        <v>208</v>
      </c>
      <c r="CQ42" s="72">
        <f t="shared" si="247"/>
        <v>259</v>
      </c>
      <c r="CR42" s="72">
        <f t="shared" si="248"/>
        <v>291</v>
      </c>
      <c r="CS42" s="72">
        <f t="shared" si="249"/>
        <v>306</v>
      </c>
      <c r="CT42" s="23">
        <f t="shared" si="250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30" x14ac:dyDescent="0.2">
      <c r="A43" s="3" t="str">
        <f t="shared" si="0"/>
        <v>aa2ar_human_5IUB</v>
      </c>
      <c r="B43" s="3" t="s">
        <v>139</v>
      </c>
      <c r="C43" s="3" t="s">
        <v>1350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S</v>
      </c>
      <c r="AY43" s="3">
        <v>305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225"/>
        <v>261</v>
      </c>
      <c r="BD43" s="4" t="s">
        <v>23</v>
      </c>
      <c r="BE43" s="3" t="s">
        <v>1375</v>
      </c>
      <c r="BF43" s="119">
        <v>2.1</v>
      </c>
      <c r="BG43" s="49" t="s">
        <v>1378</v>
      </c>
      <c r="BH43" s="49" t="s">
        <v>1378</v>
      </c>
      <c r="BI43" s="1"/>
      <c r="BJ43" s="70" t="s">
        <v>1288</v>
      </c>
      <c r="BK43" s="57" t="s">
        <v>1288</v>
      </c>
      <c r="BL43" s="57" t="s">
        <v>1288</v>
      </c>
      <c r="BM43" s="57" t="s">
        <v>1288</v>
      </c>
      <c r="BN43" s="57" t="s">
        <v>1288</v>
      </c>
      <c r="BO43" s="57" t="s">
        <v>1288</v>
      </c>
      <c r="BP43" s="57" t="s">
        <v>1288</v>
      </c>
      <c r="BQ43" s="57" t="s">
        <v>1288</v>
      </c>
      <c r="BR43" s="57" t="s">
        <v>1288</v>
      </c>
      <c r="BS43" s="57" t="s">
        <v>1288</v>
      </c>
      <c r="BT43" s="57" t="s">
        <v>1288</v>
      </c>
      <c r="BU43" s="57" t="s">
        <v>1288</v>
      </c>
      <c r="BV43" s="70">
        <f t="shared" si="226"/>
        <v>2</v>
      </c>
      <c r="BW43" s="71">
        <f t="shared" si="227"/>
        <v>35</v>
      </c>
      <c r="BX43" s="72">
        <f t="shared" si="228"/>
        <v>39</v>
      </c>
      <c r="BY43" s="71">
        <f t="shared" si="229"/>
        <v>70</v>
      </c>
      <c r="BZ43" s="72">
        <f t="shared" si="230"/>
        <v>73</v>
      </c>
      <c r="CA43" s="71">
        <f t="shared" si="231"/>
        <v>109</v>
      </c>
      <c r="CB43" s="72">
        <f t="shared" si="232"/>
        <v>117</v>
      </c>
      <c r="CC43" s="71">
        <f t="shared" si="233"/>
        <v>166</v>
      </c>
      <c r="CD43" s="72">
        <f t="shared" si="234"/>
        <v>173</v>
      </c>
      <c r="CE43" s="71">
        <f t="shared" si="235"/>
        <v>219</v>
      </c>
      <c r="CF43" s="72">
        <f t="shared" si="236"/>
        <v>266</v>
      </c>
      <c r="CG43" s="71">
        <f t="shared" si="237"/>
        <v>292</v>
      </c>
      <c r="CH43" s="70">
        <f t="shared" si="238"/>
        <v>34</v>
      </c>
      <c r="CI43" s="71">
        <f t="shared" si="239"/>
        <v>38</v>
      </c>
      <c r="CJ43" s="72">
        <f t="shared" si="240"/>
        <v>69</v>
      </c>
      <c r="CK43" s="72">
        <f t="shared" si="241"/>
        <v>72</v>
      </c>
      <c r="CL43" s="72">
        <f t="shared" si="242"/>
        <v>108</v>
      </c>
      <c r="CM43" s="72">
        <f t="shared" si="243"/>
        <v>116</v>
      </c>
      <c r="CN43" s="72">
        <f t="shared" si="244"/>
        <v>142</v>
      </c>
      <c r="CO43" s="72">
        <f t="shared" si="245"/>
        <v>168</v>
      </c>
      <c r="CP43" s="72">
        <f t="shared" si="246"/>
        <v>208</v>
      </c>
      <c r="CQ43" s="72">
        <f t="shared" si="247"/>
        <v>259</v>
      </c>
      <c r="CR43" s="72">
        <f t="shared" si="248"/>
        <v>291</v>
      </c>
      <c r="CS43" s="72">
        <f t="shared" si="249"/>
        <v>305</v>
      </c>
      <c r="CT43" s="23">
        <f t="shared" si="250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30" x14ac:dyDescent="0.2">
      <c r="A44" s="3" t="str">
        <f t="shared" si="0"/>
        <v>aa2ar_human_5K2A</v>
      </c>
      <c r="B44" s="3" t="s">
        <v>139</v>
      </c>
      <c r="C44" s="3" t="s">
        <v>1340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225"/>
        <v>263</v>
      </c>
      <c r="BD44" s="1" t="s">
        <v>23</v>
      </c>
      <c r="BE44" s="3" t="s">
        <v>1375</v>
      </c>
      <c r="BF44" s="119">
        <v>2.5</v>
      </c>
      <c r="BG44" s="49" t="s">
        <v>1378</v>
      </c>
      <c r="BH44" s="49" t="s">
        <v>1378</v>
      </c>
      <c r="BI44" s="1"/>
      <c r="BJ44" s="70" t="s">
        <v>1288</v>
      </c>
      <c r="BK44" s="57" t="s">
        <v>1288</v>
      </c>
      <c r="BL44" s="57" t="s">
        <v>1288</v>
      </c>
      <c r="BM44" s="57" t="s">
        <v>1288</v>
      </c>
      <c r="BN44" s="57" t="s">
        <v>1288</v>
      </c>
      <c r="BO44" s="57" t="s">
        <v>1288</v>
      </c>
      <c r="BP44" s="57" t="s">
        <v>1288</v>
      </c>
      <c r="BQ44" s="57" t="s">
        <v>1288</v>
      </c>
      <c r="BR44" s="57" t="s">
        <v>1288</v>
      </c>
      <c r="BS44" s="57" t="s">
        <v>1288</v>
      </c>
      <c r="BT44" s="57" t="s">
        <v>1288</v>
      </c>
      <c r="BU44" s="57" t="s">
        <v>1288</v>
      </c>
      <c r="BV44" s="70">
        <f t="shared" si="226"/>
        <v>2</v>
      </c>
      <c r="BW44" s="71">
        <f t="shared" si="227"/>
        <v>35</v>
      </c>
      <c r="BX44" s="72">
        <f t="shared" si="228"/>
        <v>39</v>
      </c>
      <c r="BY44" s="71">
        <f t="shared" si="229"/>
        <v>70</v>
      </c>
      <c r="BZ44" s="72">
        <f t="shared" si="230"/>
        <v>73</v>
      </c>
      <c r="CA44" s="71">
        <f t="shared" si="231"/>
        <v>109</v>
      </c>
      <c r="CB44" s="72">
        <f t="shared" si="232"/>
        <v>117</v>
      </c>
      <c r="CC44" s="71">
        <f t="shared" si="233"/>
        <v>166</v>
      </c>
      <c r="CD44" s="72">
        <f t="shared" si="234"/>
        <v>173</v>
      </c>
      <c r="CE44" s="71">
        <f t="shared" si="235"/>
        <v>219</v>
      </c>
      <c r="CF44" s="72">
        <f t="shared" si="236"/>
        <v>266</v>
      </c>
      <c r="CG44" s="71">
        <f t="shared" si="237"/>
        <v>292</v>
      </c>
      <c r="CH44" s="70">
        <f t="shared" si="238"/>
        <v>34</v>
      </c>
      <c r="CI44" s="71">
        <f t="shared" si="239"/>
        <v>38</v>
      </c>
      <c r="CJ44" s="72">
        <f t="shared" si="240"/>
        <v>69</v>
      </c>
      <c r="CK44" s="72">
        <f t="shared" si="241"/>
        <v>72</v>
      </c>
      <c r="CL44" s="72">
        <f t="shared" si="242"/>
        <v>108</v>
      </c>
      <c r="CM44" s="72">
        <f t="shared" si="243"/>
        <v>116</v>
      </c>
      <c r="CN44" s="72">
        <f t="shared" si="244"/>
        <v>142</v>
      </c>
      <c r="CO44" s="72">
        <f t="shared" si="245"/>
        <v>168</v>
      </c>
      <c r="CP44" s="72">
        <f t="shared" si="246"/>
        <v>208</v>
      </c>
      <c r="CQ44" s="72">
        <f t="shared" si="247"/>
        <v>259</v>
      </c>
      <c r="CR44" s="72">
        <f t="shared" si="248"/>
        <v>291</v>
      </c>
      <c r="CS44" s="72">
        <f t="shared" si="249"/>
        <v>307</v>
      </c>
      <c r="CT44" s="23">
        <f t="shared" si="250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30" x14ac:dyDescent="0.2">
      <c r="A45" s="3" t="str">
        <f t="shared" si="0"/>
        <v>aa2ar_human_5K2B</v>
      </c>
      <c r="B45" s="3" t="s">
        <v>139</v>
      </c>
      <c r="C45" s="3" t="s">
        <v>1341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9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V</v>
      </c>
      <c r="AY45" s="3">
        <v>307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"/>
        <v>1</v>
      </c>
      <c r="BC45" s="23">
        <f t="shared" si="225"/>
        <v>263</v>
      </c>
      <c r="BD45" s="4" t="s">
        <v>23</v>
      </c>
      <c r="BE45" s="3" t="s">
        <v>1375</v>
      </c>
      <c r="BF45" s="119">
        <v>2.5</v>
      </c>
      <c r="BG45" s="49" t="s">
        <v>1378</v>
      </c>
      <c r="BH45" s="49" t="s">
        <v>1378</v>
      </c>
      <c r="BI45" s="1"/>
      <c r="BJ45" s="70" t="s">
        <v>1288</v>
      </c>
      <c r="BK45" s="57" t="s">
        <v>1288</v>
      </c>
      <c r="BL45" s="57" t="s">
        <v>1288</v>
      </c>
      <c r="BM45" s="57" t="s">
        <v>1288</v>
      </c>
      <c r="BN45" s="57" t="s">
        <v>1288</v>
      </c>
      <c r="BO45" s="57" t="s">
        <v>1288</v>
      </c>
      <c r="BP45" s="57" t="s">
        <v>1288</v>
      </c>
      <c r="BQ45" s="57" t="s">
        <v>1288</v>
      </c>
      <c r="BR45" s="57" t="s">
        <v>1288</v>
      </c>
      <c r="BS45" s="57" t="s">
        <v>1288</v>
      </c>
      <c r="BT45" s="57" t="s">
        <v>1288</v>
      </c>
      <c r="BU45" s="57" t="s">
        <v>1288</v>
      </c>
      <c r="BV45" s="70">
        <f t="shared" si="226"/>
        <v>2</v>
      </c>
      <c r="BW45" s="71">
        <f t="shared" si="227"/>
        <v>35</v>
      </c>
      <c r="BX45" s="72">
        <f t="shared" si="228"/>
        <v>39</v>
      </c>
      <c r="BY45" s="71">
        <f t="shared" si="229"/>
        <v>70</v>
      </c>
      <c r="BZ45" s="72">
        <f t="shared" si="230"/>
        <v>73</v>
      </c>
      <c r="CA45" s="71">
        <f t="shared" si="231"/>
        <v>109</v>
      </c>
      <c r="CB45" s="72">
        <f t="shared" si="232"/>
        <v>117</v>
      </c>
      <c r="CC45" s="71">
        <f t="shared" si="233"/>
        <v>166</v>
      </c>
      <c r="CD45" s="72">
        <f t="shared" si="234"/>
        <v>173</v>
      </c>
      <c r="CE45" s="71">
        <f t="shared" si="235"/>
        <v>219</v>
      </c>
      <c r="CF45" s="72">
        <f t="shared" si="236"/>
        <v>266</v>
      </c>
      <c r="CG45" s="71">
        <f t="shared" si="237"/>
        <v>292</v>
      </c>
      <c r="CH45" s="70">
        <f t="shared" si="238"/>
        <v>34</v>
      </c>
      <c r="CI45" s="71">
        <f t="shared" si="239"/>
        <v>38</v>
      </c>
      <c r="CJ45" s="72">
        <f t="shared" si="240"/>
        <v>69</v>
      </c>
      <c r="CK45" s="72">
        <f t="shared" si="241"/>
        <v>72</v>
      </c>
      <c r="CL45" s="72">
        <f t="shared" si="242"/>
        <v>108</v>
      </c>
      <c r="CM45" s="72">
        <f t="shared" si="243"/>
        <v>116</v>
      </c>
      <c r="CN45" s="72">
        <f t="shared" si="244"/>
        <v>142</v>
      </c>
      <c r="CO45" s="72">
        <f t="shared" si="245"/>
        <v>168</v>
      </c>
      <c r="CP45" s="72">
        <f t="shared" si="246"/>
        <v>208</v>
      </c>
      <c r="CQ45" s="72">
        <f t="shared" si="247"/>
        <v>259</v>
      </c>
      <c r="CR45" s="72">
        <f t="shared" si="248"/>
        <v>291</v>
      </c>
      <c r="CS45" s="72">
        <f t="shared" si="249"/>
        <v>307</v>
      </c>
      <c r="CT45" s="23">
        <f t="shared" si="250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30" x14ac:dyDescent="0.2">
      <c r="A46" s="3" t="str">
        <f t="shared" si="0"/>
        <v>aa2ar_human_5K2C</v>
      </c>
      <c r="B46" s="3" t="s">
        <v>139</v>
      </c>
      <c r="C46" s="3" t="s">
        <v>1342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9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V</v>
      </c>
      <c r="AY46" s="3">
        <v>307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"/>
        <v>1</v>
      </c>
      <c r="BC46" s="23">
        <f t="shared" si="225"/>
        <v>263</v>
      </c>
      <c r="BD46" s="4" t="s">
        <v>23</v>
      </c>
      <c r="BE46" s="3" t="s">
        <v>1375</v>
      </c>
      <c r="BF46" s="119">
        <v>1.9</v>
      </c>
      <c r="BG46" s="49" t="s">
        <v>1378</v>
      </c>
      <c r="BH46" s="49" t="s">
        <v>1378</v>
      </c>
      <c r="BI46" s="1"/>
      <c r="BJ46" s="70" t="s">
        <v>1288</v>
      </c>
      <c r="BK46" s="57" t="s">
        <v>1288</v>
      </c>
      <c r="BL46" s="57" t="s">
        <v>1288</v>
      </c>
      <c r="BM46" s="57" t="s">
        <v>1288</v>
      </c>
      <c r="BN46" s="57" t="s">
        <v>1288</v>
      </c>
      <c r="BO46" s="57" t="s">
        <v>1288</v>
      </c>
      <c r="BP46" s="57" t="s">
        <v>1288</v>
      </c>
      <c r="BQ46" s="57" t="s">
        <v>1288</v>
      </c>
      <c r="BR46" s="57" t="s">
        <v>1288</v>
      </c>
      <c r="BS46" s="57" t="s">
        <v>1288</v>
      </c>
      <c r="BT46" s="57" t="s">
        <v>1288</v>
      </c>
      <c r="BU46" s="57" t="s">
        <v>1288</v>
      </c>
      <c r="BV46" s="70">
        <f t="shared" si="226"/>
        <v>2</v>
      </c>
      <c r="BW46" s="71">
        <f t="shared" si="227"/>
        <v>35</v>
      </c>
      <c r="BX46" s="72">
        <f t="shared" si="228"/>
        <v>39</v>
      </c>
      <c r="BY46" s="71">
        <f t="shared" si="229"/>
        <v>70</v>
      </c>
      <c r="BZ46" s="72">
        <f t="shared" si="230"/>
        <v>73</v>
      </c>
      <c r="CA46" s="71">
        <f t="shared" si="231"/>
        <v>109</v>
      </c>
      <c r="CB46" s="72">
        <f t="shared" si="232"/>
        <v>117</v>
      </c>
      <c r="CC46" s="71">
        <f t="shared" si="233"/>
        <v>166</v>
      </c>
      <c r="CD46" s="72">
        <f t="shared" si="234"/>
        <v>173</v>
      </c>
      <c r="CE46" s="71">
        <f t="shared" si="235"/>
        <v>219</v>
      </c>
      <c r="CF46" s="72">
        <f t="shared" si="236"/>
        <v>266</v>
      </c>
      <c r="CG46" s="71">
        <f t="shared" si="237"/>
        <v>292</v>
      </c>
      <c r="CH46" s="70">
        <f t="shared" si="238"/>
        <v>34</v>
      </c>
      <c r="CI46" s="71">
        <f t="shared" si="239"/>
        <v>38</v>
      </c>
      <c r="CJ46" s="72">
        <f t="shared" si="240"/>
        <v>69</v>
      </c>
      <c r="CK46" s="72">
        <f t="shared" si="241"/>
        <v>72</v>
      </c>
      <c r="CL46" s="72">
        <f t="shared" si="242"/>
        <v>108</v>
      </c>
      <c r="CM46" s="72">
        <f t="shared" si="243"/>
        <v>116</v>
      </c>
      <c r="CN46" s="72">
        <f t="shared" si="244"/>
        <v>142</v>
      </c>
      <c r="CO46" s="72">
        <f t="shared" si="245"/>
        <v>168</v>
      </c>
      <c r="CP46" s="72">
        <f t="shared" si="246"/>
        <v>208</v>
      </c>
      <c r="CQ46" s="72">
        <f t="shared" si="247"/>
        <v>259</v>
      </c>
      <c r="CR46" s="72">
        <f t="shared" si="248"/>
        <v>291</v>
      </c>
      <c r="CS46" s="72">
        <f t="shared" si="249"/>
        <v>307</v>
      </c>
      <c r="CT46" s="23">
        <f t="shared" si="250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30" x14ac:dyDescent="0.2">
      <c r="A47" s="3" t="str">
        <f t="shared" si="0"/>
        <v>aa2ar_human_5K2D</v>
      </c>
      <c r="B47" s="3" t="s">
        <v>139</v>
      </c>
      <c r="C47" s="3" t="s">
        <v>1343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9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V</v>
      </c>
      <c r="AY47" s="3">
        <v>307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"/>
        <v>1</v>
      </c>
      <c r="BC47" s="23">
        <f t="shared" si="225"/>
        <v>263</v>
      </c>
      <c r="BD47" s="5" t="s">
        <v>23</v>
      </c>
      <c r="BE47" s="3" t="s">
        <v>1375</v>
      </c>
      <c r="BF47" s="119">
        <v>1.9</v>
      </c>
      <c r="BG47" s="49" t="s">
        <v>1378</v>
      </c>
      <c r="BH47" s="49" t="s">
        <v>1378</v>
      </c>
      <c r="BI47" s="1"/>
      <c r="BJ47" s="70" t="s">
        <v>1288</v>
      </c>
      <c r="BK47" s="57" t="s">
        <v>1288</v>
      </c>
      <c r="BL47" s="57" t="s">
        <v>1288</v>
      </c>
      <c r="BM47" s="57" t="s">
        <v>1288</v>
      </c>
      <c r="BN47" s="57" t="s">
        <v>1288</v>
      </c>
      <c r="BO47" s="57" t="s">
        <v>1288</v>
      </c>
      <c r="BP47" s="57" t="s">
        <v>1288</v>
      </c>
      <c r="BQ47" s="57" t="s">
        <v>1288</v>
      </c>
      <c r="BR47" s="57" t="s">
        <v>1288</v>
      </c>
      <c r="BS47" s="57" t="s">
        <v>1288</v>
      </c>
      <c r="BT47" s="57" t="s">
        <v>1288</v>
      </c>
      <c r="BU47" s="57" t="s">
        <v>1288</v>
      </c>
      <c r="BV47" s="70">
        <f t="shared" si="226"/>
        <v>2</v>
      </c>
      <c r="BW47" s="71">
        <f t="shared" si="227"/>
        <v>35</v>
      </c>
      <c r="BX47" s="72">
        <f t="shared" si="228"/>
        <v>39</v>
      </c>
      <c r="BY47" s="71">
        <f t="shared" si="229"/>
        <v>70</v>
      </c>
      <c r="BZ47" s="72">
        <f t="shared" si="230"/>
        <v>73</v>
      </c>
      <c r="CA47" s="71">
        <f t="shared" si="231"/>
        <v>109</v>
      </c>
      <c r="CB47" s="72">
        <f t="shared" si="232"/>
        <v>117</v>
      </c>
      <c r="CC47" s="71">
        <f t="shared" si="233"/>
        <v>166</v>
      </c>
      <c r="CD47" s="72">
        <f t="shared" si="234"/>
        <v>173</v>
      </c>
      <c r="CE47" s="71">
        <f t="shared" si="235"/>
        <v>219</v>
      </c>
      <c r="CF47" s="72">
        <f t="shared" si="236"/>
        <v>266</v>
      </c>
      <c r="CG47" s="71">
        <f t="shared" si="237"/>
        <v>292</v>
      </c>
      <c r="CH47" s="70">
        <f t="shared" si="238"/>
        <v>34</v>
      </c>
      <c r="CI47" s="71">
        <f t="shared" si="239"/>
        <v>38</v>
      </c>
      <c r="CJ47" s="72">
        <f t="shared" si="240"/>
        <v>69</v>
      </c>
      <c r="CK47" s="72">
        <f t="shared" si="241"/>
        <v>72</v>
      </c>
      <c r="CL47" s="72">
        <f t="shared" si="242"/>
        <v>108</v>
      </c>
      <c r="CM47" s="72">
        <f t="shared" si="243"/>
        <v>116</v>
      </c>
      <c r="CN47" s="72">
        <f t="shared" si="244"/>
        <v>142</v>
      </c>
      <c r="CO47" s="72">
        <f t="shared" si="245"/>
        <v>168</v>
      </c>
      <c r="CP47" s="72">
        <f t="shared" si="246"/>
        <v>208</v>
      </c>
      <c r="CQ47" s="72">
        <f t="shared" si="247"/>
        <v>259</v>
      </c>
      <c r="CR47" s="72">
        <f t="shared" si="248"/>
        <v>291</v>
      </c>
      <c r="CS47" s="72">
        <f t="shared" si="249"/>
        <v>307</v>
      </c>
      <c r="CT47" s="23">
        <f t="shared" si="250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30" x14ac:dyDescent="0.2">
      <c r="A48" s="3" t="str">
        <f t="shared" ref="A48:A68" si="251">CONCATENATE(B48,"_",C48)</f>
        <v>aa2ar_human_5MZJ</v>
      </c>
      <c r="B48" s="3" t="s">
        <v>139</v>
      </c>
      <c r="C48" s="3" t="s">
        <v>1436</v>
      </c>
      <c r="D48" s="3" t="str">
        <f>IFERROR(MID(VLOOKUP($B48,Seqs!$A:$B,2,0),E48,1),"")</f>
        <v>P</v>
      </c>
      <c r="E48" s="3">
        <v>2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3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S</v>
      </c>
      <c r="AY48" s="3">
        <v>305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ref="BB48:BB68" si="252">AND(E48&lt;G48,OR(G48&lt;I48,I48="-"),OR(I48&lt;K48,I48="-"),OR(K48&lt;M48,K48="-"),M48&lt;O48,OR(O48&lt;Q48,Q48="-"),OR(Q48&lt;S48,Q48="-"),OR(S48&lt;U48,S48="-"),U48&lt;W48,OR(W48&lt;Y48,Y48="-"),OR(Y48&lt;AA48,Y48="-"),OR(AA48&lt;AC48,AA48="-"),AC48&lt;AE48,OR(AE48&lt;AG48,AG48="-"),OR(AG48&lt;AI48,AG48="-"),OR(AI48&lt;AK48,AI48="-"),AK48&lt;AM48,AM48&lt;AO48,AO48&lt;AQ48,AQ48&lt;AS48,AS48&lt;AU48,OR(AU48&lt;AW48,AW48="-"),OR(AW48&lt;AY48,AW48="-"))</f>
        <v>1</v>
      </c>
      <c r="BC48" s="23">
        <f t="shared" ref="BC48:BC68" si="253">_xlfn.AGGREGATE(9,6,CH48:CS48)-_xlfn.AGGREGATE(9,6,BV48:CG48)+12</f>
        <v>261</v>
      </c>
      <c r="BD48" s="5" t="s">
        <v>23</v>
      </c>
      <c r="BE48" s="3" t="s">
        <v>1375</v>
      </c>
      <c r="BF48" s="119">
        <v>2</v>
      </c>
      <c r="BG48" s="49" t="s">
        <v>1</v>
      </c>
      <c r="BH48" s="49" t="s">
        <v>1</v>
      </c>
      <c r="BI48" s="1"/>
      <c r="BJ48" s="70" t="s">
        <v>1288</v>
      </c>
      <c r="BK48" s="57" t="s">
        <v>1288</v>
      </c>
      <c r="BL48" s="57" t="s">
        <v>1288</v>
      </c>
      <c r="BM48" s="57" t="s">
        <v>1288</v>
      </c>
      <c r="BN48" s="57" t="s">
        <v>1288</v>
      </c>
      <c r="BO48" s="57" t="s">
        <v>1288</v>
      </c>
      <c r="BP48" s="57" t="s">
        <v>1288</v>
      </c>
      <c r="BQ48" s="57" t="s">
        <v>1288</v>
      </c>
      <c r="BR48" s="57" t="s">
        <v>1288</v>
      </c>
      <c r="BS48" s="57" t="s">
        <v>1288</v>
      </c>
      <c r="BT48" s="57" t="s">
        <v>1288</v>
      </c>
      <c r="BU48" s="57" t="s">
        <v>1288</v>
      </c>
      <c r="BV48" s="70">
        <f t="shared" ref="BV48:BV68" si="254">E48</f>
        <v>2</v>
      </c>
      <c r="BW48" s="71">
        <f t="shared" ref="BW48:BW68" si="255">I48</f>
        <v>35</v>
      </c>
      <c r="BX48" s="72">
        <f t="shared" ref="BX48:BX68" si="256">M48</f>
        <v>39</v>
      </c>
      <c r="BY48" s="71">
        <f t="shared" ref="BY48:BY68" si="257">Q48</f>
        <v>70</v>
      </c>
      <c r="BZ48" s="72">
        <f t="shared" ref="BZ48:BZ68" si="258">U48</f>
        <v>73</v>
      </c>
      <c r="CA48" s="71">
        <f t="shared" ref="CA48:CA68" si="259">Y48</f>
        <v>109</v>
      </c>
      <c r="CB48" s="72">
        <f t="shared" ref="CB48:CB68" si="260">AC48</f>
        <v>117</v>
      </c>
      <c r="CC48" s="71">
        <f t="shared" ref="CC48:CC68" si="261">AG48</f>
        <v>166</v>
      </c>
      <c r="CD48" s="72">
        <f t="shared" ref="CD48:CD68" si="262">AK48</f>
        <v>173</v>
      </c>
      <c r="CE48" s="71">
        <f t="shared" ref="CE48:CE68" si="263">AO48</f>
        <v>219</v>
      </c>
      <c r="CF48" s="72">
        <f t="shared" ref="CF48:CF68" si="264">AS48</f>
        <v>266</v>
      </c>
      <c r="CG48" s="71">
        <f t="shared" ref="CG48:CG68" si="265">AW48</f>
        <v>292</v>
      </c>
      <c r="CH48" s="70">
        <f t="shared" ref="CH48:CH68" si="266">G48</f>
        <v>34</v>
      </c>
      <c r="CI48" s="71">
        <f t="shared" ref="CI48:CI68" si="267">K48</f>
        <v>38</v>
      </c>
      <c r="CJ48" s="72">
        <f t="shared" ref="CJ48:CJ68" si="268">O48</f>
        <v>69</v>
      </c>
      <c r="CK48" s="72">
        <f t="shared" ref="CK48:CK68" si="269">S48</f>
        <v>72</v>
      </c>
      <c r="CL48" s="72">
        <f t="shared" ref="CL48:CL68" si="270">W48</f>
        <v>108</v>
      </c>
      <c r="CM48" s="72">
        <f t="shared" ref="CM48:CM68" si="271">AA48</f>
        <v>116</v>
      </c>
      <c r="CN48" s="72">
        <f t="shared" ref="CN48:CN68" si="272">AE48</f>
        <v>142</v>
      </c>
      <c r="CO48" s="72">
        <f t="shared" ref="CO48:CO68" si="273">AI48</f>
        <v>168</v>
      </c>
      <c r="CP48" s="72">
        <f t="shared" ref="CP48:CP68" si="274">AM48</f>
        <v>208</v>
      </c>
      <c r="CQ48" s="72">
        <f t="shared" ref="CQ48:CQ68" si="275">AQ48</f>
        <v>259</v>
      </c>
      <c r="CR48" s="72">
        <f t="shared" ref="CR48:CR68" si="276">AU48</f>
        <v>291</v>
      </c>
      <c r="CS48" s="72">
        <f t="shared" ref="CS48:CS68" si="277">AY48</f>
        <v>305</v>
      </c>
      <c r="CT48" s="23">
        <f t="shared" ref="CT48:CT68" si="278">M48-K48</f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251"/>
        <v>aa2ar_human_5MZP</v>
      </c>
      <c r="B49" s="3" t="s">
        <v>139</v>
      </c>
      <c r="C49" s="3" t="s">
        <v>1437</v>
      </c>
      <c r="D49" s="3" t="str">
        <f>IFERROR(MID(VLOOKUP($B49,Seqs!$A:$B,2,0),E49,1),"")</f>
        <v>P</v>
      </c>
      <c r="E49" s="3">
        <v>2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S</v>
      </c>
      <c r="AY49" s="3">
        <v>305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252"/>
        <v>1</v>
      </c>
      <c r="BC49" s="23">
        <f t="shared" si="253"/>
        <v>261</v>
      </c>
      <c r="BD49" s="5" t="s">
        <v>23</v>
      </c>
      <c r="BE49" s="3" t="s">
        <v>1375</v>
      </c>
      <c r="BF49" s="119">
        <v>3</v>
      </c>
      <c r="BG49" s="49" t="s">
        <v>1</v>
      </c>
      <c r="BH49" s="49" t="s">
        <v>1</v>
      </c>
      <c r="BI49" s="1"/>
      <c r="BJ49" s="70" t="s">
        <v>1288</v>
      </c>
      <c r="BK49" s="57" t="s">
        <v>1288</v>
      </c>
      <c r="BL49" s="57" t="s">
        <v>1288</v>
      </c>
      <c r="BM49" s="57" t="s">
        <v>1288</v>
      </c>
      <c r="BN49" s="57" t="s">
        <v>1288</v>
      </c>
      <c r="BO49" s="57" t="s">
        <v>1288</v>
      </c>
      <c r="BP49" s="57" t="s">
        <v>1288</v>
      </c>
      <c r="BQ49" s="57" t="s">
        <v>1288</v>
      </c>
      <c r="BR49" s="57" t="s">
        <v>1288</v>
      </c>
      <c r="BS49" s="57" t="s">
        <v>1288</v>
      </c>
      <c r="BT49" s="57" t="s">
        <v>1288</v>
      </c>
      <c r="BU49" s="57" t="s">
        <v>1288</v>
      </c>
      <c r="BV49" s="70">
        <f t="shared" si="254"/>
        <v>2</v>
      </c>
      <c r="BW49" s="71">
        <f t="shared" si="255"/>
        <v>35</v>
      </c>
      <c r="BX49" s="72">
        <f t="shared" si="256"/>
        <v>39</v>
      </c>
      <c r="BY49" s="71">
        <f t="shared" si="257"/>
        <v>70</v>
      </c>
      <c r="BZ49" s="72">
        <f t="shared" si="258"/>
        <v>73</v>
      </c>
      <c r="CA49" s="71">
        <f t="shared" si="259"/>
        <v>109</v>
      </c>
      <c r="CB49" s="72">
        <f t="shared" si="260"/>
        <v>117</v>
      </c>
      <c r="CC49" s="71">
        <f t="shared" si="261"/>
        <v>166</v>
      </c>
      <c r="CD49" s="72">
        <f t="shared" si="262"/>
        <v>173</v>
      </c>
      <c r="CE49" s="71">
        <f t="shared" si="263"/>
        <v>219</v>
      </c>
      <c r="CF49" s="72">
        <f t="shared" si="264"/>
        <v>266</v>
      </c>
      <c r="CG49" s="71">
        <f t="shared" si="265"/>
        <v>292</v>
      </c>
      <c r="CH49" s="70">
        <f t="shared" si="266"/>
        <v>34</v>
      </c>
      <c r="CI49" s="71">
        <f t="shared" si="267"/>
        <v>38</v>
      </c>
      <c r="CJ49" s="72">
        <f t="shared" si="268"/>
        <v>69</v>
      </c>
      <c r="CK49" s="72">
        <f t="shared" si="269"/>
        <v>72</v>
      </c>
      <c r="CL49" s="72">
        <f t="shared" si="270"/>
        <v>108</v>
      </c>
      <c r="CM49" s="72">
        <f t="shared" si="271"/>
        <v>116</v>
      </c>
      <c r="CN49" s="72">
        <f t="shared" si="272"/>
        <v>142</v>
      </c>
      <c r="CO49" s="72">
        <f t="shared" si="273"/>
        <v>168</v>
      </c>
      <c r="CP49" s="72">
        <f t="shared" si="274"/>
        <v>208</v>
      </c>
      <c r="CQ49" s="72">
        <f t="shared" si="275"/>
        <v>259</v>
      </c>
      <c r="CR49" s="72">
        <f t="shared" si="276"/>
        <v>291</v>
      </c>
      <c r="CS49" s="72">
        <f t="shared" si="277"/>
        <v>305</v>
      </c>
      <c r="CT49" s="23">
        <f t="shared" si="278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251"/>
        <v>aa2ar_human_5N2R</v>
      </c>
      <c r="B50" s="3" t="s">
        <v>139</v>
      </c>
      <c r="C50" s="3" t="s">
        <v>1431</v>
      </c>
      <c r="D50" s="3" t="str">
        <f>IFERROR(MID(VLOOKUP($B50,Seqs!$A:$B,2,0),E50,1),"")</f>
        <v>P</v>
      </c>
      <c r="E50" s="3">
        <v>2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S</v>
      </c>
      <c r="AY50" s="3">
        <v>305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252"/>
        <v>1</v>
      </c>
      <c r="BC50" s="23">
        <f t="shared" si="253"/>
        <v>261</v>
      </c>
      <c r="BD50" s="5" t="s">
        <v>23</v>
      </c>
      <c r="BE50" s="3" t="s">
        <v>1375</v>
      </c>
      <c r="BF50" s="119">
        <v>2.9</v>
      </c>
      <c r="BG50" s="49" t="s">
        <v>1</v>
      </c>
      <c r="BH50" s="49" t="s">
        <v>1</v>
      </c>
      <c r="BI50" s="1"/>
      <c r="BJ50" s="70" t="s">
        <v>1288</v>
      </c>
      <c r="BK50" s="57" t="s">
        <v>1288</v>
      </c>
      <c r="BL50" s="57" t="s">
        <v>1288</v>
      </c>
      <c r="BM50" s="57" t="s">
        <v>1288</v>
      </c>
      <c r="BN50" s="57" t="s">
        <v>1288</v>
      </c>
      <c r="BO50" s="57" t="s">
        <v>1288</v>
      </c>
      <c r="BP50" s="57" t="s">
        <v>1288</v>
      </c>
      <c r="BQ50" s="57" t="s">
        <v>1288</v>
      </c>
      <c r="BR50" s="57" t="s">
        <v>1288</v>
      </c>
      <c r="BS50" s="57" t="s">
        <v>1288</v>
      </c>
      <c r="BT50" s="57" t="s">
        <v>1288</v>
      </c>
      <c r="BU50" s="57" t="s">
        <v>1288</v>
      </c>
      <c r="BV50" s="70">
        <f t="shared" si="254"/>
        <v>2</v>
      </c>
      <c r="BW50" s="71">
        <f t="shared" si="255"/>
        <v>35</v>
      </c>
      <c r="BX50" s="72">
        <f t="shared" si="256"/>
        <v>39</v>
      </c>
      <c r="BY50" s="71">
        <f t="shared" si="257"/>
        <v>70</v>
      </c>
      <c r="BZ50" s="72">
        <f t="shared" si="258"/>
        <v>73</v>
      </c>
      <c r="CA50" s="71">
        <f t="shared" si="259"/>
        <v>109</v>
      </c>
      <c r="CB50" s="72">
        <f t="shared" si="260"/>
        <v>117</v>
      </c>
      <c r="CC50" s="71">
        <f t="shared" si="261"/>
        <v>166</v>
      </c>
      <c r="CD50" s="72">
        <f t="shared" si="262"/>
        <v>173</v>
      </c>
      <c r="CE50" s="71">
        <f t="shared" si="263"/>
        <v>219</v>
      </c>
      <c r="CF50" s="72">
        <f t="shared" si="264"/>
        <v>266</v>
      </c>
      <c r="CG50" s="71">
        <f t="shared" si="265"/>
        <v>292</v>
      </c>
      <c r="CH50" s="70">
        <f t="shared" si="266"/>
        <v>34</v>
      </c>
      <c r="CI50" s="71">
        <f t="shared" si="267"/>
        <v>38</v>
      </c>
      <c r="CJ50" s="72">
        <f t="shared" si="268"/>
        <v>69</v>
      </c>
      <c r="CK50" s="72">
        <f t="shared" si="269"/>
        <v>72</v>
      </c>
      <c r="CL50" s="72">
        <f t="shared" si="270"/>
        <v>108</v>
      </c>
      <c r="CM50" s="72">
        <f t="shared" si="271"/>
        <v>116</v>
      </c>
      <c r="CN50" s="72">
        <f t="shared" si="272"/>
        <v>142</v>
      </c>
      <c r="CO50" s="72">
        <f t="shared" si="273"/>
        <v>168</v>
      </c>
      <c r="CP50" s="72">
        <f t="shared" si="274"/>
        <v>208</v>
      </c>
      <c r="CQ50" s="72">
        <f t="shared" si="275"/>
        <v>259</v>
      </c>
      <c r="CR50" s="72">
        <f t="shared" si="276"/>
        <v>291</v>
      </c>
      <c r="CS50" s="72">
        <f t="shared" si="277"/>
        <v>305</v>
      </c>
      <c r="CT50" s="23">
        <f t="shared" si="278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251"/>
        <v>aa2ar_human_5UIG</v>
      </c>
      <c r="B51" s="3" t="s">
        <v>139</v>
      </c>
      <c r="C51" s="3" t="s">
        <v>1388</v>
      </c>
      <c r="D51" s="3" t="str">
        <f>IFERROR(MID(VLOOKUP($B51,Seqs!$A:$B,2,0),E51,1),"")</f>
        <v>M</v>
      </c>
      <c r="E51" s="3">
        <v>4</v>
      </c>
      <c r="F51" s="3" t="str">
        <f>IFERROR(MID(VLOOKUP($B51,Seqs!$A:$B,2,0),G51,1),"")</f>
        <v>N</v>
      </c>
      <c r="G51" s="3">
        <v>34</v>
      </c>
      <c r="H51" s="3" t="str">
        <f>IFERROR(MID(VLOOKUP($B51,Seqs!$A:$B,2,0),I51,1),"")</f>
        <v>S</v>
      </c>
      <c r="I51" s="23">
        <v>35</v>
      </c>
      <c r="J51" s="3" t="str">
        <f>IFERROR(MID(VLOOKUP($B51,Seqs!$A:$B,2,0),K51,1),"")</f>
        <v>Q</v>
      </c>
      <c r="K51" s="23">
        <v>38</v>
      </c>
      <c r="L51" s="3" t="str">
        <f>IFERROR(MID(VLOOKUP($B51,Seqs!$A:$B,2,0),M51,1),"")</f>
        <v>N</v>
      </c>
      <c r="M51" s="3">
        <v>39</v>
      </c>
      <c r="N51" s="3" t="str">
        <f>IFERROR(MID(VLOOKUP($B51,Seqs!$A:$B,2,0),O51,1),"")</f>
        <v>G</v>
      </c>
      <c r="O51" s="3">
        <v>69</v>
      </c>
      <c r="P51" s="3" t="str">
        <f>IFERROR(MID(VLOOKUP($B51,Seqs!$A:$B,2,0),Q51,1),"")</f>
        <v>F</v>
      </c>
      <c r="Q51" s="3">
        <v>70</v>
      </c>
      <c r="R51" s="3" t="str">
        <f>IFERROR(MID(VLOOKUP($B51,Seqs!$A:$B,2,0),S51,1),"")</f>
        <v>A</v>
      </c>
      <c r="S51" s="3">
        <v>72</v>
      </c>
      <c r="T51" s="3" t="str">
        <f>IFERROR(MID(VLOOKUP($B51,Seqs!$A:$B,2,0),U51,1),"")</f>
        <v>A</v>
      </c>
      <c r="U51" s="3">
        <v>73</v>
      </c>
      <c r="V51" s="3" t="str">
        <f>IFERROR(MID(VLOOKUP($B51,Seqs!$A:$B,2,0),W51,1),"")</f>
        <v>I</v>
      </c>
      <c r="W51" s="3">
        <v>108</v>
      </c>
      <c r="X51" s="3" t="str">
        <f>IFERROR(MID(VLOOKUP($B51,Seqs!$A:$B,2,0),Y51,1),"")</f>
        <v>P</v>
      </c>
      <c r="Y51" s="3">
        <v>109</v>
      </c>
      <c r="Z51" s="3" t="str">
        <f>IFERROR(MID(VLOOKUP($B51,Seqs!$A:$B,2,0),AA51,1),"")</f>
        <v>V</v>
      </c>
      <c r="AA51" s="3">
        <v>116</v>
      </c>
      <c r="AB51" s="3" t="str">
        <f>IFERROR(MID(VLOOKUP($B51,Seqs!$A:$B,2,0),AC51,1),"")</f>
        <v>T</v>
      </c>
      <c r="AC51" s="3">
        <v>117</v>
      </c>
      <c r="AD51" s="3" t="str">
        <f>IFERROR(MID(VLOOKUP($B51,Seqs!$A:$B,2,0),AE51,1),"")</f>
        <v>G</v>
      </c>
      <c r="AE51" s="3">
        <v>142</v>
      </c>
      <c r="AF51" s="3" t="str">
        <f>IFERROR(MID(VLOOKUP($B51,Seqs!$A:$B,2,0),AG51,1),"")</f>
        <v>C</v>
      </c>
      <c r="AG51" s="3">
        <v>166</v>
      </c>
      <c r="AH51" s="3" t="str">
        <f>IFERROR(MID(VLOOKUP($B51,Seqs!$A:$B,2,0),AI51,1),"")</f>
        <v>F</v>
      </c>
      <c r="AI51" s="3">
        <v>168</v>
      </c>
      <c r="AJ51" s="3" t="str">
        <f>IFERROR(MID(VLOOKUP($B51,Seqs!$A:$B,2,0),AK51,1),"")</f>
        <v>P</v>
      </c>
      <c r="AK51" s="3">
        <v>173</v>
      </c>
      <c r="AL51" s="3" t="str">
        <f>IFERROR(MID(VLOOKUP($B51,Seqs!$A:$B,2,0),AM51,1),"")</f>
        <v>L</v>
      </c>
      <c r="AM51" s="3">
        <v>208</v>
      </c>
      <c r="AN51" s="3" t="str">
        <f>IFERROR(MID(VLOOKUP($B51,Seqs!$A:$B,2,0),AO51,1),"")</f>
        <v>E</v>
      </c>
      <c r="AO51" s="3">
        <v>219</v>
      </c>
      <c r="AP51" s="3" t="str">
        <f>IFERROR(MID(VLOOKUP($B51,Seqs!$A:$B,2,0),AQ51,1),"")</f>
        <v>C</v>
      </c>
      <c r="AQ51" s="3">
        <v>259</v>
      </c>
      <c r="AR51" s="3" t="str">
        <f>IFERROR(MID(VLOOKUP($B51,Seqs!$A:$B,2,0),AS51,1),"")</f>
        <v>P</v>
      </c>
      <c r="AS51" s="3">
        <v>266</v>
      </c>
      <c r="AT51" s="3" t="str">
        <f>IFERROR(MID(VLOOKUP($B51,Seqs!$A:$B,2,0),AU51,1),"")</f>
        <v>R</v>
      </c>
      <c r="AU51" s="3">
        <v>291</v>
      </c>
      <c r="AV51" s="3" t="str">
        <f>IFERROR(MID(VLOOKUP($B51,Seqs!$A:$B,2,0),AW51,1),"")</f>
        <v>I</v>
      </c>
      <c r="AW51" s="3">
        <v>292</v>
      </c>
      <c r="AX51" s="3" t="str">
        <f>IFERROR(MID(VLOOKUP($B51,Seqs!$A:$B,2,0),AY51,1),"")</f>
        <v>Q</v>
      </c>
      <c r="AY51" s="3">
        <v>297</v>
      </c>
      <c r="AZ51" s="77" t="str">
        <f>VLOOKUP(B51,Classification!A:D,2,0)</f>
        <v>A</v>
      </c>
      <c r="BA51" s="94" t="str">
        <f>VLOOKUP(B51,Classification!A:D,4,0)</f>
        <v>Adenosine</v>
      </c>
      <c r="BB51" s="27" t="b">
        <f t="shared" si="252"/>
        <v>1</v>
      </c>
      <c r="BC51" s="23">
        <f t="shared" si="253"/>
        <v>251</v>
      </c>
      <c r="BD51" s="5" t="s">
        <v>23</v>
      </c>
      <c r="BE51" s="3" t="s">
        <v>1375</v>
      </c>
      <c r="BF51" s="119">
        <v>3.5</v>
      </c>
      <c r="BG51" s="49" t="s">
        <v>1378</v>
      </c>
      <c r="BH51" s="49" t="s">
        <v>1378</v>
      </c>
      <c r="BI51" s="1"/>
      <c r="BJ51" s="70" t="s">
        <v>1288</v>
      </c>
      <c r="BK51" s="57" t="s">
        <v>1288</v>
      </c>
      <c r="BL51" s="57" t="s">
        <v>1288</v>
      </c>
      <c r="BM51" s="57" t="s">
        <v>1288</v>
      </c>
      <c r="BN51" s="57" t="s">
        <v>1288</v>
      </c>
      <c r="BO51" s="57" t="s">
        <v>1288</v>
      </c>
      <c r="BP51" s="57" t="s">
        <v>1288</v>
      </c>
      <c r="BQ51" s="57" t="s">
        <v>1288</v>
      </c>
      <c r="BR51" s="57" t="s">
        <v>1288</v>
      </c>
      <c r="BS51" s="57" t="s">
        <v>1288</v>
      </c>
      <c r="BT51" s="57" t="s">
        <v>1288</v>
      </c>
      <c r="BU51" s="57" t="s">
        <v>1288</v>
      </c>
      <c r="BV51" s="70">
        <f t="shared" si="254"/>
        <v>4</v>
      </c>
      <c r="BW51" s="71">
        <f t="shared" si="255"/>
        <v>35</v>
      </c>
      <c r="BX51" s="72">
        <f t="shared" si="256"/>
        <v>39</v>
      </c>
      <c r="BY51" s="71">
        <f t="shared" si="257"/>
        <v>70</v>
      </c>
      <c r="BZ51" s="72">
        <f t="shared" si="258"/>
        <v>73</v>
      </c>
      <c r="CA51" s="71">
        <f t="shared" si="259"/>
        <v>109</v>
      </c>
      <c r="CB51" s="72">
        <f t="shared" si="260"/>
        <v>117</v>
      </c>
      <c r="CC51" s="71">
        <f t="shared" si="261"/>
        <v>166</v>
      </c>
      <c r="CD51" s="72">
        <f t="shared" si="262"/>
        <v>173</v>
      </c>
      <c r="CE51" s="71">
        <f t="shared" si="263"/>
        <v>219</v>
      </c>
      <c r="CF51" s="72">
        <f t="shared" si="264"/>
        <v>266</v>
      </c>
      <c r="CG51" s="71">
        <f t="shared" si="265"/>
        <v>292</v>
      </c>
      <c r="CH51" s="70">
        <f t="shared" si="266"/>
        <v>34</v>
      </c>
      <c r="CI51" s="71">
        <f t="shared" si="267"/>
        <v>38</v>
      </c>
      <c r="CJ51" s="72">
        <f t="shared" si="268"/>
        <v>69</v>
      </c>
      <c r="CK51" s="72">
        <f t="shared" si="269"/>
        <v>72</v>
      </c>
      <c r="CL51" s="72">
        <f t="shared" si="270"/>
        <v>108</v>
      </c>
      <c r="CM51" s="72">
        <f t="shared" si="271"/>
        <v>116</v>
      </c>
      <c r="CN51" s="72">
        <f t="shared" si="272"/>
        <v>142</v>
      </c>
      <c r="CO51" s="72">
        <f t="shared" si="273"/>
        <v>168</v>
      </c>
      <c r="CP51" s="72">
        <f t="shared" si="274"/>
        <v>208</v>
      </c>
      <c r="CQ51" s="72">
        <f t="shared" si="275"/>
        <v>259</v>
      </c>
      <c r="CR51" s="72">
        <f t="shared" si="276"/>
        <v>291</v>
      </c>
      <c r="CS51" s="72">
        <f t="shared" si="277"/>
        <v>297</v>
      </c>
      <c r="CT51" s="23">
        <f t="shared" si="278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251"/>
        <v>aa2ar_human_5UVI</v>
      </c>
      <c r="B52" s="3" t="s">
        <v>139</v>
      </c>
      <c r="C52" s="3" t="s">
        <v>1412</v>
      </c>
      <c r="D52" s="3" t="str">
        <f>IFERROR(MID(VLOOKUP($B52,Seqs!$A:$B,2,0),E52,1),"")</f>
        <v>M</v>
      </c>
      <c r="E52" s="3">
        <v>1</v>
      </c>
      <c r="F52" s="3" t="str">
        <f>IFERROR(MID(VLOOKUP($B52,Seqs!$A:$B,2,0),G52,1),"")</f>
        <v>N</v>
      </c>
      <c r="G52" s="3">
        <v>34</v>
      </c>
      <c r="H52" s="3" t="str">
        <f>IFERROR(MID(VLOOKUP($B52,Seqs!$A:$B,2,0),I52,1),"")</f>
        <v>S</v>
      </c>
      <c r="I52" s="23">
        <v>35</v>
      </c>
      <c r="J52" s="3" t="str">
        <f>IFERROR(MID(VLOOKUP($B52,Seqs!$A:$B,2,0),K52,1),"")</f>
        <v>Q</v>
      </c>
      <c r="K52" s="23">
        <v>38</v>
      </c>
      <c r="L52" s="3" t="str">
        <f>IFERROR(MID(VLOOKUP($B52,Seqs!$A:$B,2,0),M52,1),"")</f>
        <v>N</v>
      </c>
      <c r="M52" s="3">
        <v>39</v>
      </c>
      <c r="N52" s="3" t="str">
        <f>IFERROR(MID(VLOOKUP($B52,Seqs!$A:$B,2,0),O52,1),"")</f>
        <v>G</v>
      </c>
      <c r="O52" s="3">
        <v>69</v>
      </c>
      <c r="P52" s="3" t="str">
        <f>IFERROR(MID(VLOOKUP($B52,Seqs!$A:$B,2,0),Q52,1),"")</f>
        <v>F</v>
      </c>
      <c r="Q52" s="3">
        <v>70</v>
      </c>
      <c r="R52" s="3" t="str">
        <f>IFERROR(MID(VLOOKUP($B52,Seqs!$A:$B,2,0),S52,1),"")</f>
        <v>A</v>
      </c>
      <c r="S52" s="3">
        <v>72</v>
      </c>
      <c r="T52" s="3" t="str">
        <f>IFERROR(MID(VLOOKUP($B52,Seqs!$A:$B,2,0),U52,1),"")</f>
        <v>A</v>
      </c>
      <c r="U52" s="3">
        <v>73</v>
      </c>
      <c r="V52" s="3" t="str">
        <f>IFERROR(MID(VLOOKUP($B52,Seqs!$A:$B,2,0),W52,1),"")</f>
        <v>I</v>
      </c>
      <c r="W52" s="3">
        <v>108</v>
      </c>
      <c r="X52" s="3" t="str">
        <f>IFERROR(MID(VLOOKUP($B52,Seqs!$A:$B,2,0),Y52,1),"")</f>
        <v>P</v>
      </c>
      <c r="Y52" s="3">
        <v>109</v>
      </c>
      <c r="Z52" s="3" t="str">
        <f>IFERROR(MID(VLOOKUP($B52,Seqs!$A:$B,2,0),AA52,1),"")</f>
        <v>V</v>
      </c>
      <c r="AA52" s="3">
        <v>116</v>
      </c>
      <c r="AB52" s="3" t="str">
        <f>IFERROR(MID(VLOOKUP($B52,Seqs!$A:$B,2,0),AC52,1),"")</f>
        <v>T</v>
      </c>
      <c r="AC52" s="3">
        <v>117</v>
      </c>
      <c r="AD52" s="3" t="str">
        <f>IFERROR(MID(VLOOKUP($B52,Seqs!$A:$B,2,0),AE52,1),"")</f>
        <v>G</v>
      </c>
      <c r="AE52" s="3">
        <v>142</v>
      </c>
      <c r="AF52" s="3" t="str">
        <f>IFERROR(MID(VLOOKUP($B52,Seqs!$A:$B,2,0),AG52,1),"")</f>
        <v>C</v>
      </c>
      <c r="AG52" s="3">
        <v>166</v>
      </c>
      <c r="AH52" s="3" t="str">
        <f>IFERROR(MID(VLOOKUP($B52,Seqs!$A:$B,2,0),AI52,1),"")</f>
        <v>F</v>
      </c>
      <c r="AI52" s="3">
        <v>168</v>
      </c>
      <c r="AJ52" s="3" t="str">
        <f>IFERROR(MID(VLOOKUP($B52,Seqs!$A:$B,2,0),AK52,1),"")</f>
        <v>P</v>
      </c>
      <c r="AK52" s="3">
        <v>173</v>
      </c>
      <c r="AL52" s="3" t="str">
        <f>IFERROR(MID(VLOOKUP($B52,Seqs!$A:$B,2,0),AM52,1),"")</f>
        <v>L</v>
      </c>
      <c r="AM52" s="3">
        <v>208</v>
      </c>
      <c r="AN52" s="3" t="str">
        <f>IFERROR(MID(VLOOKUP($B52,Seqs!$A:$B,2,0),AO52,1),"")</f>
        <v>E</v>
      </c>
      <c r="AO52" s="3">
        <v>219</v>
      </c>
      <c r="AP52" s="3" t="str">
        <f>IFERROR(MID(VLOOKUP($B52,Seqs!$A:$B,2,0),AQ52,1),"")</f>
        <v>C</v>
      </c>
      <c r="AQ52" s="3">
        <v>259</v>
      </c>
      <c r="AR52" s="3" t="str">
        <f>IFERROR(MID(VLOOKUP($B52,Seqs!$A:$B,2,0),AS52,1),"")</f>
        <v>P</v>
      </c>
      <c r="AS52" s="3">
        <v>266</v>
      </c>
      <c r="AT52" s="3" t="str">
        <f>IFERROR(MID(VLOOKUP($B52,Seqs!$A:$B,2,0),AU52,1),"")</f>
        <v>R</v>
      </c>
      <c r="AU52" s="3">
        <v>291</v>
      </c>
      <c r="AV52" s="3" t="str">
        <f>IFERROR(MID(VLOOKUP($B52,Seqs!$A:$B,2,0),AW52,1),"")</f>
        <v>I</v>
      </c>
      <c r="AW52" s="3">
        <v>292</v>
      </c>
      <c r="AX52" s="3" t="str">
        <f>IFERROR(MID(VLOOKUP($B52,Seqs!$A:$B,2,0),AY52,1),"")</f>
        <v>H</v>
      </c>
      <c r="AY52" s="3">
        <v>306</v>
      </c>
      <c r="AZ52" s="77" t="str">
        <f>VLOOKUP(B52,Classification!A:D,2,0)</f>
        <v>A</v>
      </c>
      <c r="BA52" s="94" t="str">
        <f>VLOOKUP(B52,Classification!A:D,4,0)</f>
        <v>Adenosine</v>
      </c>
      <c r="BB52" s="27" t="b">
        <f t="shared" si="252"/>
        <v>1</v>
      </c>
      <c r="BC52" s="23">
        <f t="shared" si="253"/>
        <v>263</v>
      </c>
      <c r="BD52" s="5" t="s">
        <v>23</v>
      </c>
      <c r="BE52" s="3" t="s">
        <v>1375</v>
      </c>
      <c r="BF52" s="119">
        <v>3.2</v>
      </c>
      <c r="BG52" s="49" t="s">
        <v>1</v>
      </c>
      <c r="BH52" s="49" t="s">
        <v>1</v>
      </c>
      <c r="BI52" s="1"/>
      <c r="BJ52" s="70" t="s">
        <v>1288</v>
      </c>
      <c r="BK52" s="57" t="s">
        <v>1288</v>
      </c>
      <c r="BL52" s="57" t="s">
        <v>1288</v>
      </c>
      <c r="BM52" s="57" t="s">
        <v>1288</v>
      </c>
      <c r="BN52" s="57" t="s">
        <v>1288</v>
      </c>
      <c r="BO52" s="57" t="s">
        <v>1288</v>
      </c>
      <c r="BP52" s="57" t="s">
        <v>1288</v>
      </c>
      <c r="BQ52" s="57" t="s">
        <v>1288</v>
      </c>
      <c r="BR52" s="57" t="s">
        <v>1288</v>
      </c>
      <c r="BS52" s="57" t="s">
        <v>1288</v>
      </c>
      <c r="BT52" s="57" t="s">
        <v>1288</v>
      </c>
      <c r="BU52" s="57" t="s">
        <v>1288</v>
      </c>
      <c r="BV52" s="70">
        <f t="shared" si="254"/>
        <v>1</v>
      </c>
      <c r="BW52" s="71">
        <f t="shared" si="255"/>
        <v>35</v>
      </c>
      <c r="BX52" s="72">
        <f t="shared" si="256"/>
        <v>39</v>
      </c>
      <c r="BY52" s="71">
        <f t="shared" si="257"/>
        <v>70</v>
      </c>
      <c r="BZ52" s="72">
        <f t="shared" si="258"/>
        <v>73</v>
      </c>
      <c r="CA52" s="71">
        <f t="shared" si="259"/>
        <v>109</v>
      </c>
      <c r="CB52" s="72">
        <f t="shared" si="260"/>
        <v>117</v>
      </c>
      <c r="CC52" s="71">
        <f t="shared" si="261"/>
        <v>166</v>
      </c>
      <c r="CD52" s="72">
        <f t="shared" si="262"/>
        <v>173</v>
      </c>
      <c r="CE52" s="71">
        <f t="shared" si="263"/>
        <v>219</v>
      </c>
      <c r="CF52" s="72">
        <f t="shared" si="264"/>
        <v>266</v>
      </c>
      <c r="CG52" s="71">
        <f t="shared" si="265"/>
        <v>292</v>
      </c>
      <c r="CH52" s="70">
        <f t="shared" si="266"/>
        <v>34</v>
      </c>
      <c r="CI52" s="71">
        <f t="shared" si="267"/>
        <v>38</v>
      </c>
      <c r="CJ52" s="72">
        <f t="shared" si="268"/>
        <v>69</v>
      </c>
      <c r="CK52" s="72">
        <f t="shared" si="269"/>
        <v>72</v>
      </c>
      <c r="CL52" s="72">
        <f t="shared" si="270"/>
        <v>108</v>
      </c>
      <c r="CM52" s="72">
        <f t="shared" si="271"/>
        <v>116</v>
      </c>
      <c r="CN52" s="72">
        <f t="shared" si="272"/>
        <v>142</v>
      </c>
      <c r="CO52" s="72">
        <f t="shared" si="273"/>
        <v>168</v>
      </c>
      <c r="CP52" s="72">
        <f t="shared" si="274"/>
        <v>208</v>
      </c>
      <c r="CQ52" s="72">
        <f t="shared" si="275"/>
        <v>259</v>
      </c>
      <c r="CR52" s="72">
        <f t="shared" si="276"/>
        <v>291</v>
      </c>
      <c r="CS52" s="72">
        <f t="shared" si="277"/>
        <v>306</v>
      </c>
      <c r="CT52" s="23">
        <f t="shared" si="278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251"/>
        <v>aa2ar_human_5JTB</v>
      </c>
      <c r="B53" s="3" t="s">
        <v>139</v>
      </c>
      <c r="C53" s="3" t="s">
        <v>1413</v>
      </c>
      <c r="D53" s="3" t="str">
        <f>IFERROR(MID(VLOOKUP($B53,Seqs!$A:$B,2,0),E53,1),"")</f>
        <v>M</v>
      </c>
      <c r="E53" s="3">
        <v>1</v>
      </c>
      <c r="F53" s="3" t="str">
        <f>IFERROR(MID(VLOOKUP($B53,Seqs!$A:$B,2,0),G53,1),"")</f>
        <v>N</v>
      </c>
      <c r="G53" s="3">
        <v>34</v>
      </c>
      <c r="H53" s="3" t="str">
        <f>IFERROR(MID(VLOOKUP($B53,Seqs!$A:$B,2,0),I53,1),"")</f>
        <v>S</v>
      </c>
      <c r="I53" s="23">
        <v>35</v>
      </c>
      <c r="J53" s="3" t="str">
        <f>IFERROR(MID(VLOOKUP($B53,Seqs!$A:$B,2,0),K53,1),"")</f>
        <v>Q</v>
      </c>
      <c r="K53" s="23">
        <v>38</v>
      </c>
      <c r="L53" s="3" t="str">
        <f>IFERROR(MID(VLOOKUP($B53,Seqs!$A:$B,2,0),M53,1),"")</f>
        <v>N</v>
      </c>
      <c r="M53" s="3">
        <v>39</v>
      </c>
      <c r="N53" s="3" t="str">
        <f>IFERROR(MID(VLOOKUP($B53,Seqs!$A:$B,2,0),O53,1),"")</f>
        <v>G</v>
      </c>
      <c r="O53" s="3">
        <v>69</v>
      </c>
      <c r="P53" s="3" t="str">
        <f>IFERROR(MID(VLOOKUP($B53,Seqs!$A:$B,2,0),Q53,1),"")</f>
        <v>F</v>
      </c>
      <c r="Q53" s="3">
        <v>70</v>
      </c>
      <c r="R53" s="3" t="str">
        <f>IFERROR(MID(VLOOKUP($B53,Seqs!$A:$B,2,0),S53,1),"")</f>
        <v>A</v>
      </c>
      <c r="S53" s="3">
        <v>72</v>
      </c>
      <c r="T53" s="3" t="str">
        <f>IFERROR(MID(VLOOKUP($B53,Seqs!$A:$B,2,0),U53,1),"")</f>
        <v>A</v>
      </c>
      <c r="U53" s="3">
        <v>73</v>
      </c>
      <c r="V53" s="3" t="str">
        <f>IFERROR(MID(VLOOKUP($B53,Seqs!$A:$B,2,0),W53,1),"")</f>
        <v>I</v>
      </c>
      <c r="W53" s="3">
        <v>108</v>
      </c>
      <c r="X53" s="3" t="str">
        <f>IFERROR(MID(VLOOKUP($B53,Seqs!$A:$B,2,0),Y53,1),"")</f>
        <v>P</v>
      </c>
      <c r="Y53" s="3">
        <v>109</v>
      </c>
      <c r="Z53" s="3" t="str">
        <f>IFERROR(MID(VLOOKUP($B53,Seqs!$A:$B,2,0),AA53,1),"")</f>
        <v>V</v>
      </c>
      <c r="AA53" s="3">
        <v>116</v>
      </c>
      <c r="AB53" s="3" t="str">
        <f>IFERROR(MID(VLOOKUP($B53,Seqs!$A:$B,2,0),AC53,1),"")</f>
        <v>T</v>
      </c>
      <c r="AC53" s="3">
        <v>117</v>
      </c>
      <c r="AD53" s="3" t="str">
        <f>IFERROR(MID(VLOOKUP($B53,Seqs!$A:$B,2,0),AE53,1),"")</f>
        <v>G</v>
      </c>
      <c r="AE53" s="3">
        <v>142</v>
      </c>
      <c r="AF53" s="3" t="str">
        <f>IFERROR(MID(VLOOKUP($B53,Seqs!$A:$B,2,0),AG53,1),"")</f>
        <v>C</v>
      </c>
      <c r="AG53" s="3">
        <v>166</v>
      </c>
      <c r="AH53" s="3" t="str">
        <f>IFERROR(MID(VLOOKUP($B53,Seqs!$A:$B,2,0),AI53,1),"")</f>
        <v>F</v>
      </c>
      <c r="AI53" s="3">
        <v>168</v>
      </c>
      <c r="AJ53" s="3" t="str">
        <f>IFERROR(MID(VLOOKUP($B53,Seqs!$A:$B,2,0),AK53,1),"")</f>
        <v>P</v>
      </c>
      <c r="AK53" s="3">
        <v>173</v>
      </c>
      <c r="AL53" s="3" t="str">
        <f>IFERROR(MID(VLOOKUP($B53,Seqs!$A:$B,2,0),AM53,1),"")</f>
        <v>L</v>
      </c>
      <c r="AM53" s="3">
        <v>208</v>
      </c>
      <c r="AN53" s="3" t="str">
        <f>IFERROR(MID(VLOOKUP($B53,Seqs!$A:$B,2,0),AO53,1),"")</f>
        <v>E</v>
      </c>
      <c r="AO53" s="3">
        <v>219</v>
      </c>
      <c r="AP53" s="3" t="str">
        <f>IFERROR(MID(VLOOKUP($B53,Seqs!$A:$B,2,0),AQ53,1),"")</f>
        <v>C</v>
      </c>
      <c r="AQ53" s="3">
        <v>259</v>
      </c>
      <c r="AR53" s="3" t="str">
        <f>IFERROR(MID(VLOOKUP($B53,Seqs!$A:$B,2,0),AS53,1),"")</f>
        <v>P</v>
      </c>
      <c r="AS53" s="3">
        <v>266</v>
      </c>
      <c r="AT53" s="3" t="str">
        <f>IFERROR(MID(VLOOKUP($B53,Seqs!$A:$B,2,0),AU53,1),"")</f>
        <v>R</v>
      </c>
      <c r="AU53" s="3">
        <v>291</v>
      </c>
      <c r="AV53" s="3" t="str">
        <f>IFERROR(MID(VLOOKUP($B53,Seqs!$A:$B,2,0),AW53,1),"")</f>
        <v>I</v>
      </c>
      <c r="AW53" s="3">
        <v>292</v>
      </c>
      <c r="AX53" s="3" t="str">
        <f>IFERROR(MID(VLOOKUP($B53,Seqs!$A:$B,2,0),AY53,1),"")</f>
        <v>V</v>
      </c>
      <c r="AY53" s="3">
        <v>307</v>
      </c>
      <c r="AZ53" s="77" t="str">
        <f>VLOOKUP(B53,Classification!A:D,2,0)</f>
        <v>A</v>
      </c>
      <c r="BA53" s="94" t="str">
        <f>VLOOKUP(B53,Classification!A:D,4,0)</f>
        <v>Adenosine</v>
      </c>
      <c r="BB53" s="27" t="b">
        <f t="shared" si="252"/>
        <v>1</v>
      </c>
      <c r="BC53" s="23">
        <f t="shared" si="253"/>
        <v>264</v>
      </c>
      <c r="BD53" s="5" t="s">
        <v>23</v>
      </c>
      <c r="BE53" s="3" t="s">
        <v>1375</v>
      </c>
      <c r="BF53" s="119">
        <v>2.8</v>
      </c>
      <c r="BG53" s="49" t="s">
        <v>1</v>
      </c>
      <c r="BH53" s="49" t="s">
        <v>1</v>
      </c>
      <c r="BI53" s="1"/>
      <c r="BJ53" s="70" t="s">
        <v>1288</v>
      </c>
      <c r="BK53" s="57" t="s">
        <v>1288</v>
      </c>
      <c r="BL53" s="57" t="s">
        <v>1288</v>
      </c>
      <c r="BM53" s="57" t="s">
        <v>1288</v>
      </c>
      <c r="BN53" s="57" t="s">
        <v>1288</v>
      </c>
      <c r="BO53" s="57" t="s">
        <v>1288</v>
      </c>
      <c r="BP53" s="57" t="s">
        <v>1288</v>
      </c>
      <c r="BQ53" s="57" t="s">
        <v>1288</v>
      </c>
      <c r="BR53" s="57" t="s">
        <v>1288</v>
      </c>
      <c r="BS53" s="57" t="s">
        <v>1288</v>
      </c>
      <c r="BT53" s="57" t="s">
        <v>1288</v>
      </c>
      <c r="BU53" s="57" t="s">
        <v>1288</v>
      </c>
      <c r="BV53" s="70">
        <f t="shared" si="254"/>
        <v>1</v>
      </c>
      <c r="BW53" s="71">
        <f t="shared" si="255"/>
        <v>35</v>
      </c>
      <c r="BX53" s="72">
        <f t="shared" si="256"/>
        <v>39</v>
      </c>
      <c r="BY53" s="71">
        <f t="shared" si="257"/>
        <v>70</v>
      </c>
      <c r="BZ53" s="72">
        <f t="shared" si="258"/>
        <v>73</v>
      </c>
      <c r="CA53" s="71">
        <f t="shared" si="259"/>
        <v>109</v>
      </c>
      <c r="CB53" s="72">
        <f t="shared" si="260"/>
        <v>117</v>
      </c>
      <c r="CC53" s="71">
        <f t="shared" si="261"/>
        <v>166</v>
      </c>
      <c r="CD53" s="72">
        <f t="shared" si="262"/>
        <v>173</v>
      </c>
      <c r="CE53" s="71">
        <f t="shared" si="263"/>
        <v>219</v>
      </c>
      <c r="CF53" s="72">
        <f t="shared" si="264"/>
        <v>266</v>
      </c>
      <c r="CG53" s="71">
        <f t="shared" si="265"/>
        <v>292</v>
      </c>
      <c r="CH53" s="70">
        <f t="shared" si="266"/>
        <v>34</v>
      </c>
      <c r="CI53" s="71">
        <f t="shared" si="267"/>
        <v>38</v>
      </c>
      <c r="CJ53" s="72">
        <f t="shared" si="268"/>
        <v>69</v>
      </c>
      <c r="CK53" s="72">
        <f t="shared" si="269"/>
        <v>72</v>
      </c>
      <c r="CL53" s="72">
        <f t="shared" si="270"/>
        <v>108</v>
      </c>
      <c r="CM53" s="72">
        <f t="shared" si="271"/>
        <v>116</v>
      </c>
      <c r="CN53" s="72">
        <f t="shared" si="272"/>
        <v>142</v>
      </c>
      <c r="CO53" s="72">
        <f t="shared" si="273"/>
        <v>168</v>
      </c>
      <c r="CP53" s="72">
        <f t="shared" si="274"/>
        <v>208</v>
      </c>
      <c r="CQ53" s="72">
        <f t="shared" si="275"/>
        <v>259</v>
      </c>
      <c r="CR53" s="72">
        <f t="shared" si="276"/>
        <v>291</v>
      </c>
      <c r="CS53" s="72">
        <f t="shared" si="277"/>
        <v>307</v>
      </c>
      <c r="CT53" s="23">
        <f t="shared" si="278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251"/>
        <v>aa2ar_human_5NM2</v>
      </c>
      <c r="B54" s="3" t="s">
        <v>139</v>
      </c>
      <c r="C54" s="3" t="s">
        <v>1444</v>
      </c>
      <c r="D54" s="3" t="str">
        <f>IFERROR(MID(VLOOKUP($B54,Seqs!$A:$B,2,0),E54,1),"")</f>
        <v>M</v>
      </c>
      <c r="E54" s="3">
        <v>1</v>
      </c>
      <c r="F54" s="3" t="str">
        <f>IFERROR(MID(VLOOKUP($B54,Seqs!$A:$B,2,0),G54,1),"")</f>
        <v>N</v>
      </c>
      <c r="G54" s="3">
        <v>34</v>
      </c>
      <c r="H54" s="3" t="str">
        <f>IFERROR(MID(VLOOKUP($B54,Seqs!$A:$B,2,0),I54,1),"")</f>
        <v>S</v>
      </c>
      <c r="I54" s="23">
        <v>35</v>
      </c>
      <c r="J54" s="3" t="str">
        <f>IFERROR(MID(VLOOKUP($B54,Seqs!$A:$B,2,0),K54,1),"")</f>
        <v>Q</v>
      </c>
      <c r="K54" s="23">
        <v>38</v>
      </c>
      <c r="L54" s="3" t="str">
        <f>IFERROR(MID(VLOOKUP($B54,Seqs!$A:$B,2,0),M54,1),"")</f>
        <v>N</v>
      </c>
      <c r="M54" s="3">
        <v>39</v>
      </c>
      <c r="N54" s="3" t="str">
        <f>IFERROR(MID(VLOOKUP($B54,Seqs!$A:$B,2,0),O54,1),"")</f>
        <v>G</v>
      </c>
      <c r="O54" s="3">
        <v>69</v>
      </c>
      <c r="P54" s="3" t="str">
        <f>IFERROR(MID(VLOOKUP($B54,Seqs!$A:$B,2,0),Q54,1),"")</f>
        <v>F</v>
      </c>
      <c r="Q54" s="3">
        <v>70</v>
      </c>
      <c r="R54" s="3" t="str">
        <f>IFERROR(MID(VLOOKUP($B54,Seqs!$A:$B,2,0),S54,1),"")</f>
        <v>A</v>
      </c>
      <c r="S54" s="3">
        <v>72</v>
      </c>
      <c r="T54" s="3" t="str">
        <f>IFERROR(MID(VLOOKUP($B54,Seqs!$A:$B,2,0),U54,1),"")</f>
        <v>A</v>
      </c>
      <c r="U54" s="3">
        <v>73</v>
      </c>
      <c r="V54" s="3" t="str">
        <f>IFERROR(MID(VLOOKUP($B54,Seqs!$A:$B,2,0),W54,1),"")</f>
        <v>I</v>
      </c>
      <c r="W54" s="3">
        <v>108</v>
      </c>
      <c r="X54" s="3" t="str">
        <f>IFERROR(MID(VLOOKUP($B54,Seqs!$A:$B,2,0),Y54,1),"")</f>
        <v>P</v>
      </c>
      <c r="Y54" s="3">
        <v>109</v>
      </c>
      <c r="Z54" s="3" t="str">
        <f>IFERROR(MID(VLOOKUP($B54,Seqs!$A:$B,2,0),AA54,1),"")</f>
        <v>V</v>
      </c>
      <c r="AA54" s="3">
        <v>116</v>
      </c>
      <c r="AB54" s="3" t="str">
        <f>IFERROR(MID(VLOOKUP($B54,Seqs!$A:$B,2,0),AC54,1),"")</f>
        <v>T</v>
      </c>
      <c r="AC54" s="3">
        <v>117</v>
      </c>
      <c r="AD54" s="3" t="str">
        <f>IFERROR(MID(VLOOKUP($B54,Seqs!$A:$B,2,0),AE54,1),"")</f>
        <v>G</v>
      </c>
      <c r="AE54" s="3">
        <v>142</v>
      </c>
      <c r="AF54" s="3" t="str">
        <f>IFERROR(MID(VLOOKUP($B54,Seqs!$A:$B,2,0),AG54,1),"")</f>
        <v>C</v>
      </c>
      <c r="AG54" s="3">
        <v>166</v>
      </c>
      <c r="AH54" s="3" t="str">
        <f>IFERROR(MID(VLOOKUP($B54,Seqs!$A:$B,2,0),AI54,1),"")</f>
        <v>F</v>
      </c>
      <c r="AI54" s="3">
        <v>168</v>
      </c>
      <c r="AJ54" s="3" t="str">
        <f>IFERROR(MID(VLOOKUP($B54,Seqs!$A:$B,2,0),AK54,1),"")</f>
        <v>P</v>
      </c>
      <c r="AK54" s="3">
        <v>173</v>
      </c>
      <c r="AL54" s="3" t="str">
        <f>IFERROR(MID(VLOOKUP($B54,Seqs!$A:$B,2,0),AM54,1),"")</f>
        <v>L</v>
      </c>
      <c r="AM54" s="3">
        <v>208</v>
      </c>
      <c r="AN54" s="3" t="str">
        <f>IFERROR(MID(VLOOKUP($B54,Seqs!$A:$B,2,0),AO54,1),"")</f>
        <v>E</v>
      </c>
      <c r="AO54" s="3">
        <v>219</v>
      </c>
      <c r="AP54" s="3" t="str">
        <f>IFERROR(MID(VLOOKUP($B54,Seqs!$A:$B,2,0),AQ54,1),"")</f>
        <v>C</v>
      </c>
      <c r="AQ54" s="3">
        <v>259</v>
      </c>
      <c r="AR54" s="3" t="str">
        <f>IFERROR(MID(VLOOKUP($B54,Seqs!$A:$B,2,0),AS54,1),"")</f>
        <v>P</v>
      </c>
      <c r="AS54" s="3">
        <v>266</v>
      </c>
      <c r="AT54" s="3" t="str">
        <f>IFERROR(MID(VLOOKUP($B54,Seqs!$A:$B,2,0),AU54,1),"")</f>
        <v>R</v>
      </c>
      <c r="AU54" s="3">
        <v>291</v>
      </c>
      <c r="AV54" s="3" t="str">
        <f>IFERROR(MID(VLOOKUP($B54,Seqs!$A:$B,2,0),AW54,1),"")</f>
        <v>I</v>
      </c>
      <c r="AW54" s="3">
        <v>292</v>
      </c>
      <c r="AX54" s="3" t="str">
        <f>IFERROR(MID(VLOOKUP($B54,Seqs!$A:$B,2,0),AY54,1),"")</f>
        <v>S</v>
      </c>
      <c r="AY54" s="3">
        <v>305</v>
      </c>
      <c r="AZ54" s="77" t="str">
        <f>VLOOKUP(B54,Classification!A:D,2,0)</f>
        <v>A</v>
      </c>
      <c r="BA54" s="94" t="str">
        <f>VLOOKUP(B54,Classification!A:D,4,0)</f>
        <v>Adenosine</v>
      </c>
      <c r="BB54" s="27" t="b">
        <f t="shared" si="252"/>
        <v>1</v>
      </c>
      <c r="BC54" s="23">
        <f t="shared" si="253"/>
        <v>262</v>
      </c>
      <c r="BD54" s="5" t="s">
        <v>23</v>
      </c>
      <c r="BE54" s="3" t="s">
        <v>1375</v>
      </c>
      <c r="BF54" s="119">
        <v>1.95</v>
      </c>
      <c r="BG54" s="49" t="s">
        <v>1</v>
      </c>
      <c r="BH54" s="49" t="s">
        <v>1</v>
      </c>
      <c r="BI54" s="1"/>
      <c r="BJ54" s="70" t="s">
        <v>1288</v>
      </c>
      <c r="BK54" s="57" t="s">
        <v>1288</v>
      </c>
      <c r="BL54" s="57" t="s">
        <v>1288</v>
      </c>
      <c r="BM54" s="57" t="s">
        <v>1288</v>
      </c>
      <c r="BN54" s="57" t="s">
        <v>1288</v>
      </c>
      <c r="BO54" s="57" t="s">
        <v>1288</v>
      </c>
      <c r="BP54" s="57" t="s">
        <v>1288</v>
      </c>
      <c r="BQ54" s="57" t="s">
        <v>1288</v>
      </c>
      <c r="BR54" s="57" t="s">
        <v>1288</v>
      </c>
      <c r="BS54" s="57" t="s">
        <v>1288</v>
      </c>
      <c r="BT54" s="57" t="s">
        <v>1288</v>
      </c>
      <c r="BU54" s="57" t="s">
        <v>1288</v>
      </c>
      <c r="BV54" s="70">
        <f t="shared" si="254"/>
        <v>1</v>
      </c>
      <c r="BW54" s="71">
        <f t="shared" si="255"/>
        <v>35</v>
      </c>
      <c r="BX54" s="72">
        <f t="shared" si="256"/>
        <v>39</v>
      </c>
      <c r="BY54" s="71">
        <f t="shared" si="257"/>
        <v>70</v>
      </c>
      <c r="BZ54" s="72">
        <f t="shared" si="258"/>
        <v>73</v>
      </c>
      <c r="CA54" s="71">
        <f t="shared" si="259"/>
        <v>109</v>
      </c>
      <c r="CB54" s="72">
        <f t="shared" si="260"/>
        <v>117</v>
      </c>
      <c r="CC54" s="71">
        <f t="shared" si="261"/>
        <v>166</v>
      </c>
      <c r="CD54" s="72">
        <f t="shared" si="262"/>
        <v>173</v>
      </c>
      <c r="CE54" s="71">
        <f t="shared" si="263"/>
        <v>219</v>
      </c>
      <c r="CF54" s="72">
        <f t="shared" si="264"/>
        <v>266</v>
      </c>
      <c r="CG54" s="71">
        <f t="shared" si="265"/>
        <v>292</v>
      </c>
      <c r="CH54" s="70">
        <f t="shared" si="266"/>
        <v>34</v>
      </c>
      <c r="CI54" s="71">
        <f t="shared" si="267"/>
        <v>38</v>
      </c>
      <c r="CJ54" s="72">
        <f t="shared" si="268"/>
        <v>69</v>
      </c>
      <c r="CK54" s="72">
        <f t="shared" si="269"/>
        <v>72</v>
      </c>
      <c r="CL54" s="72">
        <f t="shared" si="270"/>
        <v>108</v>
      </c>
      <c r="CM54" s="72">
        <f t="shared" si="271"/>
        <v>116</v>
      </c>
      <c r="CN54" s="72">
        <f t="shared" si="272"/>
        <v>142</v>
      </c>
      <c r="CO54" s="72">
        <f t="shared" si="273"/>
        <v>168</v>
      </c>
      <c r="CP54" s="72">
        <f t="shared" si="274"/>
        <v>208</v>
      </c>
      <c r="CQ54" s="72">
        <f t="shared" si="275"/>
        <v>259</v>
      </c>
      <c r="CR54" s="72">
        <f t="shared" si="276"/>
        <v>291</v>
      </c>
      <c r="CS54" s="72">
        <f t="shared" si="277"/>
        <v>305</v>
      </c>
      <c r="CT54" s="23">
        <f t="shared" si="278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s="12" customFormat="1" x14ac:dyDescent="0.2">
      <c r="A55" s="9" t="str">
        <f t="shared" ref="A55" si="279">CONCATENATE(B55,"_",C55)</f>
        <v>aa2ar_human_5NM4</v>
      </c>
      <c r="B55" s="9" t="s">
        <v>139</v>
      </c>
      <c r="C55" s="9" t="s">
        <v>1561</v>
      </c>
      <c r="D55" s="9" t="str">
        <f>IFERROR(MID(VLOOKUP($B55,Seqs!$A:$B,2,0),E55,1),"")</f>
        <v>I</v>
      </c>
      <c r="E55" s="9">
        <v>10</v>
      </c>
      <c r="F55" s="9" t="str">
        <f>IFERROR(MID(VLOOKUP($B55,Seqs!$A:$B,2,0),G55,1),"")</f>
        <v>Y</v>
      </c>
      <c r="G55" s="9">
        <v>43</v>
      </c>
      <c r="H55" s="9" t="str">
        <f>IFERROR(MID(VLOOKUP($B55,Seqs!$A:$B,2,0),I55,1),"")</f>
        <v>F</v>
      </c>
      <c r="I55" s="109">
        <v>44</v>
      </c>
      <c r="J55" s="9" t="str">
        <f>IFERROR(MID(VLOOKUP($B55,Seqs!$A:$B,2,0),K55,1),"")</f>
        <v>S</v>
      </c>
      <c r="K55" s="109">
        <v>47</v>
      </c>
      <c r="L55" s="9" t="str">
        <f>IFERROR(MID(VLOOKUP($B55,Seqs!$A:$B,2,0),M55,1),"")</f>
        <v>L</v>
      </c>
      <c r="M55" s="9">
        <v>48</v>
      </c>
      <c r="N55" s="9" t="str">
        <f>IFERROR(MID(VLOOKUP($B55,Seqs!$A:$B,2,0),O55,1),"")</f>
        <v>L</v>
      </c>
      <c r="O55" s="9">
        <v>78</v>
      </c>
      <c r="P55" s="9" t="str">
        <f>IFERROR(MID(VLOOKUP($B55,Seqs!$A:$B,2,0),Q55,1),"")</f>
        <v>F</v>
      </c>
      <c r="Q55" s="9">
        <v>79</v>
      </c>
      <c r="R55" s="9" t="str">
        <f>IFERROR(MID(VLOOKUP($B55,Seqs!$A:$B,2,0),S55,1),"")</f>
        <v>A</v>
      </c>
      <c r="S55" s="9">
        <v>81</v>
      </c>
      <c r="T55" s="9" t="str">
        <f>IFERROR(MID(VLOOKUP($B55,Seqs!$A:$B,2,0),U55,1),"")</f>
        <v>C</v>
      </c>
      <c r="U55" s="9">
        <v>82</v>
      </c>
      <c r="V55" s="9" t="str">
        <f>IFERROR(MID(VLOOKUP($B55,Seqs!$A:$B,2,0),W55,1),"")</f>
        <v>T</v>
      </c>
      <c r="W55" s="9">
        <v>117</v>
      </c>
      <c r="X55" s="9" t="str">
        <f>IFERROR(MID(VLOOKUP($B55,Seqs!$A:$B,2,0),Y55,1),"")</f>
        <v>G</v>
      </c>
      <c r="Y55" s="9">
        <v>118</v>
      </c>
      <c r="Z55" s="9" t="str">
        <f>IFERROR(MID(VLOOKUP($B55,Seqs!$A:$B,2,0),AA55,1),"")</f>
        <v>I</v>
      </c>
      <c r="AA55" s="9">
        <v>125</v>
      </c>
      <c r="AB55" s="9" t="str">
        <f>IFERROR(MID(VLOOKUP($B55,Seqs!$A:$B,2,0),AC55,1),"")</f>
        <v>A</v>
      </c>
      <c r="AC55" s="9">
        <v>126</v>
      </c>
      <c r="AD55" s="9" t="str">
        <f>IFERROR(MID(VLOOKUP($B55,Seqs!$A:$B,2,0),AE55,1),"")</f>
        <v>E</v>
      </c>
      <c r="AE55" s="9">
        <v>151</v>
      </c>
      <c r="AF55" s="9" t="str">
        <f>IFERROR(MID(VLOOKUP($B55,Seqs!$A:$B,2,0),AG55,1),"")</f>
        <v>N</v>
      </c>
      <c r="AG55" s="9">
        <v>175</v>
      </c>
      <c r="AH55" s="9" t="str">
        <f>IFERROR(MID(VLOOKUP($B55,Seqs!$A:$B,2,0),AI55,1),"")</f>
        <v>M</v>
      </c>
      <c r="AI55" s="9">
        <v>177</v>
      </c>
      <c r="AJ55" s="9" t="str">
        <f>IFERROR(MID(VLOOKUP($B55,Seqs!$A:$B,2,0),AK55,1),"")</f>
        <v>F</v>
      </c>
      <c r="AK55" s="9">
        <v>182</v>
      </c>
      <c r="AL55" s="9" t="str">
        <f>IFERROR(MID(VLOOKUP($B55,Seqs!$A:$B,2,0),AM55,1),"")</f>
        <v>R</v>
      </c>
      <c r="AM55" s="9">
        <v>222</v>
      </c>
      <c r="AN55" s="9" t="str">
        <f>IFERROR(MID(VLOOKUP($B55,Seqs!$A:$B,2,0),AO55,1),"")</f>
        <v>L</v>
      </c>
      <c r="AO55" s="9">
        <v>324</v>
      </c>
      <c r="AP55" s="9" t="str">
        <f>IFERROR(MID(VLOOKUP($B55,Seqs!$A:$B,2,0),AQ55,1),"")</f>
        <v>G</v>
      </c>
      <c r="AQ55" s="9">
        <v>364</v>
      </c>
      <c r="AR55" s="9" t="str">
        <f>IFERROR(MID(VLOOKUP($B55,Seqs!$A:$B,2,0),AS55,1),"")</f>
        <v>A</v>
      </c>
      <c r="AS55" s="9">
        <v>371</v>
      </c>
      <c r="AT55" s="9" t="str">
        <f>IFERROR(MID(VLOOKUP($B55,Seqs!$A:$B,2,0),AU55,1),"")</f>
        <v>E</v>
      </c>
      <c r="AU55" s="9">
        <v>396</v>
      </c>
      <c r="AV55" s="9" t="str">
        <f>IFERROR(MID(VLOOKUP($B55,Seqs!$A:$B,2,0),AW55,1),"")</f>
        <v>P</v>
      </c>
      <c r="AW55" s="9">
        <v>397</v>
      </c>
      <c r="AX55" s="9" t="str">
        <f>IFERROR(MID(VLOOKUP($B55,Seqs!$A:$B,2,0),AY55,1),"")</f>
        <v>A</v>
      </c>
      <c r="AY55" s="9">
        <v>409</v>
      </c>
      <c r="AZ55" s="110" t="str">
        <f>VLOOKUP(B55,Classification!A:D,2,0)</f>
        <v>A</v>
      </c>
      <c r="BA55" s="98" t="str">
        <f>VLOOKUP(B55,Classification!A:D,4,0)</f>
        <v>Adenosine</v>
      </c>
      <c r="BB55" s="36" t="b">
        <f t="shared" ref="BB55" si="280">AND(E55&lt;G55,OR(G55&lt;I55,I55="-"),OR(I55&lt;K55,I55="-"),OR(K55&lt;M55,K55="-"),M55&lt;O55,OR(O55&lt;Q55,Q55="-"),OR(Q55&lt;S55,Q55="-"),OR(S55&lt;U55,S55="-"),U55&lt;W55,OR(W55&lt;Y55,Y55="-"),OR(Y55&lt;AA55,Y55="-"),OR(AA55&lt;AC55,AA55="-"),AC55&lt;AE55,OR(AE55&lt;AG55,AG55="-"),OR(AG55&lt;AI55,AG55="-"),OR(AI55&lt;AK55,AI55="-"),AK55&lt;AM55,AM55&lt;AO55,AO55&lt;AQ55,AQ55&lt;AS55,AS55&lt;AU55,OR(AU55&lt;AW55,AW55="-"),OR(AW55&lt;AY55,AW55="-"))</f>
        <v>1</v>
      </c>
      <c r="BC55" s="109">
        <f t="shared" ref="BC55" si="281">_xlfn.AGGREGATE(9,6,CH55:CS55)-_xlfn.AGGREGATE(9,6,BV55:CG55)+12</f>
        <v>266</v>
      </c>
      <c r="BD55" s="13" t="s">
        <v>23</v>
      </c>
      <c r="BE55" s="9" t="s">
        <v>1375</v>
      </c>
      <c r="BF55" s="120">
        <v>1.7</v>
      </c>
      <c r="BG55" s="51" t="s">
        <v>1</v>
      </c>
      <c r="BH55" s="51" t="s">
        <v>1</v>
      </c>
      <c r="BJ55" s="111" t="s">
        <v>1288</v>
      </c>
      <c r="BK55" s="112" t="s">
        <v>1288</v>
      </c>
      <c r="BL55" s="112" t="s">
        <v>1288</v>
      </c>
      <c r="BM55" s="112" t="s">
        <v>1288</v>
      </c>
      <c r="BN55" s="112" t="s">
        <v>1288</v>
      </c>
      <c r="BO55" s="112" t="s">
        <v>1288</v>
      </c>
      <c r="BP55" s="112" t="s">
        <v>1288</v>
      </c>
      <c r="BQ55" s="112" t="s">
        <v>1288</v>
      </c>
      <c r="BR55" s="112" t="s">
        <v>1288</v>
      </c>
      <c r="BS55" s="112" t="s">
        <v>1288</v>
      </c>
      <c r="BT55" s="112" t="s">
        <v>1288</v>
      </c>
      <c r="BU55" s="112" t="s">
        <v>1288</v>
      </c>
      <c r="BV55" s="111">
        <f t="shared" ref="BV55" si="282">E55</f>
        <v>10</v>
      </c>
      <c r="BW55" s="113">
        <f t="shared" ref="BW55" si="283">I55</f>
        <v>44</v>
      </c>
      <c r="BX55" s="114">
        <f t="shared" ref="BX55" si="284">M55</f>
        <v>48</v>
      </c>
      <c r="BY55" s="113">
        <f t="shared" ref="BY55" si="285">Q55</f>
        <v>79</v>
      </c>
      <c r="BZ55" s="114">
        <f t="shared" ref="BZ55" si="286">U55</f>
        <v>82</v>
      </c>
      <c r="CA55" s="113">
        <f t="shared" ref="CA55" si="287">Y55</f>
        <v>118</v>
      </c>
      <c r="CB55" s="114">
        <f t="shared" ref="CB55" si="288">AC55</f>
        <v>126</v>
      </c>
      <c r="CC55" s="113">
        <f t="shared" ref="CC55" si="289">AG55</f>
        <v>175</v>
      </c>
      <c r="CD55" s="114">
        <f t="shared" ref="CD55" si="290">AK55</f>
        <v>182</v>
      </c>
      <c r="CE55" s="113">
        <f t="shared" ref="CE55" si="291">AO55</f>
        <v>324</v>
      </c>
      <c r="CF55" s="114">
        <f t="shared" ref="CF55" si="292">AS55</f>
        <v>371</v>
      </c>
      <c r="CG55" s="113">
        <f t="shared" ref="CG55" si="293">AW55</f>
        <v>397</v>
      </c>
      <c r="CH55" s="111">
        <f t="shared" ref="CH55" si="294">G55</f>
        <v>43</v>
      </c>
      <c r="CI55" s="113">
        <f t="shared" ref="CI55" si="295">K55</f>
        <v>47</v>
      </c>
      <c r="CJ55" s="114">
        <f t="shared" ref="CJ55" si="296">O55</f>
        <v>78</v>
      </c>
      <c r="CK55" s="114">
        <f t="shared" ref="CK55" si="297">S55</f>
        <v>81</v>
      </c>
      <c r="CL55" s="114">
        <f t="shared" ref="CL55" si="298">W55</f>
        <v>117</v>
      </c>
      <c r="CM55" s="114">
        <f t="shared" ref="CM55" si="299">AA55</f>
        <v>125</v>
      </c>
      <c r="CN55" s="114">
        <f t="shared" ref="CN55" si="300">AE55</f>
        <v>151</v>
      </c>
      <c r="CO55" s="114">
        <f t="shared" ref="CO55" si="301">AI55</f>
        <v>177</v>
      </c>
      <c r="CP55" s="114">
        <f t="shared" ref="CP55" si="302">AM55</f>
        <v>222</v>
      </c>
      <c r="CQ55" s="114">
        <f t="shared" ref="CQ55" si="303">AQ55</f>
        <v>364</v>
      </c>
      <c r="CR55" s="114">
        <f t="shared" ref="CR55" si="304">AU55</f>
        <v>396</v>
      </c>
      <c r="CS55" s="114">
        <f t="shared" ref="CS55" si="305">AY55</f>
        <v>409</v>
      </c>
      <c r="CT55" s="109">
        <f t="shared" ref="CT55" si="306">M55-K55</f>
        <v>1</v>
      </c>
    </row>
    <row r="56" spans="1:1029" s="12" customFormat="1" x14ac:dyDescent="0.2">
      <c r="A56" s="9" t="str">
        <f t="shared" ref="A56" si="307">CONCATENATE(B56,"_",C56)</f>
        <v>aa2ar_human_5NLX</v>
      </c>
      <c r="B56" s="9" t="s">
        <v>139</v>
      </c>
      <c r="C56" s="9" t="s">
        <v>1562</v>
      </c>
      <c r="D56" s="9" t="str">
        <f>IFERROR(MID(VLOOKUP($B56,Seqs!$A:$B,2,0),E56,1),"")</f>
        <v>I</v>
      </c>
      <c r="E56" s="9">
        <v>10</v>
      </c>
      <c r="F56" s="9" t="str">
        <f>IFERROR(MID(VLOOKUP($B56,Seqs!$A:$B,2,0),G56,1),"")</f>
        <v>Y</v>
      </c>
      <c r="G56" s="9">
        <v>43</v>
      </c>
      <c r="H56" s="9" t="str">
        <f>IFERROR(MID(VLOOKUP($B56,Seqs!$A:$B,2,0),I56,1),"")</f>
        <v>F</v>
      </c>
      <c r="I56" s="109">
        <v>44</v>
      </c>
      <c r="J56" s="9" t="str">
        <f>IFERROR(MID(VLOOKUP($B56,Seqs!$A:$B,2,0),K56,1),"")</f>
        <v>S</v>
      </c>
      <c r="K56" s="109">
        <v>47</v>
      </c>
      <c r="L56" s="9" t="str">
        <f>IFERROR(MID(VLOOKUP($B56,Seqs!$A:$B,2,0),M56,1),"")</f>
        <v>L</v>
      </c>
      <c r="M56" s="9">
        <v>48</v>
      </c>
      <c r="N56" s="9" t="str">
        <f>IFERROR(MID(VLOOKUP($B56,Seqs!$A:$B,2,0),O56,1),"")</f>
        <v>L</v>
      </c>
      <c r="O56" s="9">
        <v>78</v>
      </c>
      <c r="P56" s="9" t="str">
        <f>IFERROR(MID(VLOOKUP($B56,Seqs!$A:$B,2,0),Q56,1),"")</f>
        <v>F</v>
      </c>
      <c r="Q56" s="9">
        <v>79</v>
      </c>
      <c r="R56" s="9" t="str">
        <f>IFERROR(MID(VLOOKUP($B56,Seqs!$A:$B,2,0),S56,1),"")</f>
        <v>A</v>
      </c>
      <c r="S56" s="9">
        <v>81</v>
      </c>
      <c r="T56" s="9" t="str">
        <f>IFERROR(MID(VLOOKUP($B56,Seqs!$A:$B,2,0),U56,1),"")</f>
        <v>C</v>
      </c>
      <c r="U56" s="9">
        <v>82</v>
      </c>
      <c r="V56" s="9" t="str">
        <f>IFERROR(MID(VLOOKUP($B56,Seqs!$A:$B,2,0),W56,1),"")</f>
        <v>T</v>
      </c>
      <c r="W56" s="9">
        <v>117</v>
      </c>
      <c r="X56" s="9" t="str">
        <f>IFERROR(MID(VLOOKUP($B56,Seqs!$A:$B,2,0),Y56,1),"")</f>
        <v>G</v>
      </c>
      <c r="Y56" s="9">
        <v>118</v>
      </c>
      <c r="Z56" s="9" t="str">
        <f>IFERROR(MID(VLOOKUP($B56,Seqs!$A:$B,2,0),AA56,1),"")</f>
        <v>I</v>
      </c>
      <c r="AA56" s="9">
        <v>125</v>
      </c>
      <c r="AB56" s="9" t="str">
        <f>IFERROR(MID(VLOOKUP($B56,Seqs!$A:$B,2,0),AC56,1),"")</f>
        <v>A</v>
      </c>
      <c r="AC56" s="9">
        <v>126</v>
      </c>
      <c r="AD56" s="9" t="str">
        <f>IFERROR(MID(VLOOKUP($B56,Seqs!$A:$B,2,0),AE56,1),"")</f>
        <v>E</v>
      </c>
      <c r="AE56" s="9">
        <v>151</v>
      </c>
      <c r="AF56" s="9" t="str">
        <f>IFERROR(MID(VLOOKUP($B56,Seqs!$A:$B,2,0),AG56,1),"")</f>
        <v>N</v>
      </c>
      <c r="AG56" s="9">
        <v>175</v>
      </c>
      <c r="AH56" s="9" t="str">
        <f>IFERROR(MID(VLOOKUP($B56,Seqs!$A:$B,2,0),AI56,1),"")</f>
        <v>M</v>
      </c>
      <c r="AI56" s="9">
        <v>177</v>
      </c>
      <c r="AJ56" s="9" t="str">
        <f>IFERROR(MID(VLOOKUP($B56,Seqs!$A:$B,2,0),AK56,1),"")</f>
        <v>F</v>
      </c>
      <c r="AK56" s="9">
        <v>182</v>
      </c>
      <c r="AL56" s="9" t="str">
        <f>IFERROR(MID(VLOOKUP($B56,Seqs!$A:$B,2,0),AM56,1),"")</f>
        <v>R</v>
      </c>
      <c r="AM56" s="9">
        <v>222</v>
      </c>
      <c r="AN56" s="9" t="str">
        <f>IFERROR(MID(VLOOKUP($B56,Seqs!$A:$B,2,0),AO56,1),"")</f>
        <v>L</v>
      </c>
      <c r="AO56" s="9">
        <v>324</v>
      </c>
      <c r="AP56" s="9" t="str">
        <f>IFERROR(MID(VLOOKUP($B56,Seqs!$A:$B,2,0),AQ56,1),"")</f>
        <v>G</v>
      </c>
      <c r="AQ56" s="9">
        <v>364</v>
      </c>
      <c r="AR56" s="9" t="str">
        <f>IFERROR(MID(VLOOKUP($B56,Seqs!$A:$B,2,0),AS56,1),"")</f>
        <v>A</v>
      </c>
      <c r="AS56" s="9">
        <v>371</v>
      </c>
      <c r="AT56" s="9" t="str">
        <f>IFERROR(MID(VLOOKUP($B56,Seqs!$A:$B,2,0),AU56,1),"")</f>
        <v>E</v>
      </c>
      <c r="AU56" s="9">
        <v>396</v>
      </c>
      <c r="AV56" s="9" t="str">
        <f>IFERROR(MID(VLOOKUP($B56,Seqs!$A:$B,2,0),AW56,1),"")</f>
        <v>P</v>
      </c>
      <c r="AW56" s="9">
        <v>397</v>
      </c>
      <c r="AX56" s="9" t="str">
        <f>IFERROR(MID(VLOOKUP($B56,Seqs!$A:$B,2,0),AY56,1),"")</f>
        <v>A</v>
      </c>
      <c r="AY56" s="9">
        <v>409</v>
      </c>
      <c r="AZ56" s="110" t="str">
        <f>VLOOKUP(B56,Classification!A:D,2,0)</f>
        <v>A</v>
      </c>
      <c r="BA56" s="98" t="str">
        <f>VLOOKUP(B56,Classification!A:D,4,0)</f>
        <v>Adenosine</v>
      </c>
      <c r="BB56" s="36" t="b">
        <f t="shared" ref="BB56" si="308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109">
        <f t="shared" ref="BC56" si="309">_xlfn.AGGREGATE(9,6,CH56:CS56)-_xlfn.AGGREGATE(9,6,BV56:CG56)+12</f>
        <v>266</v>
      </c>
      <c r="BD56" s="13" t="s">
        <v>23</v>
      </c>
      <c r="BE56" s="9" t="s">
        <v>1375</v>
      </c>
      <c r="BF56" s="120">
        <v>2.14</v>
      </c>
      <c r="BG56" s="51" t="s">
        <v>1</v>
      </c>
      <c r="BH56" s="51" t="s">
        <v>1</v>
      </c>
      <c r="BJ56" s="111" t="s">
        <v>1288</v>
      </c>
      <c r="BK56" s="112" t="s">
        <v>1288</v>
      </c>
      <c r="BL56" s="112" t="s">
        <v>1288</v>
      </c>
      <c r="BM56" s="112" t="s">
        <v>1288</v>
      </c>
      <c r="BN56" s="112" t="s">
        <v>1288</v>
      </c>
      <c r="BO56" s="112" t="s">
        <v>1288</v>
      </c>
      <c r="BP56" s="112" t="s">
        <v>1288</v>
      </c>
      <c r="BQ56" s="112" t="s">
        <v>1288</v>
      </c>
      <c r="BR56" s="112" t="s">
        <v>1288</v>
      </c>
      <c r="BS56" s="112" t="s">
        <v>1288</v>
      </c>
      <c r="BT56" s="112" t="s">
        <v>1288</v>
      </c>
      <c r="BU56" s="112" t="s">
        <v>1288</v>
      </c>
      <c r="BV56" s="111">
        <f t="shared" ref="BV56" si="310">E56</f>
        <v>10</v>
      </c>
      <c r="BW56" s="113">
        <f t="shared" ref="BW56" si="311">I56</f>
        <v>44</v>
      </c>
      <c r="BX56" s="114">
        <f t="shared" ref="BX56" si="312">M56</f>
        <v>48</v>
      </c>
      <c r="BY56" s="113">
        <f t="shared" ref="BY56" si="313">Q56</f>
        <v>79</v>
      </c>
      <c r="BZ56" s="114">
        <f t="shared" ref="BZ56" si="314">U56</f>
        <v>82</v>
      </c>
      <c r="CA56" s="113">
        <f t="shared" ref="CA56" si="315">Y56</f>
        <v>118</v>
      </c>
      <c r="CB56" s="114">
        <f t="shared" ref="CB56" si="316">AC56</f>
        <v>126</v>
      </c>
      <c r="CC56" s="113">
        <f t="shared" ref="CC56" si="317">AG56</f>
        <v>175</v>
      </c>
      <c r="CD56" s="114">
        <f t="shared" ref="CD56" si="318">AK56</f>
        <v>182</v>
      </c>
      <c r="CE56" s="113">
        <f t="shared" ref="CE56" si="319">AO56</f>
        <v>324</v>
      </c>
      <c r="CF56" s="114">
        <f t="shared" ref="CF56" si="320">AS56</f>
        <v>371</v>
      </c>
      <c r="CG56" s="113">
        <f t="shared" ref="CG56" si="321">AW56</f>
        <v>397</v>
      </c>
      <c r="CH56" s="111">
        <f t="shared" ref="CH56" si="322">G56</f>
        <v>43</v>
      </c>
      <c r="CI56" s="113">
        <f t="shared" ref="CI56" si="323">K56</f>
        <v>47</v>
      </c>
      <c r="CJ56" s="114">
        <f t="shared" ref="CJ56" si="324">O56</f>
        <v>78</v>
      </c>
      <c r="CK56" s="114">
        <f t="shared" ref="CK56" si="325">S56</f>
        <v>81</v>
      </c>
      <c r="CL56" s="114">
        <f t="shared" ref="CL56" si="326">W56</f>
        <v>117</v>
      </c>
      <c r="CM56" s="114">
        <f t="shared" ref="CM56" si="327">AA56</f>
        <v>125</v>
      </c>
      <c r="CN56" s="114">
        <f t="shared" ref="CN56" si="328">AE56</f>
        <v>151</v>
      </c>
      <c r="CO56" s="114">
        <f t="shared" ref="CO56" si="329">AI56</f>
        <v>177</v>
      </c>
      <c r="CP56" s="114">
        <f t="shared" ref="CP56" si="330">AM56</f>
        <v>222</v>
      </c>
      <c r="CQ56" s="114">
        <f t="shared" ref="CQ56" si="331">AQ56</f>
        <v>364</v>
      </c>
      <c r="CR56" s="114">
        <f t="shared" ref="CR56" si="332">AU56</f>
        <v>396</v>
      </c>
      <c r="CS56" s="114">
        <f t="shared" ref="CS56" si="333">AY56</f>
        <v>409</v>
      </c>
      <c r="CT56" s="109">
        <f t="shared" ref="CT56" si="334">M56-K56</f>
        <v>1</v>
      </c>
    </row>
    <row r="57" spans="1:1029" x14ac:dyDescent="0.2">
      <c r="A57" s="3" t="str">
        <f t="shared" si="251"/>
        <v>aa2ar_human_5VRA</v>
      </c>
      <c r="B57" s="3" t="s">
        <v>139</v>
      </c>
      <c r="C57" s="3" t="s">
        <v>1450</v>
      </c>
      <c r="D57" s="3" t="str">
        <f>IFERROR(MID(VLOOKUP($B57,Seqs!$A:$B,2,0),E57,1),"")</f>
        <v>M</v>
      </c>
      <c r="E57" s="3">
        <v>1</v>
      </c>
      <c r="F57" s="3" t="str">
        <f>IFERROR(MID(VLOOKUP($B57,Seqs!$A:$B,2,0),G57,1),"")</f>
        <v>N</v>
      </c>
      <c r="G57" s="3">
        <v>34</v>
      </c>
      <c r="H57" s="3" t="str">
        <f>IFERROR(MID(VLOOKUP($B57,Seqs!$A:$B,2,0),I57,1),"")</f>
        <v>S</v>
      </c>
      <c r="I57" s="23">
        <v>35</v>
      </c>
      <c r="J57" s="3" t="str">
        <f>IFERROR(MID(VLOOKUP($B57,Seqs!$A:$B,2,0),K57,1),"")</f>
        <v>Q</v>
      </c>
      <c r="K57" s="23">
        <v>38</v>
      </c>
      <c r="L57" s="3" t="str">
        <f>IFERROR(MID(VLOOKUP($B57,Seqs!$A:$B,2,0),M57,1),"")</f>
        <v>N</v>
      </c>
      <c r="M57" s="3">
        <v>39</v>
      </c>
      <c r="N57" s="3" t="str">
        <f>IFERROR(MID(VLOOKUP($B57,Seqs!$A:$B,2,0),O57,1),"")</f>
        <v>G</v>
      </c>
      <c r="O57" s="3">
        <v>69</v>
      </c>
      <c r="P57" s="3" t="str">
        <f>IFERROR(MID(VLOOKUP($B57,Seqs!$A:$B,2,0),Q57,1),"")</f>
        <v>F</v>
      </c>
      <c r="Q57" s="3">
        <v>70</v>
      </c>
      <c r="R57" s="3" t="str">
        <f>IFERROR(MID(VLOOKUP($B57,Seqs!$A:$B,2,0),S57,1),"")</f>
        <v>A</v>
      </c>
      <c r="S57" s="3">
        <v>72</v>
      </c>
      <c r="T57" s="3" t="str">
        <f>IFERROR(MID(VLOOKUP($B57,Seqs!$A:$B,2,0),U57,1),"")</f>
        <v>A</v>
      </c>
      <c r="U57" s="3">
        <v>73</v>
      </c>
      <c r="V57" s="3" t="str">
        <f>IFERROR(MID(VLOOKUP($B57,Seqs!$A:$B,2,0),W57,1),"")</f>
        <v>I</v>
      </c>
      <c r="W57" s="3">
        <v>108</v>
      </c>
      <c r="X57" s="3" t="str">
        <f>IFERROR(MID(VLOOKUP($B57,Seqs!$A:$B,2,0),Y57,1),"")</f>
        <v>P</v>
      </c>
      <c r="Y57" s="3">
        <v>109</v>
      </c>
      <c r="Z57" s="3" t="str">
        <f>IFERROR(MID(VLOOKUP($B57,Seqs!$A:$B,2,0),AA57,1),"")</f>
        <v>V</v>
      </c>
      <c r="AA57" s="3">
        <v>116</v>
      </c>
      <c r="AB57" s="3" t="str">
        <f>IFERROR(MID(VLOOKUP($B57,Seqs!$A:$B,2,0),AC57,1),"")</f>
        <v>T</v>
      </c>
      <c r="AC57" s="3">
        <v>117</v>
      </c>
      <c r="AD57" s="3" t="str">
        <f>IFERROR(MID(VLOOKUP($B57,Seqs!$A:$B,2,0),AE57,1),"")</f>
        <v>G</v>
      </c>
      <c r="AE57" s="3">
        <v>142</v>
      </c>
      <c r="AF57" s="3" t="str">
        <f>IFERROR(MID(VLOOKUP($B57,Seqs!$A:$B,2,0),AG57,1),"")</f>
        <v>C</v>
      </c>
      <c r="AG57" s="3">
        <v>166</v>
      </c>
      <c r="AH57" s="3" t="str">
        <f>IFERROR(MID(VLOOKUP($B57,Seqs!$A:$B,2,0),AI57,1),"")</f>
        <v>F</v>
      </c>
      <c r="AI57" s="3">
        <v>168</v>
      </c>
      <c r="AJ57" s="3" t="str">
        <f>IFERROR(MID(VLOOKUP($B57,Seqs!$A:$B,2,0),AK57,1),"")</f>
        <v>P</v>
      </c>
      <c r="AK57" s="3">
        <v>173</v>
      </c>
      <c r="AL57" s="3" t="str">
        <f>IFERROR(MID(VLOOKUP($B57,Seqs!$A:$B,2,0),AM57,1),"")</f>
        <v>L</v>
      </c>
      <c r="AM57" s="3">
        <v>208</v>
      </c>
      <c r="AN57" s="3" t="str">
        <f>IFERROR(MID(VLOOKUP($B57,Seqs!$A:$B,2,0),AO57,1),"")</f>
        <v>E</v>
      </c>
      <c r="AO57" s="3">
        <v>219</v>
      </c>
      <c r="AP57" s="3" t="str">
        <f>IFERROR(MID(VLOOKUP($B57,Seqs!$A:$B,2,0),AQ57,1),"")</f>
        <v>C</v>
      </c>
      <c r="AQ57" s="3">
        <v>259</v>
      </c>
      <c r="AR57" s="3" t="str">
        <f>IFERROR(MID(VLOOKUP($B57,Seqs!$A:$B,2,0),AS57,1),"")</f>
        <v>P</v>
      </c>
      <c r="AS57" s="3">
        <v>266</v>
      </c>
      <c r="AT57" s="3" t="str">
        <f>IFERROR(MID(VLOOKUP($B57,Seqs!$A:$B,2,0),AU57,1),"")</f>
        <v>R</v>
      </c>
      <c r="AU57" s="3">
        <v>291</v>
      </c>
      <c r="AV57" s="3" t="str">
        <f>IFERROR(MID(VLOOKUP($B57,Seqs!$A:$B,2,0),AW57,1),"")</f>
        <v>I</v>
      </c>
      <c r="AW57" s="3">
        <v>292</v>
      </c>
      <c r="AX57" s="3" t="str">
        <f>IFERROR(MID(VLOOKUP($B57,Seqs!$A:$B,2,0),AY57,1),"")</f>
        <v>H</v>
      </c>
      <c r="AY57" s="3">
        <v>306</v>
      </c>
      <c r="AZ57" s="77" t="str">
        <f>VLOOKUP(B57,Classification!A:D,2,0)</f>
        <v>A</v>
      </c>
      <c r="BA57" s="94" t="str">
        <f>VLOOKUP(B57,Classification!A:D,4,0)</f>
        <v>Adenosine</v>
      </c>
      <c r="BB57" s="27" t="b">
        <f t="shared" si="252"/>
        <v>1</v>
      </c>
      <c r="BC57" s="23">
        <f t="shared" si="253"/>
        <v>263</v>
      </c>
      <c r="BD57" s="5" t="s">
        <v>23</v>
      </c>
      <c r="BE57" s="3" t="s">
        <v>1375</v>
      </c>
      <c r="BF57" s="119">
        <v>2.35</v>
      </c>
      <c r="BG57" s="49" t="s">
        <v>1</v>
      </c>
      <c r="BH57" s="49" t="s">
        <v>1</v>
      </c>
      <c r="BI57" s="1"/>
      <c r="BJ57" s="70" t="s">
        <v>1288</v>
      </c>
      <c r="BK57" s="57" t="s">
        <v>1288</v>
      </c>
      <c r="BL57" s="57" t="s">
        <v>1288</v>
      </c>
      <c r="BM57" s="57" t="s">
        <v>1288</v>
      </c>
      <c r="BN57" s="57" t="s">
        <v>1288</v>
      </c>
      <c r="BO57" s="57" t="s">
        <v>1288</v>
      </c>
      <c r="BP57" s="57" t="s">
        <v>1288</v>
      </c>
      <c r="BQ57" s="57" t="s">
        <v>1288</v>
      </c>
      <c r="BR57" s="57" t="s">
        <v>1288</v>
      </c>
      <c r="BS57" s="57" t="s">
        <v>1288</v>
      </c>
      <c r="BT57" s="57" t="s">
        <v>1288</v>
      </c>
      <c r="BU57" s="57" t="s">
        <v>1288</v>
      </c>
      <c r="BV57" s="70">
        <f t="shared" si="254"/>
        <v>1</v>
      </c>
      <c r="BW57" s="71">
        <f t="shared" si="255"/>
        <v>35</v>
      </c>
      <c r="BX57" s="72">
        <f t="shared" si="256"/>
        <v>39</v>
      </c>
      <c r="BY57" s="71">
        <f t="shared" si="257"/>
        <v>70</v>
      </c>
      <c r="BZ57" s="72">
        <f t="shared" si="258"/>
        <v>73</v>
      </c>
      <c r="CA57" s="71">
        <f t="shared" si="259"/>
        <v>109</v>
      </c>
      <c r="CB57" s="72">
        <f t="shared" si="260"/>
        <v>117</v>
      </c>
      <c r="CC57" s="71">
        <f t="shared" si="261"/>
        <v>166</v>
      </c>
      <c r="CD57" s="72">
        <f t="shared" si="262"/>
        <v>173</v>
      </c>
      <c r="CE57" s="71">
        <f t="shared" si="263"/>
        <v>219</v>
      </c>
      <c r="CF57" s="72">
        <f t="shared" si="264"/>
        <v>266</v>
      </c>
      <c r="CG57" s="71">
        <f t="shared" si="265"/>
        <v>292</v>
      </c>
      <c r="CH57" s="70">
        <f t="shared" si="266"/>
        <v>34</v>
      </c>
      <c r="CI57" s="71">
        <f t="shared" si="267"/>
        <v>38</v>
      </c>
      <c r="CJ57" s="72">
        <f t="shared" si="268"/>
        <v>69</v>
      </c>
      <c r="CK57" s="72">
        <f t="shared" si="269"/>
        <v>72</v>
      </c>
      <c r="CL57" s="72">
        <f t="shared" si="270"/>
        <v>108</v>
      </c>
      <c r="CM57" s="72">
        <f t="shared" si="271"/>
        <v>116</v>
      </c>
      <c r="CN57" s="72">
        <f t="shared" si="272"/>
        <v>142</v>
      </c>
      <c r="CO57" s="72">
        <f t="shared" si="273"/>
        <v>168</v>
      </c>
      <c r="CP57" s="72">
        <f t="shared" si="274"/>
        <v>208</v>
      </c>
      <c r="CQ57" s="72">
        <f t="shared" si="275"/>
        <v>259</v>
      </c>
      <c r="CR57" s="72">
        <f t="shared" si="276"/>
        <v>291</v>
      </c>
      <c r="CS57" s="72">
        <f t="shared" si="277"/>
        <v>306</v>
      </c>
      <c r="CT57" s="23">
        <f t="shared" si="278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251"/>
        <v>aa2ar_human_5OLG</v>
      </c>
      <c r="B58" s="3" t="s">
        <v>139</v>
      </c>
      <c r="C58" s="3" t="s">
        <v>1455</v>
      </c>
      <c r="D58" s="3" t="str">
        <f>IFERROR(MID(VLOOKUP($B58,Seqs!$A:$B,2,0),E58,1),"")</f>
        <v>M</v>
      </c>
      <c r="E58" s="3">
        <v>1</v>
      </c>
      <c r="F58" s="3" t="str">
        <f>IFERROR(MID(VLOOKUP($B58,Seqs!$A:$B,2,0),G58,1),"")</f>
        <v>N</v>
      </c>
      <c r="G58" s="3">
        <v>34</v>
      </c>
      <c r="H58" s="3" t="str">
        <f>IFERROR(MID(VLOOKUP($B58,Seqs!$A:$B,2,0),I58,1),"")</f>
        <v>S</v>
      </c>
      <c r="I58" s="23">
        <v>35</v>
      </c>
      <c r="J58" s="3" t="str">
        <f>IFERROR(MID(VLOOKUP($B58,Seqs!$A:$B,2,0),K58,1),"")</f>
        <v>Q</v>
      </c>
      <c r="K58" s="23">
        <v>38</v>
      </c>
      <c r="L58" s="3" t="str">
        <f>IFERROR(MID(VLOOKUP($B58,Seqs!$A:$B,2,0),M58,1),"")</f>
        <v>N</v>
      </c>
      <c r="M58" s="3">
        <v>39</v>
      </c>
      <c r="N58" s="3" t="str">
        <f>IFERROR(MID(VLOOKUP($B58,Seqs!$A:$B,2,0),O58,1),"")</f>
        <v>G</v>
      </c>
      <c r="O58" s="3">
        <v>69</v>
      </c>
      <c r="P58" s="3" t="str">
        <f>IFERROR(MID(VLOOKUP($B58,Seqs!$A:$B,2,0),Q58,1),"")</f>
        <v>F</v>
      </c>
      <c r="Q58" s="3">
        <v>70</v>
      </c>
      <c r="R58" s="3" t="str">
        <f>IFERROR(MID(VLOOKUP($B58,Seqs!$A:$B,2,0),S58,1),"")</f>
        <v>A</v>
      </c>
      <c r="S58" s="3">
        <v>72</v>
      </c>
      <c r="T58" s="3" t="str">
        <f>IFERROR(MID(VLOOKUP($B58,Seqs!$A:$B,2,0),U58,1),"")</f>
        <v>A</v>
      </c>
      <c r="U58" s="3">
        <v>73</v>
      </c>
      <c r="V58" s="3" t="str">
        <f>IFERROR(MID(VLOOKUP($B58,Seqs!$A:$B,2,0),W58,1),"")</f>
        <v>I</v>
      </c>
      <c r="W58" s="3">
        <v>108</v>
      </c>
      <c r="X58" s="3" t="str">
        <f>IFERROR(MID(VLOOKUP($B58,Seqs!$A:$B,2,0),Y58,1),"")</f>
        <v>P</v>
      </c>
      <c r="Y58" s="3">
        <v>109</v>
      </c>
      <c r="Z58" s="3" t="str">
        <f>IFERROR(MID(VLOOKUP($B58,Seqs!$A:$B,2,0),AA58,1),"")</f>
        <v>V</v>
      </c>
      <c r="AA58" s="3">
        <v>116</v>
      </c>
      <c r="AB58" s="3" t="str">
        <f>IFERROR(MID(VLOOKUP($B58,Seqs!$A:$B,2,0),AC58,1),"")</f>
        <v>T</v>
      </c>
      <c r="AC58" s="3">
        <v>117</v>
      </c>
      <c r="AD58" s="3" t="str">
        <f>IFERROR(MID(VLOOKUP($B58,Seqs!$A:$B,2,0),AE58,1),"")</f>
        <v>G</v>
      </c>
      <c r="AE58" s="3">
        <v>142</v>
      </c>
      <c r="AF58" s="3" t="str">
        <f>IFERROR(MID(VLOOKUP($B58,Seqs!$A:$B,2,0),AG58,1),"")</f>
        <v>C</v>
      </c>
      <c r="AG58" s="3">
        <v>166</v>
      </c>
      <c r="AH58" s="3" t="str">
        <f>IFERROR(MID(VLOOKUP($B58,Seqs!$A:$B,2,0),AI58,1),"")</f>
        <v>F</v>
      </c>
      <c r="AI58" s="3">
        <v>168</v>
      </c>
      <c r="AJ58" s="3" t="str">
        <f>IFERROR(MID(VLOOKUP($B58,Seqs!$A:$B,2,0),AK58,1),"")</f>
        <v>P</v>
      </c>
      <c r="AK58" s="3">
        <v>173</v>
      </c>
      <c r="AL58" s="3" t="str">
        <f>IFERROR(MID(VLOOKUP($B58,Seqs!$A:$B,2,0),AM58,1),"")</f>
        <v>L</v>
      </c>
      <c r="AM58" s="3">
        <v>208</v>
      </c>
      <c r="AN58" s="3" t="str">
        <f>IFERROR(MID(VLOOKUP($B58,Seqs!$A:$B,2,0),AO58,1),"")</f>
        <v>E</v>
      </c>
      <c r="AO58" s="3">
        <v>219</v>
      </c>
      <c r="AP58" s="3" t="str">
        <f>IFERROR(MID(VLOOKUP($B58,Seqs!$A:$B,2,0),AQ58,1),"")</f>
        <v>C</v>
      </c>
      <c r="AQ58" s="3">
        <v>259</v>
      </c>
      <c r="AR58" s="3" t="str">
        <f>IFERROR(MID(VLOOKUP($B58,Seqs!$A:$B,2,0),AS58,1),"")</f>
        <v>P</v>
      </c>
      <c r="AS58" s="3">
        <v>266</v>
      </c>
      <c r="AT58" s="3" t="str">
        <f>IFERROR(MID(VLOOKUP($B58,Seqs!$A:$B,2,0),AU58,1),"")</f>
        <v>R</v>
      </c>
      <c r="AU58" s="3">
        <v>291</v>
      </c>
      <c r="AV58" s="3" t="str">
        <f>IFERROR(MID(VLOOKUP($B58,Seqs!$A:$B,2,0),AW58,1),"")</f>
        <v>I</v>
      </c>
      <c r="AW58" s="3">
        <v>292</v>
      </c>
      <c r="AX58" s="3" t="str">
        <f>IFERROR(MID(VLOOKUP($B58,Seqs!$A:$B,2,0),AY58,1),"")</f>
        <v>S</v>
      </c>
      <c r="AY58" s="3">
        <v>305</v>
      </c>
      <c r="AZ58" s="77" t="str">
        <f>VLOOKUP(B58,Classification!A:D,2,0)</f>
        <v>A</v>
      </c>
      <c r="BA58" s="94" t="str">
        <f>VLOOKUP(B58,Classification!A:D,4,0)</f>
        <v>Adenosine</v>
      </c>
      <c r="BB58" s="27" t="b">
        <f t="shared" si="252"/>
        <v>1</v>
      </c>
      <c r="BC58" s="23">
        <f t="shared" si="253"/>
        <v>262</v>
      </c>
      <c r="BD58" s="5" t="s">
        <v>23</v>
      </c>
      <c r="BE58" s="3" t="s">
        <v>1375</v>
      </c>
      <c r="BF58" s="119">
        <v>1.87</v>
      </c>
      <c r="BG58" s="49" t="s">
        <v>1</v>
      </c>
      <c r="BH58" s="49" t="s">
        <v>1</v>
      </c>
      <c r="BI58" s="1"/>
      <c r="BJ58" s="70" t="s">
        <v>1288</v>
      </c>
      <c r="BK58" s="57" t="s">
        <v>1288</v>
      </c>
      <c r="BL58" s="57" t="s">
        <v>1288</v>
      </c>
      <c r="BM58" s="57" t="s">
        <v>1288</v>
      </c>
      <c r="BN58" s="57" t="s">
        <v>1288</v>
      </c>
      <c r="BO58" s="57" t="s">
        <v>1288</v>
      </c>
      <c r="BP58" s="57" t="s">
        <v>1288</v>
      </c>
      <c r="BQ58" s="57" t="s">
        <v>1288</v>
      </c>
      <c r="BR58" s="57" t="s">
        <v>1288</v>
      </c>
      <c r="BS58" s="57" t="s">
        <v>1288</v>
      </c>
      <c r="BT58" s="57" t="s">
        <v>1288</v>
      </c>
      <c r="BU58" s="57" t="s">
        <v>1288</v>
      </c>
      <c r="BV58" s="70">
        <f t="shared" si="254"/>
        <v>1</v>
      </c>
      <c r="BW58" s="71">
        <f t="shared" si="255"/>
        <v>35</v>
      </c>
      <c r="BX58" s="72">
        <f t="shared" si="256"/>
        <v>39</v>
      </c>
      <c r="BY58" s="71">
        <f t="shared" si="257"/>
        <v>70</v>
      </c>
      <c r="BZ58" s="72">
        <f t="shared" si="258"/>
        <v>73</v>
      </c>
      <c r="CA58" s="71">
        <f t="shared" si="259"/>
        <v>109</v>
      </c>
      <c r="CB58" s="72">
        <f t="shared" si="260"/>
        <v>117</v>
      </c>
      <c r="CC58" s="71">
        <f t="shared" si="261"/>
        <v>166</v>
      </c>
      <c r="CD58" s="72">
        <f t="shared" si="262"/>
        <v>173</v>
      </c>
      <c r="CE58" s="71">
        <f t="shared" si="263"/>
        <v>219</v>
      </c>
      <c r="CF58" s="72">
        <f t="shared" si="264"/>
        <v>266</v>
      </c>
      <c r="CG58" s="71">
        <f t="shared" si="265"/>
        <v>292</v>
      </c>
      <c r="CH58" s="70">
        <f t="shared" si="266"/>
        <v>34</v>
      </c>
      <c r="CI58" s="71">
        <f t="shared" si="267"/>
        <v>38</v>
      </c>
      <c r="CJ58" s="72">
        <f t="shared" si="268"/>
        <v>69</v>
      </c>
      <c r="CK58" s="72">
        <f t="shared" si="269"/>
        <v>72</v>
      </c>
      <c r="CL58" s="72">
        <f t="shared" si="270"/>
        <v>108</v>
      </c>
      <c r="CM58" s="72">
        <f t="shared" si="271"/>
        <v>116</v>
      </c>
      <c r="CN58" s="72">
        <f t="shared" si="272"/>
        <v>142</v>
      </c>
      <c r="CO58" s="72">
        <f t="shared" si="273"/>
        <v>168</v>
      </c>
      <c r="CP58" s="72">
        <f t="shared" si="274"/>
        <v>208</v>
      </c>
      <c r="CQ58" s="72">
        <f t="shared" si="275"/>
        <v>259</v>
      </c>
      <c r="CR58" s="72">
        <f t="shared" si="276"/>
        <v>291</v>
      </c>
      <c r="CS58" s="72">
        <f t="shared" si="277"/>
        <v>305</v>
      </c>
      <c r="CT58" s="23">
        <f t="shared" si="278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251"/>
        <v>aa2ar_human_5OLH</v>
      </c>
      <c r="B59" s="3" t="s">
        <v>139</v>
      </c>
      <c r="C59" s="3" t="s">
        <v>1456</v>
      </c>
      <c r="D59" s="3" t="str">
        <f>IFERROR(MID(VLOOKUP($B59,Seqs!$A:$B,2,0),E59,1),"")</f>
        <v>M</v>
      </c>
      <c r="E59" s="3">
        <v>1</v>
      </c>
      <c r="F59" s="3" t="str">
        <f>IFERROR(MID(VLOOKUP($B59,Seqs!$A:$B,2,0),G59,1),"")</f>
        <v>N</v>
      </c>
      <c r="G59" s="3">
        <v>34</v>
      </c>
      <c r="H59" s="3" t="str">
        <f>IFERROR(MID(VLOOKUP($B59,Seqs!$A:$B,2,0),I59,1),"")</f>
        <v>S</v>
      </c>
      <c r="I59" s="23">
        <v>35</v>
      </c>
      <c r="J59" s="3" t="str">
        <f>IFERROR(MID(VLOOKUP($B59,Seqs!$A:$B,2,0),K59,1),"")</f>
        <v>Q</v>
      </c>
      <c r="K59" s="23">
        <v>38</v>
      </c>
      <c r="L59" s="3" t="str">
        <f>IFERROR(MID(VLOOKUP($B59,Seqs!$A:$B,2,0),M59,1),"")</f>
        <v>N</v>
      </c>
      <c r="M59" s="3">
        <v>39</v>
      </c>
      <c r="N59" s="3" t="str">
        <f>IFERROR(MID(VLOOKUP($B59,Seqs!$A:$B,2,0),O59,1),"")</f>
        <v>G</v>
      </c>
      <c r="O59" s="3">
        <v>69</v>
      </c>
      <c r="P59" s="3" t="str">
        <f>IFERROR(MID(VLOOKUP($B59,Seqs!$A:$B,2,0),Q59,1),"")</f>
        <v>F</v>
      </c>
      <c r="Q59" s="3">
        <v>70</v>
      </c>
      <c r="R59" s="3" t="str">
        <f>IFERROR(MID(VLOOKUP($B59,Seqs!$A:$B,2,0),S59,1),"")</f>
        <v>A</v>
      </c>
      <c r="S59" s="3">
        <v>72</v>
      </c>
      <c r="T59" s="3" t="str">
        <f>IFERROR(MID(VLOOKUP($B59,Seqs!$A:$B,2,0),U59,1),"")</f>
        <v>A</v>
      </c>
      <c r="U59" s="3">
        <v>73</v>
      </c>
      <c r="V59" s="3" t="str">
        <f>IFERROR(MID(VLOOKUP($B59,Seqs!$A:$B,2,0),W59,1),"")</f>
        <v>I</v>
      </c>
      <c r="W59" s="3">
        <v>108</v>
      </c>
      <c r="X59" s="3" t="str">
        <f>IFERROR(MID(VLOOKUP($B59,Seqs!$A:$B,2,0),Y59,1),"")</f>
        <v>P</v>
      </c>
      <c r="Y59" s="3">
        <v>109</v>
      </c>
      <c r="Z59" s="3" t="str">
        <f>IFERROR(MID(VLOOKUP($B59,Seqs!$A:$B,2,0),AA59,1),"")</f>
        <v>V</v>
      </c>
      <c r="AA59" s="3">
        <v>116</v>
      </c>
      <c r="AB59" s="3" t="str">
        <f>IFERROR(MID(VLOOKUP($B59,Seqs!$A:$B,2,0),AC59,1),"")</f>
        <v>T</v>
      </c>
      <c r="AC59" s="3">
        <v>117</v>
      </c>
      <c r="AD59" s="3" t="str">
        <f>IFERROR(MID(VLOOKUP($B59,Seqs!$A:$B,2,0),AE59,1),"")</f>
        <v>G</v>
      </c>
      <c r="AE59" s="3">
        <v>142</v>
      </c>
      <c r="AF59" s="3" t="str">
        <f>IFERROR(MID(VLOOKUP($B59,Seqs!$A:$B,2,0),AG59,1),"")</f>
        <v>C</v>
      </c>
      <c r="AG59" s="3">
        <v>166</v>
      </c>
      <c r="AH59" s="3" t="str">
        <f>IFERROR(MID(VLOOKUP($B59,Seqs!$A:$B,2,0),AI59,1),"")</f>
        <v>F</v>
      </c>
      <c r="AI59" s="3">
        <v>168</v>
      </c>
      <c r="AJ59" s="3" t="str">
        <f>IFERROR(MID(VLOOKUP($B59,Seqs!$A:$B,2,0),AK59,1),"")</f>
        <v>P</v>
      </c>
      <c r="AK59" s="3">
        <v>173</v>
      </c>
      <c r="AL59" s="3" t="str">
        <f>IFERROR(MID(VLOOKUP($B59,Seqs!$A:$B,2,0),AM59,1),"")</f>
        <v>L</v>
      </c>
      <c r="AM59" s="3">
        <v>208</v>
      </c>
      <c r="AN59" s="3" t="str">
        <f>IFERROR(MID(VLOOKUP($B59,Seqs!$A:$B,2,0),AO59,1),"")</f>
        <v>E</v>
      </c>
      <c r="AO59" s="3">
        <v>219</v>
      </c>
      <c r="AP59" s="3" t="str">
        <f>IFERROR(MID(VLOOKUP($B59,Seqs!$A:$B,2,0),AQ59,1),"")</f>
        <v>C</v>
      </c>
      <c r="AQ59" s="3">
        <v>259</v>
      </c>
      <c r="AR59" s="3" t="str">
        <f>IFERROR(MID(VLOOKUP($B59,Seqs!$A:$B,2,0),AS59,1),"")</f>
        <v>P</v>
      </c>
      <c r="AS59" s="3">
        <v>266</v>
      </c>
      <c r="AT59" s="3" t="str">
        <f>IFERROR(MID(VLOOKUP($B59,Seqs!$A:$B,2,0),AU59,1),"")</f>
        <v>R</v>
      </c>
      <c r="AU59" s="3">
        <v>291</v>
      </c>
      <c r="AV59" s="3" t="str">
        <f>IFERROR(MID(VLOOKUP($B59,Seqs!$A:$B,2,0),AW59,1),"")</f>
        <v>I</v>
      </c>
      <c r="AW59" s="3">
        <v>292</v>
      </c>
      <c r="AX59" s="3" t="str">
        <f>IFERROR(MID(VLOOKUP($B59,Seqs!$A:$B,2,0),AY59,1),"")</f>
        <v>S</v>
      </c>
      <c r="AY59" s="3">
        <v>305</v>
      </c>
      <c r="AZ59" s="77" t="str">
        <f>VLOOKUP(B59,Classification!A:D,2,0)</f>
        <v>A</v>
      </c>
      <c r="BA59" s="94" t="str">
        <f>VLOOKUP(B59,Classification!A:D,4,0)</f>
        <v>Adenosine</v>
      </c>
      <c r="BB59" s="27" t="b">
        <f t="shared" si="252"/>
        <v>1</v>
      </c>
      <c r="BC59" s="23">
        <f t="shared" si="253"/>
        <v>262</v>
      </c>
      <c r="BD59" s="5" t="s">
        <v>23</v>
      </c>
      <c r="BE59" s="3" t="s">
        <v>1375</v>
      </c>
      <c r="BF59" s="119">
        <v>2.6</v>
      </c>
      <c r="BG59" s="49" t="s">
        <v>1</v>
      </c>
      <c r="BH59" s="49" t="s">
        <v>1</v>
      </c>
      <c r="BI59" s="1"/>
      <c r="BJ59" s="70" t="s">
        <v>1288</v>
      </c>
      <c r="BK59" s="57" t="s">
        <v>1288</v>
      </c>
      <c r="BL59" s="57" t="s">
        <v>1288</v>
      </c>
      <c r="BM59" s="57" t="s">
        <v>1288</v>
      </c>
      <c r="BN59" s="57" t="s">
        <v>1288</v>
      </c>
      <c r="BO59" s="57" t="s">
        <v>1288</v>
      </c>
      <c r="BP59" s="57" t="s">
        <v>1288</v>
      </c>
      <c r="BQ59" s="57" t="s">
        <v>1288</v>
      </c>
      <c r="BR59" s="57" t="s">
        <v>1288</v>
      </c>
      <c r="BS59" s="57" t="s">
        <v>1288</v>
      </c>
      <c r="BT59" s="57" t="s">
        <v>1288</v>
      </c>
      <c r="BU59" s="57" t="s">
        <v>1288</v>
      </c>
      <c r="BV59" s="70">
        <f t="shared" si="254"/>
        <v>1</v>
      </c>
      <c r="BW59" s="71">
        <f t="shared" si="255"/>
        <v>35</v>
      </c>
      <c r="BX59" s="72">
        <f t="shared" si="256"/>
        <v>39</v>
      </c>
      <c r="BY59" s="71">
        <f t="shared" si="257"/>
        <v>70</v>
      </c>
      <c r="BZ59" s="72">
        <f t="shared" si="258"/>
        <v>73</v>
      </c>
      <c r="CA59" s="71">
        <f t="shared" si="259"/>
        <v>109</v>
      </c>
      <c r="CB59" s="72">
        <f t="shared" si="260"/>
        <v>117</v>
      </c>
      <c r="CC59" s="71">
        <f t="shared" si="261"/>
        <v>166</v>
      </c>
      <c r="CD59" s="72">
        <f t="shared" si="262"/>
        <v>173</v>
      </c>
      <c r="CE59" s="71">
        <f t="shared" si="263"/>
        <v>219</v>
      </c>
      <c r="CF59" s="72">
        <f t="shared" si="264"/>
        <v>266</v>
      </c>
      <c r="CG59" s="71">
        <f t="shared" si="265"/>
        <v>292</v>
      </c>
      <c r="CH59" s="70">
        <f t="shared" si="266"/>
        <v>34</v>
      </c>
      <c r="CI59" s="71">
        <f t="shared" si="267"/>
        <v>38</v>
      </c>
      <c r="CJ59" s="72">
        <f t="shared" si="268"/>
        <v>69</v>
      </c>
      <c r="CK59" s="72">
        <f t="shared" si="269"/>
        <v>72</v>
      </c>
      <c r="CL59" s="72">
        <f t="shared" si="270"/>
        <v>108</v>
      </c>
      <c r="CM59" s="72">
        <f t="shared" si="271"/>
        <v>116</v>
      </c>
      <c r="CN59" s="72">
        <f t="shared" si="272"/>
        <v>142</v>
      </c>
      <c r="CO59" s="72">
        <f t="shared" si="273"/>
        <v>168</v>
      </c>
      <c r="CP59" s="72">
        <f t="shared" si="274"/>
        <v>208</v>
      </c>
      <c r="CQ59" s="72">
        <f t="shared" si="275"/>
        <v>259</v>
      </c>
      <c r="CR59" s="72">
        <f t="shared" si="276"/>
        <v>291</v>
      </c>
      <c r="CS59" s="72">
        <f t="shared" si="277"/>
        <v>305</v>
      </c>
      <c r="CT59" s="23">
        <f t="shared" si="278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251"/>
        <v>aa2ar_human_5OLO</v>
      </c>
      <c r="B60" s="3" t="s">
        <v>139</v>
      </c>
      <c r="C60" s="3" t="s">
        <v>1457</v>
      </c>
      <c r="D60" s="3" t="str">
        <f>IFERROR(MID(VLOOKUP($B60,Seqs!$A:$B,2,0),E60,1),"")</f>
        <v>M</v>
      </c>
      <c r="E60" s="3">
        <v>1</v>
      </c>
      <c r="F60" s="3" t="str">
        <f>IFERROR(MID(VLOOKUP($B60,Seqs!$A:$B,2,0),G60,1),"")</f>
        <v>N</v>
      </c>
      <c r="G60" s="3">
        <v>34</v>
      </c>
      <c r="H60" s="3" t="str">
        <f>IFERROR(MID(VLOOKUP($B60,Seqs!$A:$B,2,0),I60,1),"")</f>
        <v>S</v>
      </c>
      <c r="I60" s="23">
        <v>35</v>
      </c>
      <c r="J60" s="3" t="str">
        <f>IFERROR(MID(VLOOKUP($B60,Seqs!$A:$B,2,0),K60,1),"")</f>
        <v>Q</v>
      </c>
      <c r="K60" s="23">
        <v>38</v>
      </c>
      <c r="L60" s="3" t="str">
        <f>IFERROR(MID(VLOOKUP($B60,Seqs!$A:$B,2,0),M60,1),"")</f>
        <v>N</v>
      </c>
      <c r="M60" s="3">
        <v>39</v>
      </c>
      <c r="N60" s="3" t="str">
        <f>IFERROR(MID(VLOOKUP($B60,Seqs!$A:$B,2,0),O60,1),"")</f>
        <v>G</v>
      </c>
      <c r="O60" s="3">
        <v>69</v>
      </c>
      <c r="P60" s="3" t="str">
        <f>IFERROR(MID(VLOOKUP($B60,Seqs!$A:$B,2,0),Q60,1),"")</f>
        <v>F</v>
      </c>
      <c r="Q60" s="3">
        <v>70</v>
      </c>
      <c r="R60" s="3" t="str">
        <f>IFERROR(MID(VLOOKUP($B60,Seqs!$A:$B,2,0),S60,1),"")</f>
        <v>A</v>
      </c>
      <c r="S60" s="3">
        <v>72</v>
      </c>
      <c r="T60" s="3" t="str">
        <f>IFERROR(MID(VLOOKUP($B60,Seqs!$A:$B,2,0),U60,1),"")</f>
        <v>A</v>
      </c>
      <c r="U60" s="3">
        <v>73</v>
      </c>
      <c r="V60" s="3" t="str">
        <f>IFERROR(MID(VLOOKUP($B60,Seqs!$A:$B,2,0),W60,1),"")</f>
        <v>I</v>
      </c>
      <c r="W60" s="3">
        <v>108</v>
      </c>
      <c r="X60" s="3" t="str">
        <f>IFERROR(MID(VLOOKUP($B60,Seqs!$A:$B,2,0),Y60,1),"")</f>
        <v>P</v>
      </c>
      <c r="Y60" s="3">
        <v>109</v>
      </c>
      <c r="Z60" s="3" t="str">
        <f>IFERROR(MID(VLOOKUP($B60,Seqs!$A:$B,2,0),AA60,1),"")</f>
        <v>V</v>
      </c>
      <c r="AA60" s="3">
        <v>116</v>
      </c>
      <c r="AB60" s="3" t="str">
        <f>IFERROR(MID(VLOOKUP($B60,Seqs!$A:$B,2,0),AC60,1),"")</f>
        <v>T</v>
      </c>
      <c r="AC60" s="3">
        <v>117</v>
      </c>
      <c r="AD60" s="3" t="str">
        <f>IFERROR(MID(VLOOKUP($B60,Seqs!$A:$B,2,0),AE60,1),"")</f>
        <v>G</v>
      </c>
      <c r="AE60" s="3">
        <v>142</v>
      </c>
      <c r="AF60" s="3" t="str">
        <f>IFERROR(MID(VLOOKUP($B60,Seqs!$A:$B,2,0),AG60,1),"")</f>
        <v>C</v>
      </c>
      <c r="AG60" s="3">
        <v>166</v>
      </c>
      <c r="AH60" s="3" t="str">
        <f>IFERROR(MID(VLOOKUP($B60,Seqs!$A:$B,2,0),AI60,1),"")</f>
        <v>F</v>
      </c>
      <c r="AI60" s="3">
        <v>168</v>
      </c>
      <c r="AJ60" s="3" t="str">
        <f>IFERROR(MID(VLOOKUP($B60,Seqs!$A:$B,2,0),AK60,1),"")</f>
        <v>P</v>
      </c>
      <c r="AK60" s="3">
        <v>173</v>
      </c>
      <c r="AL60" s="3" t="str">
        <f>IFERROR(MID(VLOOKUP($B60,Seqs!$A:$B,2,0),AM60,1),"")</f>
        <v>L</v>
      </c>
      <c r="AM60" s="3">
        <v>208</v>
      </c>
      <c r="AN60" s="3" t="str">
        <f>IFERROR(MID(VLOOKUP($B60,Seqs!$A:$B,2,0),AO60,1),"")</f>
        <v>E</v>
      </c>
      <c r="AO60" s="3">
        <v>219</v>
      </c>
      <c r="AP60" s="3" t="str">
        <f>IFERROR(MID(VLOOKUP($B60,Seqs!$A:$B,2,0),AQ60,1),"")</f>
        <v>C</v>
      </c>
      <c r="AQ60" s="3">
        <v>259</v>
      </c>
      <c r="AR60" s="3" t="str">
        <f>IFERROR(MID(VLOOKUP($B60,Seqs!$A:$B,2,0),AS60,1),"")</f>
        <v>P</v>
      </c>
      <c r="AS60" s="3">
        <v>266</v>
      </c>
      <c r="AT60" s="3" t="str">
        <f>IFERROR(MID(VLOOKUP($B60,Seqs!$A:$B,2,0),AU60,1),"")</f>
        <v>R</v>
      </c>
      <c r="AU60" s="3">
        <v>291</v>
      </c>
      <c r="AV60" s="3" t="str">
        <f>IFERROR(MID(VLOOKUP($B60,Seqs!$A:$B,2,0),AW60,1),"")</f>
        <v>I</v>
      </c>
      <c r="AW60" s="3">
        <v>292</v>
      </c>
      <c r="AX60" s="3" t="str">
        <f>IFERROR(MID(VLOOKUP($B60,Seqs!$A:$B,2,0),AY60,1),"")</f>
        <v>S</v>
      </c>
      <c r="AY60" s="3">
        <v>305</v>
      </c>
      <c r="AZ60" s="77" t="str">
        <f>VLOOKUP(B60,Classification!A:D,2,0)</f>
        <v>A</v>
      </c>
      <c r="BA60" s="94" t="str">
        <f>VLOOKUP(B60,Classification!A:D,4,0)</f>
        <v>Adenosine</v>
      </c>
      <c r="BB60" s="27" t="b">
        <f t="shared" si="252"/>
        <v>1</v>
      </c>
      <c r="BC60" s="23">
        <f t="shared" si="253"/>
        <v>262</v>
      </c>
      <c r="BD60" s="5" t="s">
        <v>23</v>
      </c>
      <c r="BE60" s="3" t="s">
        <v>1375</v>
      </c>
      <c r="BF60" s="119">
        <v>3.1</v>
      </c>
      <c r="BG60" s="49" t="s">
        <v>1</v>
      </c>
      <c r="BH60" s="49" t="s">
        <v>1</v>
      </c>
      <c r="BI60" s="1"/>
      <c r="BJ60" s="70" t="s">
        <v>1288</v>
      </c>
      <c r="BK60" s="57" t="s">
        <v>1288</v>
      </c>
      <c r="BL60" s="57" t="s">
        <v>1288</v>
      </c>
      <c r="BM60" s="57" t="s">
        <v>1288</v>
      </c>
      <c r="BN60" s="57" t="s">
        <v>1288</v>
      </c>
      <c r="BO60" s="57" t="s">
        <v>1288</v>
      </c>
      <c r="BP60" s="57" t="s">
        <v>1288</v>
      </c>
      <c r="BQ60" s="57" t="s">
        <v>1288</v>
      </c>
      <c r="BR60" s="57" t="s">
        <v>1288</v>
      </c>
      <c r="BS60" s="57" t="s">
        <v>1288</v>
      </c>
      <c r="BT60" s="57" t="s">
        <v>1288</v>
      </c>
      <c r="BU60" s="57" t="s">
        <v>1288</v>
      </c>
      <c r="BV60" s="70">
        <f t="shared" si="254"/>
        <v>1</v>
      </c>
      <c r="BW60" s="71">
        <f t="shared" si="255"/>
        <v>35</v>
      </c>
      <c r="BX60" s="72">
        <f t="shared" si="256"/>
        <v>39</v>
      </c>
      <c r="BY60" s="71">
        <f t="shared" si="257"/>
        <v>70</v>
      </c>
      <c r="BZ60" s="72">
        <f t="shared" si="258"/>
        <v>73</v>
      </c>
      <c r="CA60" s="71">
        <f t="shared" si="259"/>
        <v>109</v>
      </c>
      <c r="CB60" s="72">
        <f t="shared" si="260"/>
        <v>117</v>
      </c>
      <c r="CC60" s="71">
        <f t="shared" si="261"/>
        <v>166</v>
      </c>
      <c r="CD60" s="72">
        <f t="shared" si="262"/>
        <v>173</v>
      </c>
      <c r="CE60" s="71">
        <f t="shared" si="263"/>
        <v>219</v>
      </c>
      <c r="CF60" s="72">
        <f t="shared" si="264"/>
        <v>266</v>
      </c>
      <c r="CG60" s="71">
        <f t="shared" si="265"/>
        <v>292</v>
      </c>
      <c r="CH60" s="70">
        <f t="shared" si="266"/>
        <v>34</v>
      </c>
      <c r="CI60" s="71">
        <f t="shared" si="267"/>
        <v>38</v>
      </c>
      <c r="CJ60" s="72">
        <f t="shared" si="268"/>
        <v>69</v>
      </c>
      <c r="CK60" s="72">
        <f t="shared" si="269"/>
        <v>72</v>
      </c>
      <c r="CL60" s="72">
        <f t="shared" si="270"/>
        <v>108</v>
      </c>
      <c r="CM60" s="72">
        <f t="shared" si="271"/>
        <v>116</v>
      </c>
      <c r="CN60" s="72">
        <f t="shared" si="272"/>
        <v>142</v>
      </c>
      <c r="CO60" s="72">
        <f t="shared" si="273"/>
        <v>168</v>
      </c>
      <c r="CP60" s="72">
        <f t="shared" si="274"/>
        <v>208</v>
      </c>
      <c r="CQ60" s="72">
        <f t="shared" si="275"/>
        <v>259</v>
      </c>
      <c r="CR60" s="72">
        <f t="shared" si="276"/>
        <v>291</v>
      </c>
      <c r="CS60" s="72">
        <f t="shared" si="277"/>
        <v>305</v>
      </c>
      <c r="CT60" s="23">
        <f t="shared" si="278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251"/>
        <v>aa2ar_human_5OLV</v>
      </c>
      <c r="B61" s="3" t="s">
        <v>139</v>
      </c>
      <c r="C61" s="3" t="s">
        <v>1458</v>
      </c>
      <c r="D61" s="3" t="str">
        <f>IFERROR(MID(VLOOKUP($B61,Seqs!$A:$B,2,0),E61,1),"")</f>
        <v>M</v>
      </c>
      <c r="E61" s="3">
        <v>1</v>
      </c>
      <c r="F61" s="3" t="str">
        <f>IFERROR(MID(VLOOKUP($B61,Seqs!$A:$B,2,0),G61,1),"")</f>
        <v>N</v>
      </c>
      <c r="G61" s="3">
        <v>34</v>
      </c>
      <c r="H61" s="3" t="str">
        <f>IFERROR(MID(VLOOKUP($B61,Seqs!$A:$B,2,0),I61,1),"")</f>
        <v>S</v>
      </c>
      <c r="I61" s="23">
        <v>35</v>
      </c>
      <c r="J61" s="3" t="str">
        <f>IFERROR(MID(VLOOKUP($B61,Seqs!$A:$B,2,0),K61,1),"")</f>
        <v>Q</v>
      </c>
      <c r="K61" s="23">
        <v>38</v>
      </c>
      <c r="L61" s="3" t="str">
        <f>IFERROR(MID(VLOOKUP($B61,Seqs!$A:$B,2,0),M61,1),"")</f>
        <v>N</v>
      </c>
      <c r="M61" s="3">
        <v>39</v>
      </c>
      <c r="N61" s="3" t="str">
        <f>IFERROR(MID(VLOOKUP($B61,Seqs!$A:$B,2,0),O61,1),"")</f>
        <v>G</v>
      </c>
      <c r="O61" s="3">
        <v>69</v>
      </c>
      <c r="P61" s="3" t="str">
    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r="S61" s="3">
        <v>72</v>
      </c>
      <c r="T61" s="3" t="str">
        <f>IFERROR(MID(VLOOKUP($B61,Seqs!$A:$B,2,0),U61,1),"")</f>
        <v>A</v>
      </c>
      <c r="U61" s="3">
        <v>73</v>
      </c>
      <c r="V61" s="3" t="str">
        <f>IFERROR(MID(VLOOKUP($B61,Seqs!$A:$B,2,0),W61,1),"")</f>
        <v>I</v>
      </c>
      <c r="W61" s="3">
        <v>108</v>
      </c>
      <c r="X61" s="3" t="str">
        <f>IFERROR(MID(VLOOKUP($B61,Seqs!$A:$B,2,0),Y61,1),"")</f>
        <v>P</v>
      </c>
      <c r="Y61" s="3">
        <v>109</v>
      </c>
      <c r="Z61" s="3" t="str">
        <f>IFERROR(MID(VLOOKUP($B61,Seqs!$A:$B,2,0),AA61,1),"")</f>
        <v>V</v>
      </c>
      <c r="AA61" s="3">
        <v>116</v>
      </c>
      <c r="AB61" s="3" t="str">
        <f>IFERROR(MID(VLOOKUP($B61,Seqs!$A:$B,2,0),AC61,1),"")</f>
        <v>T</v>
      </c>
      <c r="AC61" s="3">
        <v>117</v>
      </c>
      <c r="AD61" s="3" t="str">
        <f>IFERROR(MID(VLOOKUP($B61,Seqs!$A:$B,2,0),AE61,1),"")</f>
        <v>G</v>
      </c>
      <c r="AE61" s="3">
        <v>142</v>
      </c>
      <c r="AF61" s="3" t="str">
        <f>IFERROR(MID(VLOOKUP($B61,Seqs!$A:$B,2,0),AG61,1),"")</f>
        <v>C</v>
      </c>
      <c r="AG61" s="3">
        <v>166</v>
      </c>
      <c r="AH61" s="3" t="str">
        <f>IFERROR(MID(VLOOKUP($B61,Seqs!$A:$B,2,0),AI61,1),"")</f>
        <v>F</v>
      </c>
      <c r="AI61" s="3">
        <v>168</v>
      </c>
      <c r="AJ61" s="3" t="str">
        <f>IFERROR(MID(VLOOKUP($B61,Seqs!$A:$B,2,0),AK61,1),"")</f>
        <v>P</v>
      </c>
      <c r="AK61" s="3">
        <v>173</v>
      </c>
      <c r="AL61" s="3" t="str">
        <f>IFERROR(MID(VLOOKUP($B61,Seqs!$A:$B,2,0),AM61,1),"")</f>
        <v>L</v>
      </c>
      <c r="AM61" s="3">
        <v>208</v>
      </c>
      <c r="AN61" s="3" t="str">
        <f>IFERROR(MID(VLOOKUP($B61,Seqs!$A:$B,2,0),AO61,1),"")</f>
        <v>E</v>
      </c>
      <c r="AO61" s="3">
        <v>219</v>
      </c>
      <c r="AP61" s="3" t="str">
        <f>IFERROR(MID(VLOOKUP($B61,Seqs!$A:$B,2,0),AQ61,1),"")</f>
        <v>C</v>
      </c>
      <c r="AQ61" s="3">
        <v>259</v>
      </c>
      <c r="AR61" s="3" t="str">
        <f>IFERROR(MID(VLOOKUP($B61,Seqs!$A:$B,2,0),AS61,1),"")</f>
        <v>P</v>
      </c>
      <c r="AS61" s="3">
        <v>266</v>
      </c>
      <c r="AT61" s="3" t="str">
        <f>IFERROR(MID(VLOOKUP($B61,Seqs!$A:$B,2,0),AU61,1),"")</f>
        <v>R</v>
      </c>
      <c r="AU61" s="3">
        <v>291</v>
      </c>
      <c r="AV61" s="3" t="str">
        <f>IFERROR(MID(VLOOKUP($B61,Seqs!$A:$B,2,0),AW61,1),"")</f>
        <v>I</v>
      </c>
      <c r="AW61" s="3">
        <v>292</v>
      </c>
      <c r="AX61" s="3" t="str">
        <f>IFERROR(MID(VLOOKUP($B61,Seqs!$A:$B,2,0),AY61,1),"")</f>
        <v>S</v>
      </c>
      <c r="AY61" s="3">
        <v>305</v>
      </c>
      <c r="AZ61" s="77" t="str">
        <f>VLOOKUP(B61,Classification!A:D,2,0)</f>
        <v>A</v>
      </c>
      <c r="BA61" s="94" t="str">
        <f>VLOOKUP(B61,Classification!A:D,4,0)</f>
        <v>Adenosine</v>
      </c>
      <c r="BB61" s="27" t="b">
        <f t="shared" si="252"/>
        <v>1</v>
      </c>
      <c r="BC61" s="23">
        <f t="shared" si="253"/>
        <v>262</v>
      </c>
      <c r="BD61" s="5" t="s">
        <v>23</v>
      </c>
      <c r="BE61" s="3" t="s">
        <v>1375</v>
      </c>
      <c r="BF61" s="119">
        <v>2</v>
      </c>
      <c r="BG61" s="49" t="s">
        <v>1</v>
      </c>
      <c r="BH61" s="49" t="s">
        <v>1</v>
      </c>
      <c r="BI61" s="1"/>
      <c r="BJ61" s="70" t="s">
        <v>1288</v>
      </c>
      <c r="BK61" s="57" t="s">
        <v>1288</v>
      </c>
      <c r="BL61" s="57" t="s">
        <v>1288</v>
      </c>
      <c r="BM61" s="57" t="s">
        <v>1288</v>
      </c>
      <c r="BN61" s="57" t="s">
        <v>1288</v>
      </c>
      <c r="BO61" s="57" t="s">
        <v>1288</v>
      </c>
      <c r="BP61" s="57" t="s">
        <v>1288</v>
      </c>
      <c r="BQ61" s="57" t="s">
        <v>1288</v>
      </c>
      <c r="BR61" s="57" t="s">
        <v>1288</v>
      </c>
      <c r="BS61" s="57" t="s">
        <v>1288</v>
      </c>
      <c r="BT61" s="57" t="s">
        <v>1288</v>
      </c>
      <c r="BU61" s="57" t="s">
        <v>1288</v>
      </c>
      <c r="BV61" s="70">
        <f t="shared" si="254"/>
        <v>1</v>
      </c>
      <c r="BW61" s="71">
        <f t="shared" si="255"/>
        <v>35</v>
      </c>
      <c r="BX61" s="72">
        <f t="shared" si="256"/>
        <v>39</v>
      </c>
      <c r="BY61" s="71">
        <f t="shared" si="257"/>
        <v>70</v>
      </c>
      <c r="BZ61" s="72">
        <f t="shared" si="258"/>
        <v>73</v>
      </c>
      <c r="CA61" s="71">
        <f t="shared" si="259"/>
        <v>109</v>
      </c>
      <c r="CB61" s="72">
        <f t="shared" si="260"/>
        <v>117</v>
      </c>
      <c r="CC61" s="71">
        <f t="shared" si="261"/>
        <v>166</v>
      </c>
      <c r="CD61" s="72">
        <f t="shared" si="262"/>
        <v>173</v>
      </c>
      <c r="CE61" s="71">
        <f t="shared" si="263"/>
        <v>219</v>
      </c>
      <c r="CF61" s="72">
        <f t="shared" si="264"/>
        <v>266</v>
      </c>
      <c r="CG61" s="71">
        <f t="shared" si="265"/>
        <v>292</v>
      </c>
      <c r="CH61" s="70">
        <f t="shared" si="266"/>
        <v>34</v>
      </c>
      <c r="CI61" s="71">
        <f t="shared" si="267"/>
        <v>38</v>
      </c>
      <c r="CJ61" s="72">
        <f t="shared" si="268"/>
        <v>69</v>
      </c>
      <c r="CK61" s="72">
        <f t="shared" si="269"/>
        <v>72</v>
      </c>
      <c r="CL61" s="72">
        <f t="shared" si="270"/>
        <v>108</v>
      </c>
      <c r="CM61" s="72">
        <f t="shared" si="271"/>
        <v>116</v>
      </c>
      <c r="CN61" s="72">
        <f t="shared" si="272"/>
        <v>142</v>
      </c>
      <c r="CO61" s="72">
        <f t="shared" si="273"/>
        <v>168</v>
      </c>
      <c r="CP61" s="72">
        <f t="shared" si="274"/>
        <v>208</v>
      </c>
      <c r="CQ61" s="72">
        <f t="shared" si="275"/>
        <v>259</v>
      </c>
      <c r="CR61" s="72">
        <f t="shared" si="276"/>
        <v>291</v>
      </c>
      <c r="CS61" s="72">
        <f t="shared" si="277"/>
        <v>305</v>
      </c>
      <c r="CT61" s="23">
        <f t="shared" si="278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251"/>
        <v>aa2ar_human_5OLZ</v>
      </c>
      <c r="B62" s="3" t="s">
        <v>139</v>
      </c>
      <c r="C62" s="3" t="s">
        <v>1459</v>
      </c>
      <c r="D62" s="3" t="str">
        <f>IFERROR(MID(VLOOKUP($B62,Seqs!$A:$B,2,0),E62,1),"")</f>
        <v>M</v>
      </c>
      <c r="E62" s="3">
        <v>1</v>
      </c>
      <c r="F62" s="3" t="str">
        <f>IFERROR(MID(VLOOKUP($B62,Seqs!$A:$B,2,0),G62,1),"")</f>
        <v>N</v>
      </c>
      <c r="G62" s="3">
        <v>34</v>
      </c>
      <c r="H62" s="3" t="str">
        <f>IFERROR(MID(VLOOKUP($B62,Seqs!$A:$B,2,0),I62,1),"")</f>
        <v>S</v>
      </c>
      <c r="I62" s="23">
        <v>35</v>
      </c>
      <c r="J62" s="3" t="str">
        <f>IFERROR(MID(VLOOKUP($B62,Seqs!$A:$B,2,0),K62,1),"")</f>
        <v>Q</v>
      </c>
      <c r="K62" s="23">
        <v>38</v>
      </c>
      <c r="L62" s="3" t="str">
        <f>IFERROR(MID(VLOOKUP($B62,Seqs!$A:$B,2,0),M62,1),"")</f>
        <v>N</v>
      </c>
      <c r="M62" s="3">
        <v>39</v>
      </c>
      <c r="N62" s="3" t="str">
        <f>IFERROR(MID(VLOOKUP($B62,Seqs!$A:$B,2,0),O62,1),"")</f>
        <v>G</v>
      </c>
      <c r="O62" s="3">
        <v>69</v>
      </c>
      <c r="P62" s="3" t="str">
        <f>IFERROR(MID(VLOOKUP($B62,Seqs!$A:$B,2,0),Q62,1),"")</f>
        <v>F</v>
      </c>
      <c r="Q62" s="3">
        <v>70</v>
      </c>
      <c r="R62" s="3" t="str">
        <f>IFERROR(MID(VLOOKUP($B62,Seqs!$A:$B,2,0),S62,1),"")</f>
        <v>A</v>
      </c>
      <c r="S62" s="3">
        <v>72</v>
      </c>
      <c r="T62" s="3" t="str">
        <f>IFERROR(MID(VLOOKUP($B62,Seqs!$A:$B,2,0),U62,1),"")</f>
        <v>A</v>
      </c>
      <c r="U62" s="3">
        <v>73</v>
      </c>
      <c r="V62" s="3" t="str">
        <f>IFERROR(MID(VLOOKUP($B62,Seqs!$A:$B,2,0),W62,1),"")</f>
        <v>I</v>
      </c>
      <c r="W62" s="3">
        <v>108</v>
      </c>
      <c r="X62" s="3" t="str">
        <f>IFERROR(MID(VLOOKUP($B62,Seqs!$A:$B,2,0),Y62,1),"")</f>
        <v>P</v>
      </c>
      <c r="Y62" s="3">
        <v>109</v>
      </c>
      <c r="Z62" s="3" t="str">
        <f>IFERROR(MID(VLOOKUP($B62,Seqs!$A:$B,2,0),AA62,1),"")</f>
        <v>V</v>
      </c>
      <c r="AA62" s="3">
        <v>116</v>
      </c>
      <c r="AB62" s="3" t="str">
        <f>IFERROR(MID(VLOOKUP($B62,Seqs!$A:$B,2,0),AC62,1),"")</f>
        <v>T</v>
      </c>
      <c r="AC62" s="3">
        <v>117</v>
      </c>
      <c r="AD62" s="3" t="str">
        <f>IFERROR(MID(VLOOKUP($B62,Seqs!$A:$B,2,0),AE62,1),"")</f>
        <v>G</v>
      </c>
      <c r="AE62" s="3">
        <v>142</v>
      </c>
      <c r="AF62" s="3" t="str">
        <f>IFERROR(MID(VLOOKUP($B62,Seqs!$A:$B,2,0),AG62,1),"")</f>
        <v>C</v>
      </c>
      <c r="AG62" s="3">
        <v>166</v>
      </c>
      <c r="AH62" s="3" t="str">
        <f>IFERROR(MID(VLOOKUP($B62,Seqs!$A:$B,2,0),AI62,1),"")</f>
        <v>F</v>
      </c>
      <c r="AI62" s="3">
        <v>168</v>
      </c>
      <c r="AJ62" s="3" t="str">
        <f>IFERROR(MID(VLOOKUP($B62,Seqs!$A:$B,2,0),AK62,1),"")</f>
        <v>P</v>
      </c>
      <c r="AK62" s="3">
        <v>173</v>
      </c>
      <c r="AL62" s="3" t="str">
        <f>IFERROR(MID(VLOOKUP($B62,Seqs!$A:$B,2,0),AM62,1),"")</f>
        <v>L</v>
      </c>
      <c r="AM62" s="3">
        <v>208</v>
      </c>
      <c r="AN62" s="3" t="str">
        <f>IFERROR(MID(VLOOKUP($B62,Seqs!$A:$B,2,0),AO62,1),"")</f>
        <v>E</v>
      </c>
      <c r="AO62" s="3">
        <v>219</v>
      </c>
      <c r="AP62" s="3" t="str">
        <f>IFERROR(MID(VLOOKUP($B62,Seqs!$A:$B,2,0),AQ62,1),"")</f>
        <v>C</v>
      </c>
      <c r="AQ62" s="3">
        <v>259</v>
      </c>
      <c r="AR62" s="3" t="str">
        <f>IFERROR(MID(VLOOKUP($B62,Seqs!$A:$B,2,0),AS62,1),"")</f>
        <v>P</v>
      </c>
      <c r="AS62" s="3">
        <v>266</v>
      </c>
      <c r="AT62" s="3" t="str">
        <f>IFERROR(MID(VLOOKUP($B62,Seqs!$A:$B,2,0),AU62,1),"")</f>
        <v>R</v>
      </c>
      <c r="AU62" s="3">
        <v>291</v>
      </c>
      <c r="AV62" s="3" t="str">
        <f>IFERROR(MID(VLOOKUP($B62,Seqs!$A:$B,2,0),AW62,1),"")</f>
        <v>I</v>
      </c>
      <c r="AW62" s="3">
        <v>292</v>
      </c>
      <c r="AX62" s="3" t="str">
        <f>IFERROR(MID(VLOOKUP($B62,Seqs!$A:$B,2,0),AY62,1),"")</f>
        <v>S</v>
      </c>
      <c r="AY62" s="3">
        <v>305</v>
      </c>
      <c r="AZ62" s="77" t="str">
        <f>VLOOKUP(B62,Classification!A:D,2,0)</f>
        <v>A</v>
      </c>
      <c r="BA62" s="94" t="str">
        <f>VLOOKUP(B62,Classification!A:D,4,0)</f>
        <v>Adenosine</v>
      </c>
      <c r="BB62" s="27" t="b">
        <f t="shared" si="252"/>
        <v>1</v>
      </c>
      <c r="BC62" s="23">
        <f t="shared" si="253"/>
        <v>262</v>
      </c>
      <c r="BD62" s="5" t="s">
        <v>23</v>
      </c>
      <c r="BE62" s="3" t="s">
        <v>1375</v>
      </c>
      <c r="BF62" s="119">
        <v>1.9</v>
      </c>
      <c r="BG62" s="49" t="s">
        <v>1</v>
      </c>
      <c r="BH62" s="49" t="s">
        <v>1</v>
      </c>
      <c r="BI62" s="1"/>
      <c r="BJ62" s="70" t="s">
        <v>1288</v>
      </c>
      <c r="BK62" s="57" t="s">
        <v>1288</v>
      </c>
      <c r="BL62" s="57" t="s">
        <v>1288</v>
      </c>
      <c r="BM62" s="57" t="s">
        <v>1288</v>
      </c>
      <c r="BN62" s="57" t="s">
        <v>1288</v>
      </c>
      <c r="BO62" s="57" t="s">
        <v>1288</v>
      </c>
      <c r="BP62" s="57" t="s">
        <v>1288</v>
      </c>
      <c r="BQ62" s="57" t="s">
        <v>1288</v>
      </c>
      <c r="BR62" s="57" t="s">
        <v>1288</v>
      </c>
      <c r="BS62" s="57" t="s">
        <v>1288</v>
      </c>
      <c r="BT62" s="57" t="s">
        <v>1288</v>
      </c>
      <c r="BU62" s="57" t="s">
        <v>1288</v>
      </c>
      <c r="BV62" s="70">
        <f t="shared" si="254"/>
        <v>1</v>
      </c>
      <c r="BW62" s="71">
        <f t="shared" si="255"/>
        <v>35</v>
      </c>
      <c r="BX62" s="72">
        <f t="shared" si="256"/>
        <v>39</v>
      </c>
      <c r="BY62" s="71">
        <f t="shared" si="257"/>
        <v>70</v>
      </c>
      <c r="BZ62" s="72">
        <f t="shared" si="258"/>
        <v>73</v>
      </c>
      <c r="CA62" s="71">
        <f t="shared" si="259"/>
        <v>109</v>
      </c>
      <c r="CB62" s="72">
        <f t="shared" si="260"/>
        <v>117</v>
      </c>
      <c r="CC62" s="71">
        <f t="shared" si="261"/>
        <v>166</v>
      </c>
      <c r="CD62" s="72">
        <f t="shared" si="262"/>
        <v>173</v>
      </c>
      <c r="CE62" s="71">
        <f t="shared" si="263"/>
        <v>219</v>
      </c>
      <c r="CF62" s="72">
        <f t="shared" si="264"/>
        <v>266</v>
      </c>
      <c r="CG62" s="71">
        <f t="shared" si="265"/>
        <v>292</v>
      </c>
      <c r="CH62" s="70">
        <f t="shared" si="266"/>
        <v>34</v>
      </c>
      <c r="CI62" s="71">
        <f t="shared" si="267"/>
        <v>38</v>
      </c>
      <c r="CJ62" s="72">
        <f t="shared" si="268"/>
        <v>69</v>
      </c>
      <c r="CK62" s="72">
        <f t="shared" si="269"/>
        <v>72</v>
      </c>
      <c r="CL62" s="72">
        <f t="shared" si="270"/>
        <v>108</v>
      </c>
      <c r="CM62" s="72">
        <f t="shared" si="271"/>
        <v>116</v>
      </c>
      <c r="CN62" s="72">
        <f t="shared" si="272"/>
        <v>142</v>
      </c>
      <c r="CO62" s="72">
        <f t="shared" si="273"/>
        <v>168</v>
      </c>
      <c r="CP62" s="72">
        <f t="shared" si="274"/>
        <v>208</v>
      </c>
      <c r="CQ62" s="72">
        <f t="shared" si="275"/>
        <v>259</v>
      </c>
      <c r="CR62" s="72">
        <f t="shared" si="276"/>
        <v>291</v>
      </c>
      <c r="CS62" s="72">
        <f t="shared" si="277"/>
        <v>305</v>
      </c>
      <c r="CT62" s="23">
        <f t="shared" si="278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251"/>
        <v>aa2ar_human_5OM1</v>
      </c>
      <c r="B63" s="3" t="s">
        <v>139</v>
      </c>
      <c r="C63" s="3" t="s">
        <v>1460</v>
      </c>
      <c r="D63" s="3" t="str">
        <f>IFERROR(MID(VLOOKUP($B63,Seqs!$A:$B,2,0),E63,1),"")</f>
        <v>M</v>
      </c>
      <c r="E63" s="3">
        <v>1</v>
      </c>
      <c r="F63" s="3" t="str">
        <f>IFERROR(MID(VLOOKUP($B63,Seqs!$A:$B,2,0),G63,1),"")</f>
        <v>N</v>
      </c>
      <c r="G63" s="3">
        <v>34</v>
      </c>
      <c r="H63" s="3" t="str">
        <f>IFERROR(MID(VLOOKUP($B63,Seqs!$A:$B,2,0),I63,1),"")</f>
        <v>S</v>
      </c>
      <c r="I63" s="23">
        <v>35</v>
      </c>
      <c r="J63" s="3" t="str">
        <f>IFERROR(MID(VLOOKUP($B63,Seqs!$A:$B,2,0),K63,1),"")</f>
        <v>Q</v>
      </c>
      <c r="K63" s="23">
        <v>38</v>
      </c>
      <c r="L63" s="3" t="str">
        <f>IFERROR(MID(VLOOKUP($B63,Seqs!$A:$B,2,0),M63,1),"")</f>
        <v>N</v>
      </c>
      <c r="M63" s="3">
        <v>39</v>
      </c>
      <c r="N63" s="3" t="str">
        <f>IFERROR(MID(VLOOKUP($B63,Seqs!$A:$B,2,0),O63,1),"")</f>
        <v>G</v>
      </c>
      <c r="O63" s="3">
        <v>69</v>
      </c>
      <c r="P63" s="3" t="str">
        <f>IFERROR(MID(VLOOKUP($B63,Seqs!$A:$B,2,0),Q63,1),"")</f>
        <v>F</v>
      </c>
      <c r="Q63" s="3">
        <v>70</v>
      </c>
      <c r="R63" s="3" t="str">
        <f>IFERROR(MID(VLOOKUP($B63,Seqs!$A:$B,2,0),S63,1),"")</f>
        <v>A</v>
      </c>
      <c r="S63" s="3">
        <v>72</v>
      </c>
      <c r="T63" s="3" t="str">
        <f>IFERROR(MID(VLOOKUP($B63,Seqs!$A:$B,2,0),U63,1),"")</f>
        <v>A</v>
      </c>
      <c r="U63" s="3">
        <v>73</v>
      </c>
      <c r="V63" s="3" t="str">
        <f>IFERROR(MID(VLOOKUP($B63,Seqs!$A:$B,2,0),W63,1),"")</f>
        <v>I</v>
      </c>
      <c r="W63" s="3">
        <v>108</v>
      </c>
      <c r="X63" s="3" t="str">
        <f>IFERROR(MID(VLOOKUP($B63,Seqs!$A:$B,2,0),Y63,1),"")</f>
        <v>P</v>
      </c>
      <c r="Y63" s="3">
        <v>109</v>
      </c>
      <c r="Z63" s="3" t="str">
        <f>IFERROR(MID(VLOOKUP($B63,Seqs!$A:$B,2,0),AA63,1),"")</f>
        <v>V</v>
      </c>
      <c r="AA63" s="3">
        <v>116</v>
      </c>
      <c r="AB63" s="3" t="str">
        <f>IFERROR(MID(VLOOKUP($B63,Seqs!$A:$B,2,0),AC63,1),"")</f>
        <v>T</v>
      </c>
      <c r="AC63" s="3">
        <v>117</v>
      </c>
      <c r="AD63" s="3" t="str">
        <f>IFERROR(MID(VLOOKUP($B63,Seqs!$A:$B,2,0),AE63,1),"")</f>
        <v>G</v>
      </c>
      <c r="AE63" s="3">
        <v>142</v>
      </c>
      <c r="AF63" s="3" t="str">
        <f>IFERROR(MID(VLOOKUP($B63,Seqs!$A:$B,2,0),AG63,1),"")</f>
        <v>C</v>
      </c>
      <c r="AG63" s="3">
        <v>166</v>
      </c>
      <c r="AH63" s="3" t="str">
        <f>IFERROR(MID(VLOOKUP($B63,Seqs!$A:$B,2,0),AI63,1),"")</f>
        <v>F</v>
      </c>
      <c r="AI63" s="3">
        <v>168</v>
      </c>
      <c r="AJ63" s="3" t="str">
        <f>IFERROR(MID(VLOOKUP($B63,Seqs!$A:$B,2,0),AK63,1),"")</f>
        <v>P</v>
      </c>
      <c r="AK63" s="3">
        <v>173</v>
      </c>
      <c r="AL63" s="3" t="str">
        <f>IFERROR(MID(VLOOKUP($B63,Seqs!$A:$B,2,0),AM63,1),"")</f>
        <v>L</v>
      </c>
      <c r="AM63" s="3">
        <v>208</v>
      </c>
      <c r="AN63" s="3" t="str">
        <f>IFERROR(MID(VLOOKUP($B63,Seqs!$A:$B,2,0),AO63,1),"")</f>
        <v>E</v>
      </c>
      <c r="AO63" s="3">
        <v>219</v>
      </c>
      <c r="AP63" s="3" t="str">
        <f>IFERROR(MID(VLOOKUP($B63,Seqs!$A:$B,2,0),AQ63,1),"")</f>
        <v>C</v>
      </c>
      <c r="AQ63" s="3">
        <v>259</v>
      </c>
      <c r="AR63" s="3" t="str">
        <f>IFERROR(MID(VLOOKUP($B63,Seqs!$A:$B,2,0),AS63,1),"")</f>
        <v>P</v>
      </c>
      <c r="AS63" s="3">
        <v>266</v>
      </c>
      <c r="AT63" s="3" t="str">
        <f>IFERROR(MID(VLOOKUP($B63,Seqs!$A:$B,2,0),AU63,1),"")</f>
        <v>R</v>
      </c>
      <c r="AU63" s="3">
        <v>291</v>
      </c>
      <c r="AV63" s="3" t="str">
        <f>IFERROR(MID(VLOOKUP($B63,Seqs!$A:$B,2,0),AW63,1),"")</f>
        <v>I</v>
      </c>
      <c r="AW63" s="3">
        <v>292</v>
      </c>
      <c r="AX63" s="3" t="str">
        <f>IFERROR(MID(VLOOKUP($B63,Seqs!$A:$B,2,0),AY63,1),"")</f>
        <v>S</v>
      </c>
      <c r="AY63" s="3">
        <v>305</v>
      </c>
      <c r="AZ63" s="77" t="str">
        <f>VLOOKUP(B63,Classification!A:D,2,0)</f>
        <v>A</v>
      </c>
      <c r="BA63" s="94" t="str">
        <f>VLOOKUP(B63,Classification!A:D,4,0)</f>
        <v>Adenosine</v>
      </c>
      <c r="BB63" s="27" t="b">
        <f t="shared" si="252"/>
        <v>1</v>
      </c>
      <c r="BC63" s="23">
        <f t="shared" si="253"/>
        <v>262</v>
      </c>
      <c r="BD63" s="5" t="s">
        <v>23</v>
      </c>
      <c r="BE63" s="3" t="s">
        <v>1375</v>
      </c>
      <c r="BF63" s="119">
        <v>2.1</v>
      </c>
      <c r="BG63" s="49" t="s">
        <v>1</v>
      </c>
      <c r="BH63" s="49" t="s">
        <v>1</v>
      </c>
      <c r="BI63" s="1"/>
      <c r="BJ63" s="70" t="s">
        <v>1288</v>
      </c>
      <c r="BK63" s="57" t="s">
        <v>1288</v>
      </c>
      <c r="BL63" s="57" t="s">
        <v>1288</v>
      </c>
      <c r="BM63" s="57" t="s">
        <v>1288</v>
      </c>
      <c r="BN63" s="57" t="s">
        <v>1288</v>
      </c>
      <c r="BO63" s="57" t="s">
        <v>1288</v>
      </c>
      <c r="BP63" s="57" t="s">
        <v>1288</v>
      </c>
      <c r="BQ63" s="57" t="s">
        <v>1288</v>
      </c>
      <c r="BR63" s="57" t="s">
        <v>1288</v>
      </c>
      <c r="BS63" s="57" t="s">
        <v>1288</v>
      </c>
      <c r="BT63" s="57" t="s">
        <v>1288</v>
      </c>
      <c r="BU63" s="57" t="s">
        <v>1288</v>
      </c>
      <c r="BV63" s="70">
        <f t="shared" si="254"/>
        <v>1</v>
      </c>
      <c r="BW63" s="71">
        <f t="shared" si="255"/>
        <v>35</v>
      </c>
      <c r="BX63" s="72">
        <f t="shared" si="256"/>
        <v>39</v>
      </c>
      <c r="BY63" s="71">
        <f t="shared" si="257"/>
        <v>70</v>
      </c>
      <c r="BZ63" s="72">
        <f t="shared" si="258"/>
        <v>73</v>
      </c>
      <c r="CA63" s="71">
        <f t="shared" si="259"/>
        <v>109</v>
      </c>
      <c r="CB63" s="72">
        <f t="shared" si="260"/>
        <v>117</v>
      </c>
      <c r="CC63" s="71">
        <f t="shared" si="261"/>
        <v>166</v>
      </c>
      <c r="CD63" s="72">
        <f t="shared" si="262"/>
        <v>173</v>
      </c>
      <c r="CE63" s="71">
        <f t="shared" si="263"/>
        <v>219</v>
      </c>
      <c r="CF63" s="72">
        <f t="shared" si="264"/>
        <v>266</v>
      </c>
      <c r="CG63" s="71">
        <f t="shared" si="265"/>
        <v>292</v>
      </c>
      <c r="CH63" s="70">
        <f t="shared" si="266"/>
        <v>34</v>
      </c>
      <c r="CI63" s="71">
        <f t="shared" si="267"/>
        <v>38</v>
      </c>
      <c r="CJ63" s="72">
        <f t="shared" si="268"/>
        <v>69</v>
      </c>
      <c r="CK63" s="72">
        <f t="shared" si="269"/>
        <v>72</v>
      </c>
      <c r="CL63" s="72">
        <f t="shared" si="270"/>
        <v>108</v>
      </c>
      <c r="CM63" s="72">
        <f t="shared" si="271"/>
        <v>116</v>
      </c>
      <c r="CN63" s="72">
        <f t="shared" si="272"/>
        <v>142</v>
      </c>
      <c r="CO63" s="72">
        <f t="shared" si="273"/>
        <v>168</v>
      </c>
      <c r="CP63" s="72">
        <f t="shared" si="274"/>
        <v>208</v>
      </c>
      <c r="CQ63" s="72">
        <f t="shared" si="275"/>
        <v>259</v>
      </c>
      <c r="CR63" s="72">
        <f t="shared" si="276"/>
        <v>291</v>
      </c>
      <c r="CS63" s="72">
        <f t="shared" si="277"/>
        <v>305</v>
      </c>
      <c r="CT63" s="23">
        <f t="shared" si="278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251"/>
        <v>aa2ar_human_5OM4</v>
      </c>
      <c r="B64" s="3" t="s">
        <v>139</v>
      </c>
      <c r="C64" s="3" t="s">
        <v>1461</v>
      </c>
      <c r="D64" s="3" t="str">
        <f>IFERROR(MID(VLOOKUP($B64,Seqs!$A:$B,2,0),E64,1),"")</f>
        <v>M</v>
      </c>
      <c r="E64" s="3">
        <v>1</v>
      </c>
      <c r="F64" s="3" t="str">
        <f>IFERROR(MID(VLOOKUP($B64,Seqs!$A:$B,2,0),G64,1),"")</f>
        <v>N</v>
      </c>
      <c r="G64" s="3">
        <v>34</v>
      </c>
      <c r="H64" s="3" t="str">
        <f>IFERROR(MID(VLOOKUP($B64,Seqs!$A:$B,2,0),I64,1),"")</f>
        <v>S</v>
      </c>
      <c r="I64" s="23">
        <v>35</v>
      </c>
      <c r="J64" s="3" t="str">
        <f>IFERROR(MID(VLOOKUP($B64,Seqs!$A:$B,2,0),K64,1),"")</f>
        <v>Q</v>
      </c>
      <c r="K64" s="23">
        <v>38</v>
      </c>
      <c r="L64" s="3" t="str">
        <f>IFERROR(MID(VLOOKUP($B64,Seqs!$A:$B,2,0),M64,1),"")</f>
        <v>N</v>
      </c>
      <c r="M64" s="3">
        <v>39</v>
      </c>
      <c r="N64" s="3" t="str">
        <f>IFERROR(MID(VLOOKUP($B64,Seqs!$A:$B,2,0),O64,1),"")</f>
        <v>G</v>
      </c>
      <c r="O64" s="3">
        <v>69</v>
      </c>
      <c r="P64" s="3" t="str">
        <f>IFERROR(MID(VLOOKUP($B64,Seqs!$A:$B,2,0),Q64,1),"")</f>
        <v>F</v>
      </c>
      <c r="Q64" s="3">
        <v>70</v>
      </c>
      <c r="R64" s="3" t="str">
        <f>IFERROR(MID(VLOOKUP($B64,Seqs!$A:$B,2,0),S64,1),"")</f>
        <v>A</v>
      </c>
      <c r="S64" s="3">
        <v>72</v>
      </c>
      <c r="T64" s="3" t="str">
        <f>IFERROR(MID(VLOOKUP($B64,Seqs!$A:$B,2,0),U64,1),"")</f>
        <v>A</v>
      </c>
      <c r="U64" s="3">
        <v>73</v>
      </c>
      <c r="V64" s="3" t="str">
        <f>IFERROR(MID(VLOOKUP($B64,Seqs!$A:$B,2,0),W64,1),"")</f>
        <v>I</v>
      </c>
      <c r="W64" s="3">
        <v>108</v>
      </c>
      <c r="X64" s="3" t="str">
        <f>IFERROR(MID(VLOOKUP($B64,Seqs!$A:$B,2,0),Y64,1),"")</f>
        <v>P</v>
      </c>
      <c r="Y64" s="3">
        <v>109</v>
      </c>
      <c r="Z64" s="3" t="str">
        <f>IFERROR(MID(VLOOKUP($B64,Seqs!$A:$B,2,0),AA64,1),"")</f>
        <v>V</v>
      </c>
      <c r="AA64" s="3">
        <v>116</v>
      </c>
      <c r="AB64" s="3" t="str">
        <f>IFERROR(MID(VLOOKUP($B64,Seqs!$A:$B,2,0),AC64,1),"")</f>
        <v>T</v>
      </c>
      <c r="AC64" s="3">
        <v>117</v>
      </c>
      <c r="AD64" s="3" t="str">
        <f>IFERROR(MID(VLOOKUP($B64,Seqs!$A:$B,2,0),AE64,1),"")</f>
        <v>G</v>
      </c>
      <c r="AE64" s="3">
        <v>142</v>
      </c>
      <c r="AF64" s="3" t="str">
        <f>IFERROR(MID(VLOOKUP($B64,Seqs!$A:$B,2,0),AG64,1),"")</f>
        <v>C</v>
      </c>
      <c r="AG64" s="3">
        <v>166</v>
      </c>
      <c r="AH64" s="3" t="str">
        <f>IFERROR(MID(VLOOKUP($B64,Seqs!$A:$B,2,0),AI64,1),"")</f>
        <v>F</v>
      </c>
      <c r="AI64" s="3">
        <v>168</v>
      </c>
      <c r="AJ64" s="3" t="str">
        <f>IFERROR(MID(VLOOKUP($B64,Seqs!$A:$B,2,0),AK64,1),"")</f>
        <v>P</v>
      </c>
      <c r="AK64" s="3">
        <v>173</v>
      </c>
      <c r="AL64" s="3" t="str">
        <f>IFERROR(MID(VLOOKUP($B64,Seqs!$A:$B,2,0),AM64,1),"")</f>
        <v>L</v>
      </c>
      <c r="AM64" s="3">
        <v>208</v>
      </c>
      <c r="AN64" s="3" t="str">
        <f>IFERROR(MID(VLOOKUP($B64,Seqs!$A:$B,2,0),AO64,1),"")</f>
        <v>E</v>
      </c>
      <c r="AO64" s="3">
        <v>219</v>
      </c>
      <c r="AP64" s="3" t="str">
        <f>IFERROR(MID(VLOOKUP($B64,Seqs!$A:$B,2,0),AQ64,1),"")</f>
        <v>C</v>
      </c>
      <c r="AQ64" s="3">
        <v>259</v>
      </c>
      <c r="AR64" s="3" t="str">
        <f>IFERROR(MID(VLOOKUP($B64,Seqs!$A:$B,2,0),AS64,1),"")</f>
        <v>P</v>
      </c>
      <c r="AS64" s="3">
        <v>266</v>
      </c>
      <c r="AT64" s="3" t="str">
        <f>IFERROR(MID(VLOOKUP($B64,Seqs!$A:$B,2,0),AU64,1),"")</f>
        <v>R</v>
      </c>
      <c r="AU64" s="3">
        <v>291</v>
      </c>
      <c r="AV64" s="3" t="str">
        <f>IFERROR(MID(VLOOKUP($B64,Seqs!$A:$B,2,0),AW64,1),"")</f>
        <v>I</v>
      </c>
      <c r="AW64" s="3">
        <v>292</v>
      </c>
      <c r="AX64" s="3" t="str">
        <f>IFERROR(MID(VLOOKUP($B64,Seqs!$A:$B,2,0),AY64,1),"")</f>
        <v>V</v>
      </c>
      <c r="AY64" s="3">
        <v>307</v>
      </c>
      <c r="AZ64" s="77" t="str">
        <f>VLOOKUP(B64,Classification!A:D,2,0)</f>
        <v>A</v>
      </c>
      <c r="BA64" s="94" t="str">
        <f>VLOOKUP(B64,Classification!A:D,4,0)</f>
        <v>Adenosine</v>
      </c>
      <c r="BB64" s="27" t="b">
        <f t="shared" si="252"/>
        <v>1</v>
      </c>
      <c r="BC64" s="23">
        <f t="shared" si="253"/>
        <v>264</v>
      </c>
      <c r="BD64" s="5" t="s">
        <v>23</v>
      </c>
      <c r="BE64" s="3" t="s">
        <v>1375</v>
      </c>
      <c r="BF64" s="119">
        <v>2</v>
      </c>
      <c r="BG64" s="49" t="s">
        <v>1</v>
      </c>
      <c r="BH64" s="49" t="s">
        <v>1</v>
      </c>
      <c r="BI64" s="1"/>
      <c r="BJ64" s="70" t="s">
        <v>1288</v>
      </c>
      <c r="BK64" s="57" t="s">
        <v>1288</v>
      </c>
      <c r="BL64" s="57" t="s">
        <v>1288</v>
      </c>
      <c r="BM64" s="57" t="s">
        <v>1288</v>
      </c>
      <c r="BN64" s="57" t="s">
        <v>1288</v>
      </c>
      <c r="BO64" s="57" t="s">
        <v>1288</v>
      </c>
      <c r="BP64" s="57" t="s">
        <v>1288</v>
      </c>
      <c r="BQ64" s="57" t="s">
        <v>1288</v>
      </c>
      <c r="BR64" s="57" t="s">
        <v>1288</v>
      </c>
      <c r="BS64" s="57" t="s">
        <v>1288</v>
      </c>
      <c r="BT64" s="57" t="s">
        <v>1288</v>
      </c>
      <c r="BU64" s="57" t="s">
        <v>1288</v>
      </c>
      <c r="BV64" s="70">
        <f t="shared" si="254"/>
        <v>1</v>
      </c>
      <c r="BW64" s="71">
        <f t="shared" si="255"/>
        <v>35</v>
      </c>
      <c r="BX64" s="72">
        <f t="shared" si="256"/>
        <v>39</v>
      </c>
      <c r="BY64" s="71">
        <f t="shared" si="257"/>
        <v>70</v>
      </c>
      <c r="BZ64" s="72">
        <f t="shared" si="258"/>
        <v>73</v>
      </c>
      <c r="CA64" s="71">
        <f t="shared" si="259"/>
        <v>109</v>
      </c>
      <c r="CB64" s="72">
        <f t="shared" si="260"/>
        <v>117</v>
      </c>
      <c r="CC64" s="71">
        <f t="shared" si="261"/>
        <v>166</v>
      </c>
      <c r="CD64" s="72">
        <f t="shared" si="262"/>
        <v>173</v>
      </c>
      <c r="CE64" s="71">
        <f t="shared" si="263"/>
        <v>219</v>
      </c>
      <c r="CF64" s="72">
        <f t="shared" si="264"/>
        <v>266</v>
      </c>
      <c r="CG64" s="71">
        <f t="shared" si="265"/>
        <v>292</v>
      </c>
      <c r="CH64" s="70">
        <f t="shared" si="266"/>
        <v>34</v>
      </c>
      <c r="CI64" s="71">
        <f t="shared" si="267"/>
        <v>38</v>
      </c>
      <c r="CJ64" s="72">
        <f t="shared" si="268"/>
        <v>69</v>
      </c>
      <c r="CK64" s="72">
        <f t="shared" si="269"/>
        <v>72</v>
      </c>
      <c r="CL64" s="72">
        <f t="shared" si="270"/>
        <v>108</v>
      </c>
      <c r="CM64" s="72">
        <f t="shared" si="271"/>
        <v>116</v>
      </c>
      <c r="CN64" s="72">
        <f t="shared" si="272"/>
        <v>142</v>
      </c>
      <c r="CO64" s="72">
        <f t="shared" si="273"/>
        <v>168</v>
      </c>
      <c r="CP64" s="72">
        <f t="shared" si="274"/>
        <v>208</v>
      </c>
      <c r="CQ64" s="72">
        <f t="shared" si="275"/>
        <v>259</v>
      </c>
      <c r="CR64" s="72">
        <f t="shared" si="276"/>
        <v>291</v>
      </c>
      <c r="CS64" s="72">
        <f t="shared" si="277"/>
        <v>307</v>
      </c>
      <c r="CT64" s="23">
        <f t="shared" si="278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251"/>
        <v>aa2ar_human_6AQF</v>
      </c>
      <c r="B65" s="3" t="s">
        <v>139</v>
      </c>
      <c r="C65" s="3" t="s">
        <v>1462</v>
      </c>
      <c r="D65" s="3" t="str">
        <f>IFERROR(MID(VLOOKUP($B65,Seqs!$A:$B,2,0),E65,1),"")</f>
        <v>M</v>
      </c>
      <c r="E65" s="3">
        <v>1</v>
      </c>
      <c r="F65" s="3" t="str">
        <f>IFERROR(MID(VLOOKUP($B65,Seqs!$A:$B,2,0),G65,1),"")</f>
        <v>N</v>
      </c>
      <c r="G65" s="3">
        <v>34</v>
      </c>
      <c r="H65" s="3" t="str">
        <f>IFERROR(MID(VLOOKUP($B65,Seqs!$A:$B,2,0),I65,1),"")</f>
        <v>S</v>
      </c>
      <c r="I65" s="23">
        <v>35</v>
      </c>
      <c r="J65" s="3" t="str">
        <f>IFERROR(MID(VLOOKUP($B65,Seqs!$A:$B,2,0),K65,1),"")</f>
        <v>Q</v>
      </c>
      <c r="K65" s="23">
        <v>38</v>
      </c>
      <c r="L65" s="3" t="str">
        <f>IFERROR(MID(VLOOKUP($B65,Seqs!$A:$B,2,0),M65,1),"")</f>
        <v>N</v>
      </c>
      <c r="M65" s="3">
        <v>39</v>
      </c>
      <c r="N65" s="3" t="str">
        <f>IFERROR(MID(VLOOKUP($B65,Seqs!$A:$B,2,0),O65,1),"")</f>
        <v>G</v>
      </c>
      <c r="O65" s="3">
        <v>69</v>
      </c>
      <c r="P65" s="3" t="str">
        <f>IFERROR(MID(VLOOKUP($B65,Seqs!$A:$B,2,0),Q65,1),"")</f>
        <v>F</v>
      </c>
      <c r="Q65" s="3">
        <v>70</v>
      </c>
      <c r="R65" s="3" t="str">
        <f>IFERROR(MID(VLOOKUP($B65,Seqs!$A:$B,2,0),S65,1),"")</f>
        <v>A</v>
      </c>
      <c r="S65" s="3">
        <v>72</v>
      </c>
      <c r="T65" s="3" t="str">
        <f>IFERROR(MID(VLOOKUP($B65,Seqs!$A:$B,2,0),U65,1),"")</f>
        <v>A</v>
      </c>
      <c r="U65" s="3">
        <v>73</v>
      </c>
      <c r="V65" s="3" t="str">
        <f>IFERROR(MID(VLOOKUP($B65,Seqs!$A:$B,2,0),W65,1),"")</f>
        <v>I</v>
      </c>
      <c r="W65" s="3">
        <v>108</v>
      </c>
      <c r="X65" s="3" t="str">
        <f>IFERROR(MID(VLOOKUP($B65,Seqs!$A:$B,2,0),Y65,1),"")</f>
        <v>P</v>
      </c>
      <c r="Y65" s="3">
        <v>109</v>
      </c>
      <c r="Z65" s="3" t="str">
        <f>IFERROR(MID(VLOOKUP($B65,Seqs!$A:$B,2,0),AA65,1),"")</f>
        <v>V</v>
      </c>
      <c r="AA65" s="3">
        <v>116</v>
      </c>
      <c r="AB65" s="3" t="str">
        <f>IFERROR(MID(VLOOKUP($B65,Seqs!$A:$B,2,0),AC65,1),"")</f>
        <v>T</v>
      </c>
      <c r="AC65" s="3">
        <v>117</v>
      </c>
      <c r="AD65" s="3" t="str">
        <f>IFERROR(MID(VLOOKUP($B65,Seqs!$A:$B,2,0),AE65,1),"")</f>
        <v>G</v>
      </c>
      <c r="AE65" s="3">
        <v>142</v>
      </c>
      <c r="AF65" s="3" t="str">
        <f>IFERROR(MID(VLOOKUP($B65,Seqs!$A:$B,2,0),AG65,1),"")</f>
        <v>C</v>
      </c>
      <c r="AG65" s="3">
        <v>166</v>
      </c>
      <c r="AH65" s="3" t="str">
        <f>IFERROR(MID(VLOOKUP($B65,Seqs!$A:$B,2,0),AI65,1),"")</f>
        <v>F</v>
      </c>
      <c r="AI65" s="3">
        <v>168</v>
      </c>
      <c r="AJ65" s="3" t="str">
        <f>IFERROR(MID(VLOOKUP($B65,Seqs!$A:$B,2,0),AK65,1),"")</f>
        <v>P</v>
      </c>
      <c r="AK65" s="3">
        <v>173</v>
      </c>
      <c r="AL65" s="3" t="str">
        <f>IFERROR(MID(VLOOKUP($B65,Seqs!$A:$B,2,0),AM65,1),"")</f>
        <v>L</v>
      </c>
      <c r="AM65" s="3">
        <v>208</v>
      </c>
      <c r="AN65" s="3" t="str">
        <f>IFERROR(MID(VLOOKUP($B65,Seqs!$A:$B,2,0),AO65,1),"")</f>
        <v>E</v>
      </c>
      <c r="AO65" s="3">
        <v>219</v>
      </c>
      <c r="AP65" s="3" t="str">
        <f>IFERROR(MID(VLOOKUP($B65,Seqs!$A:$B,2,0),AQ65,1),"")</f>
        <v>C</v>
      </c>
      <c r="AQ65" s="3">
        <v>259</v>
      </c>
      <c r="AR65" s="3" t="str">
        <f>IFERROR(MID(VLOOKUP($B65,Seqs!$A:$B,2,0),AS65,1),"")</f>
        <v>P</v>
      </c>
      <c r="AS65" s="3">
        <v>266</v>
      </c>
      <c r="AT65" s="3" t="str">
        <f>IFERROR(MID(VLOOKUP($B65,Seqs!$A:$B,2,0),AU65,1),"")</f>
        <v>R</v>
      </c>
      <c r="AU65" s="3">
        <v>291</v>
      </c>
      <c r="AV65" s="3" t="str">
        <f>IFERROR(MID(VLOOKUP($B65,Seqs!$A:$B,2,0),AW65,1),"")</f>
        <v>I</v>
      </c>
      <c r="AW65" s="3">
        <v>292</v>
      </c>
      <c r="AX65" s="3" t="str">
        <f>IFERROR(MID(VLOOKUP($B65,Seqs!$A:$B,2,0),AY65,1),"")</f>
        <v>H</v>
      </c>
      <c r="AY65" s="3">
        <v>306</v>
      </c>
      <c r="AZ65" s="77" t="str">
        <f>VLOOKUP(B65,Classification!A:D,2,0)</f>
        <v>A</v>
      </c>
      <c r="BA65" s="94" t="str">
        <f>VLOOKUP(B65,Classification!A:D,4,0)</f>
        <v>Adenosine</v>
      </c>
      <c r="BB65" s="27" t="b">
        <f t="shared" si="252"/>
        <v>1</v>
      </c>
      <c r="BC65" s="23">
        <f t="shared" si="253"/>
        <v>263</v>
      </c>
      <c r="BD65" s="5" t="s">
        <v>23</v>
      </c>
      <c r="BE65" s="3" t="s">
        <v>1375</v>
      </c>
      <c r="BF65" s="119">
        <v>2.5099999999999998</v>
      </c>
      <c r="BG65" s="49" t="s">
        <v>1</v>
      </c>
      <c r="BH65" s="49" t="s">
        <v>1</v>
      </c>
      <c r="BI65" s="1"/>
      <c r="BJ65" s="70" t="s">
        <v>1288</v>
      </c>
      <c r="BK65" s="57" t="s">
        <v>1288</v>
      </c>
      <c r="BL65" s="57" t="s">
        <v>1288</v>
      </c>
      <c r="BM65" s="57" t="s">
        <v>1288</v>
      </c>
      <c r="BN65" s="57" t="s">
        <v>1288</v>
      </c>
      <c r="BO65" s="57" t="s">
        <v>1288</v>
      </c>
      <c r="BP65" s="57" t="s">
        <v>1288</v>
      </c>
      <c r="BQ65" s="57" t="s">
        <v>1288</v>
      </c>
      <c r="BR65" s="57" t="s">
        <v>1288</v>
      </c>
      <c r="BS65" s="57" t="s">
        <v>1288</v>
      </c>
      <c r="BT65" s="57" t="s">
        <v>1288</v>
      </c>
      <c r="BU65" s="57" t="s">
        <v>1288</v>
      </c>
      <c r="BV65" s="70">
        <f t="shared" si="254"/>
        <v>1</v>
      </c>
      <c r="BW65" s="71">
        <f t="shared" si="255"/>
        <v>35</v>
      </c>
      <c r="BX65" s="72">
        <f t="shared" si="256"/>
        <v>39</v>
      </c>
      <c r="BY65" s="71">
        <f t="shared" si="257"/>
        <v>70</v>
      </c>
      <c r="BZ65" s="72">
        <f t="shared" si="258"/>
        <v>73</v>
      </c>
      <c r="CA65" s="71">
        <f t="shared" si="259"/>
        <v>109</v>
      </c>
      <c r="CB65" s="72">
        <f t="shared" si="260"/>
        <v>117</v>
      </c>
      <c r="CC65" s="71">
        <f t="shared" si="261"/>
        <v>166</v>
      </c>
      <c r="CD65" s="72">
        <f t="shared" si="262"/>
        <v>173</v>
      </c>
      <c r="CE65" s="71">
        <f t="shared" si="263"/>
        <v>219</v>
      </c>
      <c r="CF65" s="72">
        <f t="shared" si="264"/>
        <v>266</v>
      </c>
      <c r="CG65" s="71">
        <f t="shared" si="265"/>
        <v>292</v>
      </c>
      <c r="CH65" s="70">
        <f t="shared" si="266"/>
        <v>34</v>
      </c>
      <c r="CI65" s="71">
        <f t="shared" si="267"/>
        <v>38</v>
      </c>
      <c r="CJ65" s="72">
        <f t="shared" si="268"/>
        <v>69</v>
      </c>
      <c r="CK65" s="72">
        <f t="shared" si="269"/>
        <v>72</v>
      </c>
      <c r="CL65" s="72">
        <f t="shared" si="270"/>
        <v>108</v>
      </c>
      <c r="CM65" s="72">
        <f t="shared" si="271"/>
        <v>116</v>
      </c>
      <c r="CN65" s="72">
        <f t="shared" si="272"/>
        <v>142</v>
      </c>
      <c r="CO65" s="72">
        <f t="shared" si="273"/>
        <v>168</v>
      </c>
      <c r="CP65" s="72">
        <f t="shared" si="274"/>
        <v>208</v>
      </c>
      <c r="CQ65" s="72">
        <f t="shared" si="275"/>
        <v>259</v>
      </c>
      <c r="CR65" s="72">
        <f t="shared" si="276"/>
        <v>291</v>
      </c>
      <c r="CS65" s="72">
        <f t="shared" si="277"/>
        <v>306</v>
      </c>
      <c r="CT65" s="23">
        <f t="shared" si="278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251"/>
        <v>aa2ar_human_5WF5</v>
      </c>
      <c r="B66" s="3" t="s">
        <v>139</v>
      </c>
      <c r="C66" s="3" t="s">
        <v>1471</v>
      </c>
      <c r="D66" s="3" t="str">
        <f>IFERROR(MID(VLOOKUP($B66,Seqs!$A:$B,2,0),E66,1),"")</f>
        <v>M</v>
      </c>
      <c r="E66" s="3">
        <v>4</v>
      </c>
      <c r="F66" s="3" t="str">
        <f>IFERROR(MID(VLOOKUP($B66,Seqs!$A:$B,2,0),G66,1),"")</f>
        <v>N</v>
      </c>
      <c r="G66" s="3">
        <v>34</v>
      </c>
      <c r="H66" s="3" t="str">
        <f>IFERROR(MID(VLOOKUP($B66,Seqs!$A:$B,2,0),I66,1),"")</f>
        <v>S</v>
      </c>
      <c r="I66" s="23">
        <v>35</v>
      </c>
      <c r="J66" s="3" t="str">
        <f>IFERROR(MID(VLOOKUP($B66,Seqs!$A:$B,2,0),K66,1),"")</f>
        <v>Q</v>
      </c>
      <c r="K66" s="23">
        <v>38</v>
      </c>
      <c r="L66" s="3" t="str">
        <f>IFERROR(MID(VLOOKUP($B66,Seqs!$A:$B,2,0),M66,1),"")</f>
        <v>N</v>
      </c>
      <c r="M66" s="3">
        <v>39</v>
      </c>
      <c r="N66" s="3" t="str">
        <f>IFERROR(MID(VLOOKUP($B66,Seqs!$A:$B,2,0),O66,1),"")</f>
        <v>A</v>
      </c>
      <c r="O66" s="3">
        <v>63</v>
      </c>
      <c r="P66" s="3" t="str">
        <f>IFERROR(MID(VLOOKUP($B66,Seqs!$A:$B,2,0),Q66,1),"")</f>
        <v>F</v>
      </c>
      <c r="Q66" s="3">
        <v>70</v>
      </c>
      <c r="R66" s="3" t="str">
        <f>IFERROR(MID(VLOOKUP($B66,Seqs!$A:$B,2,0),S66,1),"")</f>
        <v>A</v>
      </c>
      <c r="S66" s="3">
        <v>72</v>
      </c>
      <c r="T66" s="3" t="str">
        <f>IFERROR(MID(VLOOKUP($B66,Seqs!$A:$B,2,0),U66,1),"")</f>
        <v>A</v>
      </c>
      <c r="U66" s="3">
        <v>73</v>
      </c>
      <c r="V66" s="3" t="str">
        <f>IFERROR(MID(VLOOKUP($B66,Seqs!$A:$B,2,0),W66,1),"")</f>
        <v>I</v>
      </c>
      <c r="W66" s="3">
        <v>108</v>
      </c>
      <c r="X66" s="3" t="str">
        <f>IFERROR(MID(VLOOKUP($B66,Seqs!$A:$B,2,0),Y66,1),"")</f>
        <v>P</v>
      </c>
      <c r="Y66" s="3">
        <v>109</v>
      </c>
      <c r="Z66" s="3" t="str">
        <f>IFERROR(MID(VLOOKUP($B66,Seqs!$A:$B,2,0),AA66,1),"")</f>
        <v>V</v>
      </c>
      <c r="AA66" s="3">
        <v>116</v>
      </c>
      <c r="AB66" s="3" t="str">
        <f>IFERROR(MID(VLOOKUP($B66,Seqs!$A:$B,2,0),AC66,1),"")</f>
        <v>T</v>
      </c>
      <c r="AC66" s="3">
        <v>117</v>
      </c>
      <c r="AD66" s="3" t="str">
        <f>IFERROR(MID(VLOOKUP($B66,Seqs!$A:$B,2,0),AE66,1),"")</f>
        <v>G</v>
      </c>
      <c r="AE66" s="3">
        <v>142</v>
      </c>
      <c r="AF66" s="3" t="str">
        <f>IFERROR(MID(VLOOKUP($B66,Seqs!$A:$B,2,0),AG66,1),"")</f>
        <v>C</v>
      </c>
      <c r="AG66" s="3">
        <v>166</v>
      </c>
      <c r="AH66" s="3" t="str">
        <f>IFERROR(MID(VLOOKUP($B66,Seqs!$A:$B,2,0),AI66,1),"")</f>
        <v>F</v>
      </c>
      <c r="AI66" s="3">
        <v>168</v>
      </c>
      <c r="AJ66" s="3" t="str">
        <f>IFERROR(MID(VLOOKUP($B66,Seqs!$A:$B,2,0),AK66,1),"")</f>
        <v>P</v>
      </c>
      <c r="AK66" s="3">
        <v>173</v>
      </c>
      <c r="AL66" s="3" t="str">
        <f>IFERROR(MID(VLOOKUP($B66,Seqs!$A:$B,2,0),AM66,1),"")</f>
        <v>R</v>
      </c>
      <c r="AM66" s="3">
        <v>205</v>
      </c>
      <c r="AN66" s="3" t="str">
        <f>IFERROR(MID(VLOOKUP($B66,Seqs!$A:$B,2,0),AO66,1),"")</f>
        <v>L</v>
      </c>
      <c r="AO66" s="3">
        <v>225</v>
      </c>
      <c r="AP66" s="3" t="str">
        <f>IFERROR(MID(VLOOKUP($B66,Seqs!$A:$B,2,0),AQ66,1),"")</f>
        <v>C</v>
      </c>
      <c r="AQ66" s="3">
        <v>259</v>
      </c>
      <c r="AR66" s="3" t="str">
        <f>IFERROR(MID(VLOOKUP($B66,Seqs!$A:$B,2,0),AS66,1),"")</f>
        <v>P</v>
      </c>
      <c r="AS66" s="3">
        <v>266</v>
      </c>
      <c r="AT66" s="3" t="str">
        <f>IFERROR(MID(VLOOKUP($B66,Seqs!$A:$B,2,0),AU66,1),"")</f>
        <v>R</v>
      </c>
      <c r="AU66" s="3">
        <v>291</v>
      </c>
      <c r="AV66" s="3" t="str">
        <f>IFERROR(MID(VLOOKUP($B66,Seqs!$A:$B,2,0),AW66,1),"")</f>
        <v>I</v>
      </c>
      <c r="AW66" s="3">
        <v>292</v>
      </c>
      <c r="AX66" s="3" t="str">
        <f>IFERROR(MID(VLOOKUP($B66,Seqs!$A:$B,2,0),AY66,1),"")</f>
        <v>V</v>
      </c>
      <c r="AY66" s="3">
        <v>307</v>
      </c>
      <c r="AZ66" s="77" t="str">
        <f>VLOOKUP(B66,Classification!A:D,2,0)</f>
        <v>A</v>
      </c>
      <c r="BA66" s="94" t="str">
        <f>VLOOKUP(B66,Classification!A:D,4,0)</f>
        <v>Adenosine</v>
      </c>
      <c r="BB66" s="27" t="b">
        <f t="shared" si="252"/>
        <v>1</v>
      </c>
      <c r="BC66" s="23">
        <f t="shared" si="253"/>
        <v>246</v>
      </c>
      <c r="BD66" s="5" t="s">
        <v>23</v>
      </c>
      <c r="BE66" s="3" t="s">
        <v>1472</v>
      </c>
      <c r="BF66" s="119">
        <v>2.6</v>
      </c>
      <c r="BG66" s="49" t="s">
        <v>1</v>
      </c>
      <c r="BH66" s="49" t="s">
        <v>1</v>
      </c>
      <c r="BI66" s="1"/>
      <c r="BJ66" s="70" t="s">
        <v>1288</v>
      </c>
      <c r="BK66" s="57" t="s">
        <v>1288</v>
      </c>
      <c r="BL66" s="57" t="s">
        <v>1288</v>
      </c>
      <c r="BM66" s="57" t="s">
        <v>1288</v>
      </c>
      <c r="BN66" s="57" t="s">
        <v>1288</v>
      </c>
      <c r="BO66" s="57" t="s">
        <v>1288</v>
      </c>
      <c r="BP66" s="57" t="s">
        <v>1288</v>
      </c>
      <c r="BQ66" s="57" t="s">
        <v>1288</v>
      </c>
      <c r="BR66" s="57" t="s">
        <v>1288</v>
      </c>
      <c r="BS66" s="57" t="s">
        <v>1288</v>
      </c>
      <c r="BT66" s="57" t="s">
        <v>1288</v>
      </c>
      <c r="BU66" s="57" t="s">
        <v>1288</v>
      </c>
      <c r="BV66" s="70">
        <f t="shared" si="254"/>
        <v>4</v>
      </c>
      <c r="BW66" s="71">
        <f t="shared" si="255"/>
        <v>35</v>
      </c>
      <c r="BX66" s="72">
        <f t="shared" si="256"/>
        <v>39</v>
      </c>
      <c r="BY66" s="71">
        <f t="shared" si="257"/>
        <v>70</v>
      </c>
      <c r="BZ66" s="72">
        <f t="shared" si="258"/>
        <v>73</v>
      </c>
      <c r="CA66" s="71">
        <f t="shared" si="259"/>
        <v>109</v>
      </c>
      <c r="CB66" s="72">
        <f t="shared" si="260"/>
        <v>117</v>
      </c>
      <c r="CC66" s="71">
        <f t="shared" si="261"/>
        <v>166</v>
      </c>
      <c r="CD66" s="72">
        <f t="shared" si="262"/>
        <v>173</v>
      </c>
      <c r="CE66" s="71">
        <f t="shared" si="263"/>
        <v>225</v>
      </c>
      <c r="CF66" s="72">
        <f t="shared" si="264"/>
        <v>266</v>
      </c>
      <c r="CG66" s="71">
        <f t="shared" si="265"/>
        <v>292</v>
      </c>
      <c r="CH66" s="70">
        <f t="shared" si="266"/>
        <v>34</v>
      </c>
      <c r="CI66" s="71">
        <f t="shared" si="267"/>
        <v>38</v>
      </c>
      <c r="CJ66" s="72">
        <f t="shared" si="268"/>
        <v>63</v>
      </c>
      <c r="CK66" s="72">
        <f t="shared" si="269"/>
        <v>72</v>
      </c>
      <c r="CL66" s="72">
        <f t="shared" si="270"/>
        <v>108</v>
      </c>
      <c r="CM66" s="72">
        <f t="shared" si="271"/>
        <v>116</v>
      </c>
      <c r="CN66" s="72">
        <f t="shared" si="272"/>
        <v>142</v>
      </c>
      <c r="CO66" s="72">
        <f t="shared" si="273"/>
        <v>168</v>
      </c>
      <c r="CP66" s="72">
        <f t="shared" si="274"/>
        <v>205</v>
      </c>
      <c r="CQ66" s="72">
        <f t="shared" si="275"/>
        <v>259</v>
      </c>
      <c r="CR66" s="72">
        <f t="shared" si="276"/>
        <v>291</v>
      </c>
      <c r="CS66" s="72">
        <f t="shared" si="277"/>
        <v>307</v>
      </c>
      <c r="CT66" s="23">
        <f t="shared" si="278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251"/>
        <v>aa2ar_human_5WF6</v>
      </c>
      <c r="B67" s="3" t="s">
        <v>139</v>
      </c>
      <c r="C67" s="3" t="s">
        <v>1473</v>
      </c>
      <c r="D67" s="3" t="str">
        <f>IFERROR(MID(VLOOKUP($B67,Seqs!$A:$B,2,0),E67,1),"")</f>
        <v>M</v>
      </c>
      <c r="E67" s="3">
        <v>4</v>
      </c>
      <c r="F67" s="3" t="str">
        <f>IFERROR(MID(VLOOKUP($B67,Seqs!$A:$B,2,0),G67,1),"")</f>
        <v>N</v>
      </c>
      <c r="G67" s="3">
        <v>34</v>
      </c>
      <c r="H67" s="3" t="str">
        <f>IFERROR(MID(VLOOKUP($B67,Seqs!$A:$B,2,0),I67,1),"")</f>
        <v>S</v>
      </c>
      <c r="I67" s="23">
        <v>35</v>
      </c>
      <c r="J67" s="3" t="str">
        <f>IFERROR(MID(VLOOKUP($B67,Seqs!$A:$B,2,0),K67,1),"")</f>
        <v>Q</v>
      </c>
      <c r="K67" s="23">
        <v>38</v>
      </c>
      <c r="L67" s="3" t="str">
        <f>IFERROR(MID(VLOOKUP($B67,Seqs!$A:$B,2,0),M67,1),"")</f>
        <v>N</v>
      </c>
      <c r="M67" s="3">
        <v>39</v>
      </c>
      <c r="N67" s="3" t="str">
        <f>IFERROR(MID(VLOOKUP($B67,Seqs!$A:$B,2,0),O67,1),"")</f>
        <v>A</v>
      </c>
      <c r="O67" s="3">
        <v>63</v>
      </c>
      <c r="P67" s="3" t="str">
        <f>IFERROR(MID(VLOOKUP($B67,Seqs!$A:$B,2,0),Q67,1),"")</f>
        <v>F</v>
      </c>
      <c r="Q67" s="3">
        <v>70</v>
      </c>
      <c r="R67" s="3" t="str">
        <f>IFERROR(MID(VLOOKUP($B67,Seqs!$A:$B,2,0),S67,1),"")</f>
        <v>A</v>
      </c>
      <c r="S67" s="3">
        <v>72</v>
      </c>
      <c r="T67" s="3" t="str">
        <f>IFERROR(MID(VLOOKUP($B67,Seqs!$A:$B,2,0),U67,1),"")</f>
        <v>A</v>
      </c>
      <c r="U67" s="3">
        <v>73</v>
      </c>
      <c r="V67" s="3" t="str">
        <f>IFERROR(MID(VLOOKUP($B67,Seqs!$A:$B,2,0),W67,1),"")</f>
        <v>I</v>
      </c>
      <c r="W67" s="3">
        <v>108</v>
      </c>
      <c r="X67" s="3" t="str">
        <f>IFERROR(MID(VLOOKUP($B67,Seqs!$A:$B,2,0),Y67,1),"")</f>
        <v>P</v>
      </c>
      <c r="Y67" s="3">
        <v>109</v>
      </c>
      <c r="Z67" s="3" t="str">
        <f>IFERROR(MID(VLOOKUP($B67,Seqs!$A:$B,2,0),AA67,1),"")</f>
        <v>V</v>
      </c>
      <c r="AA67" s="3">
        <v>116</v>
      </c>
      <c r="AB67" s="3" t="str">
        <f>IFERROR(MID(VLOOKUP($B67,Seqs!$A:$B,2,0),AC67,1),"")</f>
        <v>T</v>
      </c>
      <c r="AC67" s="3">
        <v>117</v>
      </c>
      <c r="AD67" s="3" t="str">
        <f>IFERROR(MID(VLOOKUP($B67,Seqs!$A:$B,2,0),AE67,1),"")</f>
        <v>G</v>
      </c>
      <c r="AE67" s="3">
        <v>142</v>
      </c>
      <c r="AF67" s="3" t="str">
        <f>IFERROR(MID(VLOOKUP($B67,Seqs!$A:$B,2,0),AG67,1),"")</f>
        <v>C</v>
      </c>
      <c r="AG67" s="3">
        <v>166</v>
      </c>
      <c r="AH67" s="3" t="str">
        <f>IFERROR(MID(VLOOKUP($B67,Seqs!$A:$B,2,0),AI67,1),"")</f>
        <v>F</v>
      </c>
      <c r="AI67" s="3">
        <v>168</v>
      </c>
      <c r="AJ67" s="3" t="str">
        <f>IFERROR(MID(VLOOKUP($B67,Seqs!$A:$B,2,0),AK67,1),"")</f>
        <v>P</v>
      </c>
      <c r="AK67" s="3">
        <v>173</v>
      </c>
      <c r="AL67" s="3" t="str">
        <f>IFERROR(MID(VLOOKUP($B67,Seqs!$A:$B,2,0),AM67,1),"")</f>
        <v>R</v>
      </c>
      <c r="AM67" s="3">
        <v>205</v>
      </c>
      <c r="AN67" s="3" t="str">
        <f>IFERROR(MID(VLOOKUP($B67,Seqs!$A:$B,2,0),AO67,1),"")</f>
        <v>L</v>
      </c>
      <c r="AO67" s="3">
        <v>225</v>
      </c>
      <c r="AP67" s="3" t="str">
        <f>IFERROR(MID(VLOOKUP($B67,Seqs!$A:$B,2,0),AQ67,1),"")</f>
        <v>C</v>
      </c>
      <c r="AQ67" s="3">
        <v>259</v>
      </c>
      <c r="AR67" s="3" t="str">
        <f>IFERROR(MID(VLOOKUP($B67,Seqs!$A:$B,2,0),AS67,1),"")</f>
        <v>P</v>
      </c>
      <c r="AS67" s="3">
        <v>266</v>
      </c>
      <c r="AT67" s="3" t="str">
        <f>IFERROR(MID(VLOOKUP($B67,Seqs!$A:$B,2,0),AU67,1),"")</f>
        <v>R</v>
      </c>
      <c r="AU67" s="3">
        <v>291</v>
      </c>
      <c r="AV67" s="3" t="str">
        <f>IFERROR(MID(VLOOKUP($B67,Seqs!$A:$B,2,0),AW67,1),"")</f>
        <v>I</v>
      </c>
      <c r="AW67" s="3">
        <v>292</v>
      </c>
      <c r="AX67" s="3" t="str">
        <f>IFERROR(MID(VLOOKUP($B67,Seqs!$A:$B,2,0),AY67,1),"")</f>
        <v>V</v>
      </c>
      <c r="AY67" s="3">
        <v>307</v>
      </c>
      <c r="AZ67" s="77" t="str">
        <f>VLOOKUP(B67,Classification!A:D,2,0)</f>
        <v>A</v>
      </c>
      <c r="BA67" s="94" t="str">
        <f>VLOOKUP(B67,Classification!A:D,4,0)</f>
        <v>Adenosine</v>
      </c>
      <c r="BB67" s="27" t="b">
        <f t="shared" si="252"/>
        <v>1</v>
      </c>
      <c r="BC67" s="23">
        <f t="shared" si="253"/>
        <v>246</v>
      </c>
      <c r="BD67" s="5" t="s">
        <v>23</v>
      </c>
      <c r="BE67" s="3" t="s">
        <v>1472</v>
      </c>
      <c r="BF67" s="119">
        <v>2.9</v>
      </c>
      <c r="BG67" s="49" t="s">
        <v>1</v>
      </c>
      <c r="BH67" s="49" t="s">
        <v>1</v>
      </c>
      <c r="BI67" s="1"/>
      <c r="BJ67" s="70" t="s">
        <v>1288</v>
      </c>
      <c r="BK67" s="57" t="s">
        <v>1288</v>
      </c>
      <c r="BL67" s="57" t="s">
        <v>1288</v>
      </c>
      <c r="BM67" s="57" t="s">
        <v>1288</v>
      </c>
      <c r="BN67" s="57" t="s">
        <v>1288</v>
      </c>
      <c r="BO67" s="57" t="s">
        <v>1288</v>
      </c>
      <c r="BP67" s="57" t="s">
        <v>1288</v>
      </c>
      <c r="BQ67" s="57" t="s">
        <v>1288</v>
      </c>
      <c r="BR67" s="57" t="s">
        <v>1288</v>
      </c>
      <c r="BS67" s="57" t="s">
        <v>1288</v>
      </c>
      <c r="BT67" s="57" t="s">
        <v>1288</v>
      </c>
      <c r="BU67" s="57" t="s">
        <v>1288</v>
      </c>
      <c r="BV67" s="70">
        <f t="shared" si="254"/>
        <v>4</v>
      </c>
      <c r="BW67" s="71">
        <f t="shared" si="255"/>
        <v>35</v>
      </c>
      <c r="BX67" s="72">
        <f t="shared" si="256"/>
        <v>39</v>
      </c>
      <c r="BY67" s="71">
        <f t="shared" si="257"/>
        <v>70</v>
      </c>
      <c r="BZ67" s="72">
        <f t="shared" si="258"/>
        <v>73</v>
      </c>
      <c r="CA67" s="71">
        <f t="shared" si="259"/>
        <v>109</v>
      </c>
      <c r="CB67" s="72">
        <f t="shared" si="260"/>
        <v>117</v>
      </c>
      <c r="CC67" s="71">
        <f t="shared" si="261"/>
        <v>166</v>
      </c>
      <c r="CD67" s="72">
        <f t="shared" si="262"/>
        <v>173</v>
      </c>
      <c r="CE67" s="71">
        <f t="shared" si="263"/>
        <v>225</v>
      </c>
      <c r="CF67" s="72">
        <f t="shared" si="264"/>
        <v>266</v>
      </c>
      <c r="CG67" s="71">
        <f t="shared" si="265"/>
        <v>292</v>
      </c>
      <c r="CH67" s="70">
        <f t="shared" si="266"/>
        <v>34</v>
      </c>
      <c r="CI67" s="71">
        <f t="shared" si="267"/>
        <v>38</v>
      </c>
      <c r="CJ67" s="72">
        <f t="shared" si="268"/>
        <v>63</v>
      </c>
      <c r="CK67" s="72">
        <f t="shared" si="269"/>
        <v>72</v>
      </c>
      <c r="CL67" s="72">
        <f t="shared" si="270"/>
        <v>108</v>
      </c>
      <c r="CM67" s="72">
        <f t="shared" si="271"/>
        <v>116</v>
      </c>
      <c r="CN67" s="72">
        <f t="shared" si="272"/>
        <v>142</v>
      </c>
      <c r="CO67" s="72">
        <f t="shared" si="273"/>
        <v>168</v>
      </c>
      <c r="CP67" s="72">
        <f t="shared" si="274"/>
        <v>205</v>
      </c>
      <c r="CQ67" s="72">
        <f t="shared" si="275"/>
        <v>259</v>
      </c>
      <c r="CR67" s="72">
        <f t="shared" si="276"/>
        <v>291</v>
      </c>
      <c r="CS67" s="72">
        <f t="shared" si="277"/>
        <v>307</v>
      </c>
      <c r="CT67" s="23">
        <f t="shared" si="278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51"/>
        <v>aa2ar_human_6GDG</v>
      </c>
      <c r="B68" s="3" t="s">
        <v>139</v>
      </c>
      <c r="C68" s="3" t="s">
        <v>1493</v>
      </c>
      <c r="D68" s="3" t="str">
        <f>IFERROR(MID(VLOOKUP($B68,Seqs!$A:$B,2,0),E68,1),"")</f>
        <v>V</v>
      </c>
      <c r="E68" s="3">
        <v>8</v>
      </c>
      <c r="F68" s="3" t="str">
        <f>IFERROR(MID(VLOOKUP($B68,Seqs!$A:$B,2,0),G68,1),"")</f>
        <v>N</v>
      </c>
      <c r="G68" s="3">
        <v>34</v>
      </c>
      <c r="H68" s="3" t="str">
        <f>IFERROR(MID(VLOOKUP($B68,Seqs!$A:$B,2,0),I68,1),"")</f>
        <v>S</v>
      </c>
      <c r="I68" s="23">
        <v>35</v>
      </c>
      <c r="J68" s="3" t="str">
        <f>IFERROR(MID(VLOOKUP($B68,Seqs!$A:$B,2,0),K68,1),"")</f>
        <v>Q</v>
      </c>
      <c r="K68" s="23">
        <v>38</v>
      </c>
      <c r="L68" s="3" t="str">
        <f>IFERROR(MID(VLOOKUP($B68,Seqs!$A:$B,2,0),M68,1),"")</f>
        <v>N</v>
      </c>
      <c r="M68" s="3">
        <v>39</v>
      </c>
      <c r="N68" s="3" t="str">
        <f>IFERROR(MID(VLOOKUP($B68,Seqs!$A:$B,2,0),O68,1),"")</f>
        <v>G</v>
      </c>
      <c r="O68" s="3">
        <v>69</v>
      </c>
      <c r="P68" s="3" t="str">
        <f>IFERROR(MID(VLOOKUP($B68,Seqs!$A:$B,2,0),Q68,1),"")</f>
        <v>F</v>
      </c>
      <c r="Q68" s="3">
        <v>70</v>
      </c>
      <c r="R68" s="3" t="str">
        <f>IFERROR(MID(VLOOKUP($B68,Seqs!$A:$B,2,0),S68,1),"")</f>
        <v>A</v>
      </c>
      <c r="S68" s="3">
        <v>72</v>
      </c>
      <c r="T68" s="3" t="str">
        <f>IFERROR(MID(VLOOKUP($B68,Seqs!$A:$B,2,0),U68,1),"")</f>
        <v>A</v>
      </c>
      <c r="U68" s="3">
        <v>73</v>
      </c>
      <c r="V68" s="3" t="str">
        <f>IFERROR(MID(VLOOKUP($B68,Seqs!$A:$B,2,0),W68,1),"")</f>
        <v>I</v>
      </c>
      <c r="W68" s="3">
        <v>108</v>
      </c>
      <c r="X68" s="3" t="str">
        <f>IFERROR(MID(VLOOKUP($B68,Seqs!$A:$B,2,0),Y68,1),"")</f>
        <v>P</v>
      </c>
      <c r="Y68" s="3">
        <v>109</v>
      </c>
      <c r="Z68" s="3" t="str">
        <f>IFERROR(MID(VLOOKUP($B68,Seqs!$A:$B,2,0),AA68,1),"")</f>
        <v>V</v>
      </c>
      <c r="AA68" s="3">
        <v>116</v>
      </c>
      <c r="AB68" s="3" t="str">
        <f>IFERROR(MID(VLOOKUP($B68,Seqs!$A:$B,2,0),AC68,1),"")</f>
        <v>T</v>
      </c>
      <c r="AC68" s="3">
        <v>117</v>
      </c>
      <c r="AD68" s="3" t="str">
        <f>IFERROR(MID(VLOOKUP($B68,Seqs!$A:$B,2,0),AE68,1),"")</f>
        <v>L</v>
      </c>
      <c r="AE68" s="3">
        <v>141</v>
      </c>
      <c r="AF68" s="3" t="str">
        <f>IFERROR(MID(VLOOKUP($B68,Seqs!$A:$B,2,0),AG68,1),"")</f>
        <v>C</v>
      </c>
      <c r="AG68" s="3">
        <v>166</v>
      </c>
      <c r="AH68" s="3" t="str">
        <f>IFERROR(MID(VLOOKUP($B68,Seqs!$A:$B,2,0),AI68,1),"")</f>
        <v>F</v>
      </c>
      <c r="AI68" s="3">
        <v>168</v>
      </c>
      <c r="AJ68" s="3" t="str">
        <f>IFERROR(MID(VLOOKUP($B68,Seqs!$A:$B,2,0),AK68,1),"")</f>
        <v>P</v>
      </c>
      <c r="AK68" s="3">
        <v>173</v>
      </c>
      <c r="AL68" s="3" t="str">
        <f>IFERROR(MID(VLOOKUP($B68,Seqs!$A:$B,2,0),AM68,1),"")</f>
        <v>L</v>
      </c>
      <c r="AM68" s="3">
        <v>208</v>
      </c>
      <c r="AN68" s="3" t="str">
        <f>IFERROR(MID(VLOOKUP($B68,Seqs!$A:$B,2,0),AO68,1),"")</f>
        <v>T</v>
      </c>
      <c r="AO68" s="3">
        <v>224</v>
      </c>
      <c r="AP68" s="3" t="str">
        <f>IFERROR(MID(VLOOKUP($B68,Seqs!$A:$B,2,0),AQ68,1),"")</f>
        <v>C</v>
      </c>
      <c r="AQ68" s="3">
        <v>259</v>
      </c>
      <c r="AR68" s="3" t="str">
        <f>IFERROR(MID(VLOOKUP($B68,Seqs!$A:$B,2,0),AS68,1),"")</f>
        <v>P</v>
      </c>
      <c r="AS68" s="3">
        <v>266</v>
      </c>
      <c r="AT68" s="3" t="str">
        <f>IFERROR(MID(VLOOKUP($B68,Seqs!$A:$B,2,0),AU68,1),"")</f>
        <v>R</v>
      </c>
      <c r="AU68" s="3">
        <v>291</v>
      </c>
      <c r="AV68" s="3" t="str">
        <f>IFERROR(MID(VLOOKUP($B68,Seqs!$A:$B,2,0),AW68,1),"")</f>
        <v>I</v>
      </c>
      <c r="AW68" s="3">
        <v>292</v>
      </c>
      <c r="AX68" s="3" t="str">
        <f>IFERROR(MID(VLOOKUP($B68,Seqs!$A:$B,2,0),AY68,1),"")</f>
        <v>F</v>
      </c>
      <c r="AY68" s="3">
        <v>299</v>
      </c>
      <c r="AZ68" s="77" t="str">
        <f>VLOOKUP(B68,Classification!A:D,2,0)</f>
        <v>A</v>
      </c>
      <c r="BA68" s="94" t="str">
        <f>VLOOKUP(B68,Classification!A:D,4,0)</f>
        <v>Adenosine</v>
      </c>
      <c r="BB68" s="27" t="b">
        <f t="shared" si="252"/>
        <v>1</v>
      </c>
      <c r="BC68" s="23">
        <f t="shared" si="253"/>
        <v>243</v>
      </c>
      <c r="BD68" s="5" t="s">
        <v>23</v>
      </c>
      <c r="BE68" s="3" t="s">
        <v>1292</v>
      </c>
      <c r="BF68" s="119">
        <v>4.1100000000000003</v>
      </c>
      <c r="BG68" s="49" t="s">
        <v>1</v>
      </c>
      <c r="BH68" s="49" t="s">
        <v>1</v>
      </c>
      <c r="BI68" s="1"/>
      <c r="BJ68" s="70" t="s">
        <v>1288</v>
      </c>
      <c r="BK68" s="57" t="s">
        <v>1288</v>
      </c>
      <c r="BL68" s="57" t="s">
        <v>1288</v>
      </c>
      <c r="BM68" s="57" t="s">
        <v>1288</v>
      </c>
      <c r="BN68" s="57" t="s">
        <v>1288</v>
      </c>
      <c r="BO68" s="57" t="s">
        <v>1288</v>
      </c>
      <c r="BP68" s="57" t="s">
        <v>1288</v>
      </c>
      <c r="BQ68" s="57" t="s">
        <v>1288</v>
      </c>
      <c r="BR68" s="57" t="s">
        <v>1288</v>
      </c>
      <c r="BS68" s="57" t="s">
        <v>1288</v>
      </c>
      <c r="BT68" s="57" t="s">
        <v>1288</v>
      </c>
      <c r="BU68" s="57" t="s">
        <v>1288</v>
      </c>
      <c r="BV68" s="70">
        <f t="shared" si="254"/>
        <v>8</v>
      </c>
      <c r="BW68" s="71">
        <f t="shared" si="255"/>
        <v>35</v>
      </c>
      <c r="BX68" s="72">
        <f t="shared" si="256"/>
        <v>39</v>
      </c>
      <c r="BY68" s="71">
        <f t="shared" si="257"/>
        <v>70</v>
      </c>
      <c r="BZ68" s="72">
        <f t="shared" si="258"/>
        <v>73</v>
      </c>
      <c r="CA68" s="71">
        <f t="shared" si="259"/>
        <v>109</v>
      </c>
      <c r="CB68" s="72">
        <f t="shared" si="260"/>
        <v>117</v>
      </c>
      <c r="CC68" s="71">
        <f t="shared" si="261"/>
        <v>166</v>
      </c>
      <c r="CD68" s="72">
        <f t="shared" si="262"/>
        <v>173</v>
      </c>
      <c r="CE68" s="71">
        <f t="shared" si="263"/>
        <v>224</v>
      </c>
      <c r="CF68" s="72">
        <f t="shared" si="264"/>
        <v>266</v>
      </c>
      <c r="CG68" s="71">
        <f t="shared" si="265"/>
        <v>292</v>
      </c>
      <c r="CH68" s="70">
        <f t="shared" si="266"/>
        <v>34</v>
      </c>
      <c r="CI68" s="71">
        <f t="shared" si="267"/>
        <v>38</v>
      </c>
      <c r="CJ68" s="72">
        <f t="shared" si="268"/>
        <v>69</v>
      </c>
      <c r="CK68" s="72">
        <f t="shared" si="269"/>
        <v>72</v>
      </c>
      <c r="CL68" s="72">
        <f t="shared" si="270"/>
        <v>108</v>
      </c>
      <c r="CM68" s="72">
        <f t="shared" si="271"/>
        <v>116</v>
      </c>
      <c r="CN68" s="72">
        <f t="shared" si="272"/>
        <v>141</v>
      </c>
      <c r="CO68" s="72">
        <f t="shared" si="273"/>
        <v>168</v>
      </c>
      <c r="CP68" s="72">
        <f t="shared" si="274"/>
        <v>208</v>
      </c>
      <c r="CQ68" s="72">
        <f t="shared" si="275"/>
        <v>259</v>
      </c>
      <c r="CR68" s="72">
        <f t="shared" si="276"/>
        <v>291</v>
      </c>
      <c r="CS68" s="72">
        <f t="shared" si="277"/>
        <v>299</v>
      </c>
      <c r="CT68" s="23">
        <f t="shared" si="278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s="12" customFormat="1" x14ac:dyDescent="0.2">
      <c r="A69" s="9" t="str">
        <f t="shared" ref="A69" si="335">CONCATENATE(B69,"_",C69)</f>
        <v>aa2ar_human_6MH8</v>
      </c>
      <c r="B69" s="9" t="s">
        <v>139</v>
      </c>
      <c r="C69" s="9" t="s">
        <v>1573</v>
      </c>
      <c r="D69" s="9" t="str">
        <f>IFERROR(MID(VLOOKUP($B69,Seqs!$A:$B,2,0),E69,1),"")</f>
        <v>M</v>
      </c>
      <c r="E69" s="9">
        <v>1</v>
      </c>
      <c r="F69" s="9" t="str">
        <f>IFERROR(MID(VLOOKUP($B69,Seqs!$A:$B,2,0),G69,1),"")</f>
        <v>N</v>
      </c>
      <c r="G69" s="9">
        <v>34</v>
      </c>
      <c r="H69" s="9" t="str">
        <f>IFERROR(MID(VLOOKUP($B69,Seqs!$A:$B,2,0),I69,1),"")</f>
        <v>S</v>
      </c>
      <c r="I69" s="109">
        <v>35</v>
      </c>
      <c r="J69" s="9" t="str">
        <f>IFERROR(MID(VLOOKUP($B69,Seqs!$A:$B,2,0),K69,1),"")</f>
        <v>Q</v>
      </c>
      <c r="K69" s="109">
        <v>38</v>
      </c>
      <c r="L69" s="9" t="str">
        <f>IFERROR(MID(VLOOKUP($B69,Seqs!$A:$B,2,0),M69,1),"")</f>
        <v>N</v>
      </c>
      <c r="M69" s="9">
        <v>39</v>
      </c>
      <c r="N69" s="9" t="str">
        <f>IFERROR(MID(VLOOKUP($B69,Seqs!$A:$B,2,0),O69,1),"")</f>
        <v>G</v>
      </c>
      <c r="O69" s="9">
        <v>69</v>
      </c>
      <c r="P69" s="9" t="str">
        <f>IFERROR(MID(VLOOKUP($B69,Seqs!$A:$B,2,0),Q69,1),"")</f>
        <v>F</v>
      </c>
      <c r="Q69" s="9">
        <v>70</v>
      </c>
      <c r="R69" s="9" t="str">
        <f>IFERROR(MID(VLOOKUP($B69,Seqs!$A:$B,2,0),S69,1),"")</f>
        <v>A</v>
      </c>
      <c r="S69" s="9">
        <v>72</v>
      </c>
      <c r="T69" s="9" t="str">
        <f>IFERROR(MID(VLOOKUP($B69,Seqs!$A:$B,2,0),U69,1),"")</f>
        <v>A</v>
      </c>
      <c r="U69" s="9">
        <v>73</v>
      </c>
      <c r="V69" s="9" t="str">
        <f>IFERROR(MID(VLOOKUP($B69,Seqs!$A:$B,2,0),W69,1),"")</f>
        <v>I</v>
      </c>
      <c r="W69" s="9">
        <v>108</v>
      </c>
      <c r="X69" s="9" t="str">
        <f>IFERROR(MID(VLOOKUP($B69,Seqs!$A:$B,2,0),Y69,1),"")</f>
        <v>P</v>
      </c>
      <c r="Y69" s="9">
        <v>109</v>
      </c>
      <c r="Z69" s="9" t="str">
        <f>IFERROR(MID(VLOOKUP($B69,Seqs!$A:$B,2,0),AA69,1),"")</f>
        <v>V</v>
      </c>
      <c r="AA69" s="9">
        <v>116</v>
      </c>
      <c r="AB69" s="9" t="str">
        <f>IFERROR(MID(VLOOKUP($B69,Seqs!$A:$B,2,0),AC69,1),"")</f>
        <v>T</v>
      </c>
      <c r="AC69" s="9">
        <v>117</v>
      </c>
      <c r="AD69" s="9" t="str">
        <f>IFERROR(MID(VLOOKUP($B69,Seqs!$A:$B,2,0),AE69,1),"")</f>
        <v>G</v>
      </c>
      <c r="AE69" s="9">
        <v>142</v>
      </c>
      <c r="AF69" s="9" t="str">
        <f>IFERROR(MID(VLOOKUP($B69,Seqs!$A:$B,2,0),AG69,1),"")</f>
        <v>C</v>
      </c>
      <c r="AG69" s="9">
        <v>166</v>
      </c>
      <c r="AH69" s="9" t="str">
        <f>IFERROR(MID(VLOOKUP($B69,Seqs!$A:$B,2,0),AI69,1),"")</f>
        <v>F</v>
      </c>
      <c r="AI69" s="9">
        <v>168</v>
      </c>
      <c r="AJ69" s="9" t="str">
        <f>IFERROR(MID(VLOOKUP($B69,Seqs!$A:$B,2,0),AK69,1),"")</f>
        <v>P</v>
      </c>
      <c r="AK69" s="9">
        <v>173</v>
      </c>
      <c r="AL69" s="9" t="str">
        <f>IFERROR(MID(VLOOKUP($B69,Seqs!$A:$B,2,0),AM69,1),"")</f>
        <v>L</v>
      </c>
      <c r="AM69" s="9">
        <v>208</v>
      </c>
      <c r="AN69" s="9" t="str">
        <f>IFERROR(MID(VLOOKUP($B69,Seqs!$A:$B,2,0),AO69,1),"")</f>
        <v>E</v>
      </c>
      <c r="AO69" s="9">
        <v>219</v>
      </c>
      <c r="AP69" s="9" t="str">
        <f>IFERROR(MID(VLOOKUP($B69,Seqs!$A:$B,2,0),AQ69,1),"")</f>
        <v>C</v>
      </c>
      <c r="AQ69" s="9">
        <v>259</v>
      </c>
      <c r="AR69" s="9" t="str">
        <f>IFERROR(MID(VLOOKUP($B69,Seqs!$A:$B,2,0),AS69,1),"")</f>
        <v>P</v>
      </c>
      <c r="AS69" s="9">
        <v>266</v>
      </c>
      <c r="AT69" s="9" t="str">
        <f>IFERROR(MID(VLOOKUP($B69,Seqs!$A:$B,2,0),AU69,1),"")</f>
        <v>R</v>
      </c>
      <c r="AU69" s="9">
        <v>291</v>
      </c>
      <c r="AV69" s="9" t="str">
        <f>IFERROR(MID(VLOOKUP($B69,Seqs!$A:$B,2,0),AW69,1),"")</f>
        <v>I</v>
      </c>
      <c r="AW69" s="9">
        <v>292</v>
      </c>
      <c r="AX69" s="9" t="str">
        <f>IFERROR(MID(VLOOKUP($B69,Seqs!$A:$B,2,0),AY69,1),"")</f>
        <v>H</v>
      </c>
      <c r="AY69" s="9">
        <v>306</v>
      </c>
      <c r="AZ69" s="110" t="str">
        <f>VLOOKUP(B69,Classification!A:D,2,0)</f>
        <v>A</v>
      </c>
      <c r="BA69" s="98" t="str">
        <f>VLOOKUP(B69,Classification!A:D,4,0)</f>
        <v>Adenosine</v>
      </c>
      <c r="BB69" s="36" t="b">
        <f t="shared" ref="BB69" si="336">AND(E69&lt;G69,OR(G69&lt;I69,I69="-"),OR(I69&lt;K69,I69="-"),OR(K69&lt;M69,K69="-"),M69&lt;O69,OR(O69&lt;Q69,Q69="-"),OR(Q69&lt;S69,Q69="-"),OR(S69&lt;U69,S69="-"),U69&lt;W69,OR(W69&lt;Y69,Y69="-"),OR(Y69&lt;AA69,Y69="-"),OR(AA69&lt;AC69,AA69="-"),AC69&lt;AE69,OR(AE69&lt;AG69,AG69="-"),OR(AG69&lt;AI69,AG69="-"),OR(AI69&lt;AK69,AI69="-"),AK69&lt;AM69,AM69&lt;AO69,AO69&lt;AQ69,AQ69&lt;AS69,AS69&lt;AU69,OR(AU69&lt;AW69,AW69="-"),OR(AW69&lt;AY69,AW69="-"))</f>
        <v>1</v>
      </c>
      <c r="BC69" s="109">
        <f t="shared" ref="BC69" si="337">_xlfn.AGGREGATE(9,6,CH69:CS69)-_xlfn.AGGREGATE(9,6,BV69:CG69)+12</f>
        <v>263</v>
      </c>
      <c r="BD69" s="13" t="s">
        <v>23</v>
      </c>
      <c r="BE69" s="9" t="s">
        <v>1375</v>
      </c>
      <c r="BF69" s="120">
        <v>4.2</v>
      </c>
      <c r="BG69" s="51" t="s">
        <v>1</v>
      </c>
      <c r="BH69" s="51" t="s">
        <v>1</v>
      </c>
      <c r="BJ69" s="111" t="s">
        <v>1288</v>
      </c>
      <c r="BK69" s="112" t="s">
        <v>1288</v>
      </c>
      <c r="BL69" s="112" t="s">
        <v>1288</v>
      </c>
      <c r="BM69" s="112" t="s">
        <v>1288</v>
      </c>
      <c r="BN69" s="112" t="s">
        <v>1288</v>
      </c>
      <c r="BO69" s="112" t="s">
        <v>1288</v>
      </c>
      <c r="BP69" s="112" t="s">
        <v>1288</v>
      </c>
      <c r="BQ69" s="112" t="s">
        <v>1288</v>
      </c>
      <c r="BR69" s="112" t="s">
        <v>1288</v>
      </c>
      <c r="BS69" s="112" t="s">
        <v>1288</v>
      </c>
      <c r="BT69" s="112" t="s">
        <v>1288</v>
      </c>
      <c r="BU69" s="112" t="s">
        <v>1288</v>
      </c>
      <c r="BV69" s="111">
        <f t="shared" ref="BV69" si="338">E69</f>
        <v>1</v>
      </c>
      <c r="BW69" s="113">
        <f t="shared" ref="BW69" si="339">I69</f>
        <v>35</v>
      </c>
      <c r="BX69" s="114">
        <f t="shared" ref="BX69" si="340">M69</f>
        <v>39</v>
      </c>
      <c r="BY69" s="113">
        <f t="shared" ref="BY69" si="341">Q69</f>
        <v>70</v>
      </c>
      <c r="BZ69" s="114">
        <f t="shared" ref="BZ69" si="342">U69</f>
        <v>73</v>
      </c>
      <c r="CA69" s="113">
        <f t="shared" ref="CA69" si="343">Y69</f>
        <v>109</v>
      </c>
      <c r="CB69" s="114">
        <f t="shared" ref="CB69" si="344">AC69</f>
        <v>117</v>
      </c>
      <c r="CC69" s="113">
        <f t="shared" ref="CC69" si="345">AG69</f>
        <v>166</v>
      </c>
      <c r="CD69" s="114">
        <f t="shared" ref="CD69" si="346">AK69</f>
        <v>173</v>
      </c>
      <c r="CE69" s="113">
        <f t="shared" ref="CE69" si="347">AO69</f>
        <v>219</v>
      </c>
      <c r="CF69" s="114">
        <f t="shared" ref="CF69" si="348">AS69</f>
        <v>266</v>
      </c>
      <c r="CG69" s="113">
        <f t="shared" ref="CG69" si="349">AW69</f>
        <v>292</v>
      </c>
      <c r="CH69" s="111">
        <f t="shared" ref="CH69" si="350">G69</f>
        <v>34</v>
      </c>
      <c r="CI69" s="113">
        <f t="shared" ref="CI69" si="351">K69</f>
        <v>38</v>
      </c>
      <c r="CJ69" s="114">
        <f t="shared" ref="CJ69" si="352">O69</f>
        <v>69</v>
      </c>
      <c r="CK69" s="114">
        <f t="shared" ref="CK69" si="353">S69</f>
        <v>72</v>
      </c>
      <c r="CL69" s="114">
        <f t="shared" ref="CL69" si="354">W69</f>
        <v>108</v>
      </c>
      <c r="CM69" s="114">
        <f t="shared" ref="CM69" si="355">AA69</f>
        <v>116</v>
      </c>
      <c r="CN69" s="114">
        <f t="shared" ref="CN69" si="356">AE69</f>
        <v>142</v>
      </c>
      <c r="CO69" s="114">
        <f t="shared" ref="CO69" si="357">AI69</f>
        <v>168</v>
      </c>
      <c r="CP69" s="114">
        <f t="shared" ref="CP69" si="358">AM69</f>
        <v>208</v>
      </c>
      <c r="CQ69" s="114">
        <f t="shared" ref="CQ69" si="359">AQ69</f>
        <v>259</v>
      </c>
      <c r="CR69" s="114">
        <f t="shared" ref="CR69" si="360">AU69</f>
        <v>291</v>
      </c>
      <c r="CS69" s="114">
        <f t="shared" ref="CS69" si="361">AY69</f>
        <v>306</v>
      </c>
      <c r="CT69" s="109">
        <f t="shared" ref="CT69" si="362">M69-K69</f>
        <v>1</v>
      </c>
    </row>
    <row r="70" spans="1:1029" x14ac:dyDescent="0.2">
      <c r="A70" s="3" t="str">
        <f t="shared" si="0"/>
        <v>acm1_human__wt</v>
      </c>
      <c r="B70" s="3" t="s">
        <v>146</v>
      </c>
      <c r="C70" s="3" t="s">
        <v>100</v>
      </c>
      <c r="D70" s="3" t="str">
        <f>IFERROR(MID(VLOOKUP($B70,Seqs!$A:$B,2,0),E70,1),"")</f>
        <v>P</v>
      </c>
      <c r="E70" s="3">
        <v>22</v>
      </c>
      <c r="F70" s="3" t="str">
        <f>IFERROR(MID(VLOOKUP($B70,Seqs!$A:$B,2,0),G70,1),"")</f>
        <v>N</v>
      </c>
      <c r="G70" s="3">
        <v>53</v>
      </c>
      <c r="H70" s="3" t="str">
        <f>IFERROR(MID(VLOOKUP($B70,Seqs!$A:$B,2,0),I70,1),"")</f>
        <v>T</v>
      </c>
      <c r="I70" s="23">
        <v>54</v>
      </c>
      <c r="J70" s="3" t="str">
        <f>IFERROR(MID(VLOOKUP($B70,Seqs!$A:$B,2,0),K70,1),"")</f>
        <v>K</v>
      </c>
      <c r="K70" s="23">
        <v>57</v>
      </c>
      <c r="L70" s="3" t="str">
        <f>IFERROR(MID(VLOOKUP($B70,Seqs!$A:$B,2,0),M70,1),"")</f>
        <v>T</v>
      </c>
      <c r="M70" s="3">
        <v>58</v>
      </c>
      <c r="N70" s="3" t="str">
        <f>IFERROR(MID(VLOOKUP($B70,Seqs!$A:$B,2,0),O70,1),"")</f>
        <v>G</v>
      </c>
      <c r="O70" s="3">
        <v>89</v>
      </c>
      <c r="P70" s="3" t="str">
        <f>IFERROR(MID(VLOOKUP($B70,Seqs!$A:$B,2,0),Q70,1),"")</f>
        <v>H</v>
      </c>
      <c r="Q70" s="3">
        <v>90</v>
      </c>
      <c r="R70" s="3" t="str">
        <f>IFERROR(MID(VLOOKUP($B70,Seqs!$A:$B,2,0),S70,1),"")</f>
        <v>L</v>
      </c>
      <c r="S70" s="3">
        <v>93</v>
      </c>
      <c r="T70" s="3" t="str">
        <f>IFERROR(MID(VLOOKUP($B70,Seqs!$A:$B,2,0),U70,1),"")</f>
        <v>G</v>
      </c>
      <c r="U70" s="3">
        <v>94</v>
      </c>
      <c r="V70" s="3" t="str">
        <f>IFERROR(MID(VLOOKUP($B70,Seqs!$A:$B,2,0),W70,1),"")</f>
        <v>R</v>
      </c>
      <c r="W70" s="3">
        <v>129</v>
      </c>
      <c r="X70" s="3" t="str">
        <f>IFERROR(MID(VLOOKUP($B70,Seqs!$A:$B,2,0),Y70,1),"")</f>
        <v>P</v>
      </c>
      <c r="Y70" s="3">
        <v>130</v>
      </c>
      <c r="Z70" s="3" t="str">
        <f>IFERROR(MID(VLOOKUP($B70,Seqs!$A:$B,2,0),AA70,1),"")</f>
        <v>R</v>
      </c>
      <c r="AA70" s="3">
        <v>137</v>
      </c>
      <c r="AB70" s="3" t="str">
        <f>IFERROR(MID(VLOOKUP($B70,Seqs!$A:$B,2,0),AC70,1),"")</f>
        <v>T</v>
      </c>
      <c r="AC70" s="3">
        <v>138</v>
      </c>
      <c r="AD70" s="3" t="str">
        <f>IFERROR(MID(VLOOKUP($B70,Seqs!$A:$B,2,0),AE70,1),"")</f>
        <v>G</v>
      </c>
      <c r="AE70" s="3">
        <v>169</v>
      </c>
      <c r="AF70" s="3" t="str">
        <f>IFERROR(MID(VLOOKUP($B70,Seqs!$A:$B,2,0),AG70,1),"")</f>
        <v>C</v>
      </c>
      <c r="AG70" s="3">
        <v>178</v>
      </c>
      <c r="AH70" s="3" t="str">
        <f>IFERROR(MID(VLOOKUP($B70,Seqs!$A:$B,2,0),AI70,1),"")</f>
        <v>I</v>
      </c>
      <c r="AI70" s="3">
        <v>180</v>
      </c>
      <c r="AJ70" s="3" t="str">
        <f>IFERROR(MID(VLOOKUP($B70,Seqs!$A:$B,2,0),AK70,1),"")</f>
        <v>Q</v>
      </c>
      <c r="AK70" s="3">
        <v>185</v>
      </c>
      <c r="AL70" s="3" t="str">
        <f>IFERROR(MID(VLOOKUP($B70,Seqs!$A:$B,2,0),AM70,1),"")</f>
        <v>L</v>
      </c>
      <c r="AM70" s="3">
        <v>225</v>
      </c>
      <c r="AN70" s="3" t="str">
        <f>IFERROR(MID(VLOOKUP($B70,Seqs!$A:$B,2,0),AO70,1),"")</f>
        <v>T</v>
      </c>
      <c r="AO70" s="3">
        <v>354</v>
      </c>
      <c r="AP70" s="3" t="str">
        <f>IFERROR(MID(VLOOKUP($B70,Seqs!$A:$B,2,0),AQ70,1),"")</f>
        <v>C</v>
      </c>
      <c r="AQ70" s="3">
        <v>391</v>
      </c>
      <c r="AR70" s="3" t="str">
        <f>IFERROR(MID(VLOOKUP($B70,Seqs!$A:$B,2,0),AS70,1),"")</f>
        <v>P</v>
      </c>
      <c r="AS70" s="3">
        <v>396</v>
      </c>
      <c r="AT70" s="3" t="str">
        <f>IFERROR(MID(VLOOKUP($B70,Seqs!$A:$B,2,0),AU70,1),"")</f>
        <v>C</v>
      </c>
      <c r="AU70" s="3">
        <v>421</v>
      </c>
      <c r="AV70" s="3" t="str">
        <f>IFERROR(MID(VLOOKUP($B70,Seqs!$A:$B,2,0),AW70,1),"")</f>
        <v>N</v>
      </c>
      <c r="AW70" s="3">
        <v>422</v>
      </c>
      <c r="AX70" s="3" t="str">
        <f>IFERROR(MID(VLOOKUP($B70,Seqs!$A:$B,2,0),AY70,1),"")</f>
        <v>L</v>
      </c>
      <c r="AY70" s="3">
        <v>434</v>
      </c>
      <c r="AZ70" s="77" t="str">
        <f>VLOOKUP(B70,Classification!A:D,2,0)</f>
        <v>A</v>
      </c>
      <c r="BA70" s="94" t="str">
        <f>VLOOKUP(B70,Classification!A:D,4,0)</f>
        <v>Acetylcholine(muscarinic)</v>
      </c>
      <c r="BB70" s="27" t="b">
        <f t="shared" si="1"/>
        <v>1</v>
      </c>
      <c r="BC70" s="23">
        <f t="shared" si="225"/>
        <v>269</v>
      </c>
      <c r="BD70" s="56" t="s">
        <v>23</v>
      </c>
      <c r="BE70" s="3" t="s">
        <v>23</v>
      </c>
      <c r="BF70" s="119" t="s">
        <v>23</v>
      </c>
      <c r="BG70" s="49" t="s">
        <v>1373</v>
      </c>
      <c r="BH70" s="49" t="s">
        <v>1378</v>
      </c>
      <c r="BI70" s="1"/>
      <c r="BJ70" s="70" t="s">
        <v>1288</v>
      </c>
      <c r="BK70" s="57" t="s">
        <v>1288</v>
      </c>
      <c r="BL70" s="57" t="s">
        <v>1288</v>
      </c>
      <c r="BM70" s="57" t="s">
        <v>1288</v>
      </c>
      <c r="BN70" s="57" t="s">
        <v>1288</v>
      </c>
      <c r="BO70" s="57" t="s">
        <v>1288</v>
      </c>
      <c r="BP70" s="57" t="s">
        <v>1288</v>
      </c>
      <c r="BQ70" s="57" t="s">
        <v>1288</v>
      </c>
      <c r="BR70" s="57" t="s">
        <v>1288</v>
      </c>
      <c r="BS70" s="57" t="s">
        <v>1288</v>
      </c>
      <c r="BT70" s="57" t="s">
        <v>1288</v>
      </c>
      <c r="BU70" s="57" t="s">
        <v>1288</v>
      </c>
      <c r="BV70" s="70">
        <f t="shared" si="226"/>
        <v>22</v>
      </c>
      <c r="BW70" s="71">
        <f t="shared" si="227"/>
        <v>54</v>
      </c>
      <c r="BX70" s="72">
        <f t="shared" si="228"/>
        <v>58</v>
      </c>
      <c r="BY70" s="71">
        <f t="shared" si="229"/>
        <v>90</v>
      </c>
      <c r="BZ70" s="72">
        <f t="shared" si="230"/>
        <v>94</v>
      </c>
      <c r="CA70" s="71">
        <f t="shared" si="231"/>
        <v>130</v>
      </c>
      <c r="CB70" s="72">
        <f t="shared" si="232"/>
        <v>138</v>
      </c>
      <c r="CC70" s="71">
        <f t="shared" si="233"/>
        <v>178</v>
      </c>
      <c r="CD70" s="72">
        <f t="shared" si="234"/>
        <v>185</v>
      </c>
      <c r="CE70" s="71">
        <f t="shared" si="235"/>
        <v>354</v>
      </c>
      <c r="CF70" s="72">
        <f t="shared" si="236"/>
        <v>396</v>
      </c>
      <c r="CG70" s="71">
        <f t="shared" si="237"/>
        <v>422</v>
      </c>
      <c r="CH70" s="70">
        <f t="shared" si="238"/>
        <v>53</v>
      </c>
      <c r="CI70" s="71">
        <f t="shared" si="239"/>
        <v>57</v>
      </c>
      <c r="CJ70" s="72">
        <f t="shared" si="240"/>
        <v>89</v>
      </c>
      <c r="CK70" s="72">
        <f t="shared" si="241"/>
        <v>93</v>
      </c>
      <c r="CL70" s="72">
        <f t="shared" si="242"/>
        <v>129</v>
      </c>
      <c r="CM70" s="72">
        <f t="shared" si="243"/>
        <v>137</v>
      </c>
      <c r="CN70" s="72">
        <f t="shared" si="244"/>
        <v>169</v>
      </c>
      <c r="CO70" s="72">
        <f t="shared" si="245"/>
        <v>180</v>
      </c>
      <c r="CP70" s="72">
        <f t="shared" si="246"/>
        <v>225</v>
      </c>
      <c r="CQ70" s="72">
        <f t="shared" si="247"/>
        <v>391</v>
      </c>
      <c r="CR70" s="72">
        <f t="shared" si="248"/>
        <v>421</v>
      </c>
      <c r="CS70" s="72">
        <f t="shared" si="249"/>
        <v>434</v>
      </c>
      <c r="CT70" s="23">
        <f t="shared" si="250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si="0"/>
        <v>acm1_human_5CXV</v>
      </c>
      <c r="B71" s="3" t="s">
        <v>146</v>
      </c>
      <c r="C71" s="3" t="s">
        <v>62</v>
      </c>
      <c r="D71" s="3" t="str">
        <f>IFERROR(MID(VLOOKUP($B71,Seqs!$A:$B,2,0),E71,1),"")</f>
        <v>P</v>
      </c>
      <c r="E71" s="3">
        <v>22</v>
      </c>
      <c r="F71" s="3" t="str">
        <f>IFERROR(MID(VLOOKUP($B71,Seqs!$A:$B,2,0),G71,1),"")</f>
        <v>N</v>
      </c>
      <c r="G71" s="3">
        <v>53</v>
      </c>
      <c r="H71" s="3" t="str">
        <f>IFERROR(MID(VLOOKUP($B71,Seqs!$A:$B,2,0),I71,1),"")</f>
        <v>T</v>
      </c>
      <c r="I71" s="23">
        <v>54</v>
      </c>
      <c r="J71" s="3" t="str">
        <f>IFERROR(MID(VLOOKUP($B71,Seqs!$A:$B,2,0),K71,1),"")</f>
        <v>K</v>
      </c>
      <c r="K71" s="23">
        <v>57</v>
      </c>
      <c r="L71" s="3" t="str">
        <f>IFERROR(MID(VLOOKUP($B71,Seqs!$A:$B,2,0),M71,1),"")</f>
        <v>T</v>
      </c>
      <c r="M71" s="3">
        <v>58</v>
      </c>
      <c r="N71" s="3" t="str">
        <f>IFERROR(MID(VLOOKUP($B71,Seqs!$A:$B,2,0),O71,1),"")</f>
        <v>G</v>
      </c>
      <c r="O71" s="3">
        <v>89</v>
      </c>
      <c r="P71" s="3" t="str">
        <f>IFERROR(MID(VLOOKUP($B71,Seqs!$A:$B,2,0),Q71,1),"")</f>
        <v>H</v>
      </c>
      <c r="Q71" s="3">
        <v>90</v>
      </c>
      <c r="R71" s="3" t="str">
        <f>IFERROR(MID(VLOOKUP($B71,Seqs!$A:$B,2,0),S71,1),"")</f>
        <v>L</v>
      </c>
      <c r="S71" s="3">
        <v>93</v>
      </c>
      <c r="T71" s="3" t="str">
        <f>IFERROR(MID(VLOOKUP($B71,Seqs!$A:$B,2,0),U71,1),"")</f>
        <v>G</v>
      </c>
      <c r="U71" s="3">
        <v>94</v>
      </c>
      <c r="V71" s="3" t="str">
        <f>IFERROR(MID(VLOOKUP($B71,Seqs!$A:$B,2,0),W71,1),"")</f>
        <v>R</v>
      </c>
      <c r="W71" s="3">
        <v>129</v>
      </c>
      <c r="X71" s="3" t="str">
        <f>IFERROR(MID(VLOOKUP($B71,Seqs!$A:$B,2,0),Y71,1),"")</f>
        <v>P</v>
      </c>
      <c r="Y71" s="3">
        <v>130</v>
      </c>
      <c r="Z71" s="3" t="str">
        <f>IFERROR(MID(VLOOKUP($B71,Seqs!$A:$B,2,0),AA71,1),"")</f>
        <v>R</v>
      </c>
      <c r="AA71" s="3">
        <v>137</v>
      </c>
      <c r="AB71" s="3" t="str">
        <f>IFERROR(MID(VLOOKUP($B71,Seqs!$A:$B,2,0),AC71,1),"")</f>
        <v>T</v>
      </c>
      <c r="AC71" s="9">
        <v>138</v>
      </c>
      <c r="AD71" s="3" t="str">
        <f>IFERROR(MID(VLOOKUP($B71,Seqs!$A:$B,2,0),AE71,1),"")</f>
        <v>G</v>
      </c>
      <c r="AE71" s="3">
        <v>169</v>
      </c>
      <c r="AF71" s="3" t="str">
        <f>IFERROR(MID(VLOOKUP($B71,Seqs!$A:$B,2,0),AG71,1),"")</f>
        <v>C</v>
      </c>
      <c r="AG71" s="3">
        <v>178</v>
      </c>
      <c r="AH71" s="3" t="str">
        <f>IFERROR(MID(VLOOKUP($B71,Seqs!$A:$B,2,0),AI71,1),"")</f>
        <v>I</v>
      </c>
      <c r="AI71" s="3">
        <v>180</v>
      </c>
      <c r="AJ71" s="3" t="str">
        <f>IFERROR(MID(VLOOKUP($B71,Seqs!$A:$B,2,0),AK71,1),"")</f>
        <v>Q</v>
      </c>
      <c r="AK71" s="3">
        <v>185</v>
      </c>
      <c r="AL71" s="3" t="str">
        <f>IFERROR(MID(VLOOKUP($B71,Seqs!$A:$B,2,0),AM71,1),"")</f>
        <v>R</v>
      </c>
      <c r="AM71" s="3">
        <v>213</v>
      </c>
      <c r="AN71" s="3" t="str">
        <f>IFERROR(MID(VLOOKUP($B71,Seqs!$A:$B,2,0),AO71,1),"")</f>
        <v>L</v>
      </c>
      <c r="AO71" s="3">
        <v>357</v>
      </c>
      <c r="AP71" s="3" t="str">
        <f>IFERROR(MID(VLOOKUP($B71,Seqs!$A:$B,2,0),AQ71,1),"")</f>
        <v>C</v>
      </c>
      <c r="AQ71" s="3">
        <v>391</v>
      </c>
      <c r="AR71" s="3" t="str">
        <f>IFERROR(MID(VLOOKUP($B71,Seqs!$A:$B,2,0),AS71,1),"")</f>
        <v>P</v>
      </c>
      <c r="AS71" s="3">
        <v>396</v>
      </c>
      <c r="AT71" s="3" t="str">
        <f>IFERROR(MID(VLOOKUP($B71,Seqs!$A:$B,2,0),AU71,1),"")</f>
        <v>C</v>
      </c>
      <c r="AU71" s="3">
        <v>421</v>
      </c>
      <c r="AV71" s="3" t="str">
        <f>IFERROR(MID(VLOOKUP($B71,Seqs!$A:$B,2,0),AW71,1),"")</f>
        <v>N</v>
      </c>
      <c r="AW71" s="3">
        <v>422</v>
      </c>
      <c r="AX71" s="3" t="str">
        <f>IFERROR(MID(VLOOKUP($B71,Seqs!$A:$B,2,0),AY71,1),"")</f>
        <v>L</v>
      </c>
      <c r="AY71" s="3">
        <v>434</v>
      </c>
      <c r="AZ71" s="77" t="str">
        <f>VLOOKUP(B71,Classification!A:D,2,0)</f>
        <v>A</v>
      </c>
      <c r="BA71" s="94" t="str">
        <f>VLOOKUP(B71,Classification!A:D,4,0)</f>
        <v>Acetylcholine(muscarinic)</v>
      </c>
      <c r="BB71" s="27" t="b">
        <f t="shared" si="1"/>
        <v>1</v>
      </c>
      <c r="BC71" s="23">
        <f t="shared" si="225"/>
        <v>254</v>
      </c>
      <c r="BD71" s="16" t="s">
        <v>1377</v>
      </c>
      <c r="BE71" s="3" t="s">
        <v>1375</v>
      </c>
      <c r="BF71" s="119">
        <v>2.7</v>
      </c>
      <c r="BG71" s="49" t="s">
        <v>1378</v>
      </c>
      <c r="BH71" s="49" t="s">
        <v>1378</v>
      </c>
      <c r="BI71" s="1"/>
      <c r="BJ71" s="70" t="s">
        <v>1288</v>
      </c>
      <c r="BK71" s="57" t="s">
        <v>1288</v>
      </c>
      <c r="BL71" s="57" t="s">
        <v>1288</v>
      </c>
      <c r="BM71" s="57" t="s">
        <v>1288</v>
      </c>
      <c r="BN71" s="57" t="s">
        <v>1288</v>
      </c>
      <c r="BO71" s="57" t="s">
        <v>1288</v>
      </c>
      <c r="BP71" s="57" t="s">
        <v>1288</v>
      </c>
      <c r="BQ71" s="57" t="s">
        <v>1288</v>
      </c>
      <c r="BR71" s="57" t="s">
        <v>1288</v>
      </c>
      <c r="BS71" s="57" t="s">
        <v>1288</v>
      </c>
      <c r="BT71" s="57" t="s">
        <v>1288</v>
      </c>
      <c r="BU71" s="57" t="s">
        <v>1288</v>
      </c>
      <c r="BV71" s="70">
        <f t="shared" si="226"/>
        <v>22</v>
      </c>
      <c r="BW71" s="71">
        <f t="shared" si="227"/>
        <v>54</v>
      </c>
      <c r="BX71" s="72">
        <f t="shared" si="228"/>
        <v>58</v>
      </c>
      <c r="BY71" s="71">
        <f t="shared" si="229"/>
        <v>90</v>
      </c>
      <c r="BZ71" s="72">
        <f t="shared" si="230"/>
        <v>94</v>
      </c>
      <c r="CA71" s="71">
        <f t="shared" si="231"/>
        <v>130</v>
      </c>
      <c r="CB71" s="72">
        <f t="shared" si="232"/>
        <v>138</v>
      </c>
      <c r="CC71" s="71">
        <f t="shared" si="233"/>
        <v>178</v>
      </c>
      <c r="CD71" s="72">
        <f t="shared" si="234"/>
        <v>185</v>
      </c>
      <c r="CE71" s="71">
        <f t="shared" si="235"/>
        <v>357</v>
      </c>
      <c r="CF71" s="72">
        <f t="shared" si="236"/>
        <v>396</v>
      </c>
      <c r="CG71" s="71">
        <f t="shared" si="237"/>
        <v>422</v>
      </c>
      <c r="CH71" s="70">
        <f t="shared" si="238"/>
        <v>53</v>
      </c>
      <c r="CI71" s="71">
        <f t="shared" si="239"/>
        <v>57</v>
      </c>
      <c r="CJ71" s="72">
        <f t="shared" si="240"/>
        <v>89</v>
      </c>
      <c r="CK71" s="72">
        <f t="shared" si="241"/>
        <v>93</v>
      </c>
      <c r="CL71" s="72">
        <f t="shared" si="242"/>
        <v>129</v>
      </c>
      <c r="CM71" s="72">
        <f t="shared" si="243"/>
        <v>137</v>
      </c>
      <c r="CN71" s="72">
        <f t="shared" si="244"/>
        <v>169</v>
      </c>
      <c r="CO71" s="72">
        <f t="shared" si="245"/>
        <v>180</v>
      </c>
      <c r="CP71" s="72">
        <f t="shared" si="246"/>
        <v>213</v>
      </c>
      <c r="CQ71" s="72">
        <f t="shared" si="247"/>
        <v>391</v>
      </c>
      <c r="CR71" s="72">
        <f t="shared" si="248"/>
        <v>421</v>
      </c>
      <c r="CS71" s="72">
        <f t="shared" si="249"/>
        <v>434</v>
      </c>
      <c r="CT71" s="23">
        <f t="shared" si="250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s="12" customFormat="1" x14ac:dyDescent="0.2">
      <c r="A72" s="9" t="str">
        <f t="shared" ref="A72" si="363">CONCATENATE(B72,"_",C72)</f>
        <v>acm1_human_6OIJ</v>
      </c>
      <c r="B72" s="9" t="s">
        <v>146</v>
      </c>
      <c r="C72" s="9" t="s">
        <v>1578</v>
      </c>
      <c r="D72" s="9" t="str">
        <f>IFERROR(MID(VLOOKUP($B72,Seqs!$A:$B,2,0),E72,1),"")</f>
        <v>W</v>
      </c>
      <c r="E72" s="9">
        <v>23</v>
      </c>
      <c r="F72" s="9" t="str">
        <f>IFERROR(MID(VLOOKUP($B72,Seqs!$A:$B,2,0),G72,1),"")</f>
        <v>N</v>
      </c>
      <c r="G72" s="9">
        <v>53</v>
      </c>
      <c r="H72" s="9" t="str">
        <f>IFERROR(MID(VLOOKUP($B72,Seqs!$A:$B,2,0),I72,1),"")</f>
        <v>T</v>
      </c>
      <c r="I72" s="109">
        <v>54</v>
      </c>
      <c r="J72" s="9" t="str">
        <f>IFERROR(MID(VLOOKUP($B72,Seqs!$A:$B,2,0),K72,1),"")</f>
        <v>K</v>
      </c>
      <c r="K72" s="109">
        <v>57</v>
      </c>
      <c r="L72" s="9" t="str">
        <f>IFERROR(MID(VLOOKUP($B72,Seqs!$A:$B,2,0),M72,1),"")</f>
        <v>N</v>
      </c>
      <c r="M72" s="9">
        <v>60</v>
      </c>
      <c r="N72" s="9" t="str">
        <f>IFERROR(MID(VLOOKUP($B72,Seqs!$A:$B,2,0),O72,1),"")</f>
        <v>G</v>
      </c>
      <c r="O72" s="9">
        <v>89</v>
      </c>
      <c r="P72" s="9" t="str">
        <f>IFERROR(MID(VLOOKUP($B72,Seqs!$A:$B,2,0),Q72,1),"")</f>
        <v>H</v>
      </c>
      <c r="Q72" s="9">
        <v>90</v>
      </c>
      <c r="R72" s="9" t="str">
        <f>IFERROR(MID(VLOOKUP($B72,Seqs!$A:$B,2,0),S72,1),"")</f>
        <v>L</v>
      </c>
      <c r="S72" s="9">
        <v>93</v>
      </c>
      <c r="T72" s="9" t="str">
        <f>IFERROR(MID(VLOOKUP($B72,Seqs!$A:$B,2,0),U72,1),"")</f>
        <v>G</v>
      </c>
      <c r="U72" s="9">
        <v>94</v>
      </c>
      <c r="V72" s="9" t="str">
        <f>IFERROR(MID(VLOOKUP($B72,Seqs!$A:$B,2,0),W72,1),"")</f>
        <v>R</v>
      </c>
      <c r="W72" s="9">
        <v>129</v>
      </c>
      <c r="X72" s="9" t="str">
        <f>IFERROR(MID(VLOOKUP($B72,Seqs!$A:$B,2,0),Y72,1),"")</f>
        <v>P</v>
      </c>
      <c r="Y72" s="9">
        <v>130</v>
      </c>
      <c r="Z72" s="9" t="str">
        <f>IFERROR(MID(VLOOKUP($B72,Seqs!$A:$B,2,0),AA72,1),"")</f>
        <v>R</v>
      </c>
      <c r="AA72" s="9">
        <v>137</v>
      </c>
      <c r="AB72" s="9" t="str">
        <f>IFERROR(MID(VLOOKUP($B72,Seqs!$A:$B,2,0),AC72,1),"")</f>
        <v>T</v>
      </c>
      <c r="AC72" s="9">
        <v>138</v>
      </c>
      <c r="AD72" s="9" t="str">
        <f>IFERROR(MID(VLOOKUP($B72,Seqs!$A:$B,2,0),AE72,1),"")</f>
        <v>G</v>
      </c>
      <c r="AE72" s="9">
        <v>169</v>
      </c>
      <c r="AF72" s="9" t="str">
        <f>IFERROR(MID(VLOOKUP($B72,Seqs!$A:$B,2,0),AG72,1),"")</f>
        <v>C</v>
      </c>
      <c r="AG72" s="9">
        <v>178</v>
      </c>
      <c r="AH72" s="9" t="str">
        <f>IFERROR(MID(VLOOKUP($B72,Seqs!$A:$B,2,0),AI72,1),"")</f>
        <v>I</v>
      </c>
      <c r="AI72" s="9">
        <v>180</v>
      </c>
      <c r="AJ72" s="9" t="str">
        <f>IFERROR(MID(VLOOKUP($B72,Seqs!$A:$B,2,0),AK72,1),"")</f>
        <v>Q</v>
      </c>
      <c r="AK72" s="9">
        <v>185</v>
      </c>
      <c r="AL72" s="9" t="str">
        <f>IFERROR(MID(VLOOKUP($B72,Seqs!$A:$B,2,0),AM72,1),"")</f>
        <v>L</v>
      </c>
      <c r="AM72" s="9">
        <v>225</v>
      </c>
      <c r="AN72" s="9" t="str">
        <f>IFERROR(MID(VLOOKUP($B72,Seqs!$A:$B,2,0),AO72,1),"")</f>
        <v>K</v>
      </c>
      <c r="AO72" s="9">
        <v>362</v>
      </c>
      <c r="AP72" s="9" t="str">
        <f>IFERROR(MID(VLOOKUP($B72,Seqs!$A:$B,2,0),AQ72,1),"")</f>
        <v>C</v>
      </c>
      <c r="AQ72" s="9">
        <v>391</v>
      </c>
      <c r="AR72" s="9" t="str">
        <f>IFERROR(MID(VLOOKUP($B72,Seqs!$A:$B,2,0),AS72,1),"")</f>
        <v>E</v>
      </c>
      <c r="AS72" s="9">
        <v>397</v>
      </c>
      <c r="AT72" s="9" t="str">
        <f>IFERROR(MID(VLOOKUP($B72,Seqs!$A:$B,2,0),AU72,1),"")</f>
        <v>C</v>
      </c>
      <c r="AU72" s="9">
        <v>421</v>
      </c>
      <c r="AV72" s="9" t="str">
        <f>IFERROR(MID(VLOOKUP($B72,Seqs!$A:$B,2,0),AW72,1),"")</f>
        <v>N</v>
      </c>
      <c r="AW72" s="9">
        <v>422</v>
      </c>
      <c r="AX72" s="9" t="str">
        <f>IFERROR(MID(VLOOKUP($B72,Seqs!$A:$B,2,0),AY72,1),"")</f>
        <v>L</v>
      </c>
      <c r="AY72" s="9">
        <v>433</v>
      </c>
      <c r="AZ72" s="110" t="str">
        <f>VLOOKUP(B72,Classification!A:D,2,0)</f>
        <v>A</v>
      </c>
      <c r="BA72" s="98" t="str">
        <f>VLOOKUP(B72,Classification!A:D,4,0)</f>
        <v>Acetylcholine(muscarinic)</v>
      </c>
      <c r="BB72" s="36" t="b">
        <f t="shared" ref="BB72" si="364">AND(E72&lt;G72,OR(G72&lt;I72,I72="-"),OR(I72&lt;K72,I72="-"),OR(K72&lt;M72,K72="-"),M72&lt;O72,OR(O72&lt;Q72,Q72="-"),OR(Q72&lt;S72,Q72="-"),OR(S72&lt;U72,S72="-"),U72&lt;W72,OR(W72&lt;Y72,Y72="-"),OR(Y72&lt;AA72,Y72="-"),OR(AA72&lt;AC72,AA72="-"),AC72&lt;AE72,OR(AE72&lt;AG72,AG72="-"),OR(AG72&lt;AI72,AG72="-"),OR(AI72&lt;AK72,AI72="-"),AK72&lt;AM72,AM72&lt;AO72,AO72&lt;AQ72,AQ72&lt;AS72,AS72&lt;AU72,OR(AU72&lt;AW72,AW72="-"),OR(AW72&lt;AY72,AW72="-"))</f>
        <v>1</v>
      </c>
      <c r="BC72" s="109">
        <f t="shared" ref="BC72" si="365">_xlfn.AGGREGATE(9,6,CH72:CS72)-_xlfn.AGGREGATE(9,6,BV72:CG72)+12</f>
        <v>256</v>
      </c>
      <c r="BD72" s="127" t="s">
        <v>1376</v>
      </c>
      <c r="BE72" s="9" t="s">
        <v>1292</v>
      </c>
      <c r="BF72" s="120">
        <v>3.3</v>
      </c>
      <c r="BG72" s="51" t="s">
        <v>1423</v>
      </c>
      <c r="BH72" s="51" t="s">
        <v>1423</v>
      </c>
      <c r="BJ72" s="111" t="s">
        <v>1288</v>
      </c>
      <c r="BK72" s="112" t="s">
        <v>1288</v>
      </c>
      <c r="BL72" s="112" t="s">
        <v>1288</v>
      </c>
      <c r="BM72" s="112" t="s">
        <v>1288</v>
      </c>
      <c r="BN72" s="112" t="s">
        <v>1288</v>
      </c>
      <c r="BO72" s="112" t="s">
        <v>1288</v>
      </c>
      <c r="BP72" s="112" t="s">
        <v>1288</v>
      </c>
      <c r="BQ72" s="112" t="s">
        <v>1288</v>
      </c>
      <c r="BR72" s="112" t="s">
        <v>1288</v>
      </c>
      <c r="BS72" s="112" t="s">
        <v>1288</v>
      </c>
      <c r="BT72" s="112" t="s">
        <v>1288</v>
      </c>
      <c r="BU72" s="112" t="s">
        <v>1288</v>
      </c>
      <c r="BV72" s="111">
        <f t="shared" ref="BV72" si="366">E72</f>
        <v>23</v>
      </c>
      <c r="BW72" s="113">
        <f t="shared" ref="BW72" si="367">I72</f>
        <v>54</v>
      </c>
      <c r="BX72" s="114">
        <f t="shared" ref="BX72" si="368">M72</f>
        <v>60</v>
      </c>
      <c r="BY72" s="113">
        <f t="shared" ref="BY72" si="369">Q72</f>
        <v>90</v>
      </c>
      <c r="BZ72" s="114">
        <f t="shared" ref="BZ72" si="370">U72</f>
        <v>94</v>
      </c>
      <c r="CA72" s="113">
        <f t="shared" ref="CA72" si="371">Y72</f>
        <v>130</v>
      </c>
      <c r="CB72" s="114">
        <f t="shared" ref="CB72" si="372">AC72</f>
        <v>138</v>
      </c>
      <c r="CC72" s="113">
        <f t="shared" ref="CC72" si="373">AG72</f>
        <v>178</v>
      </c>
      <c r="CD72" s="114">
        <f t="shared" ref="CD72" si="374">AK72</f>
        <v>185</v>
      </c>
      <c r="CE72" s="113">
        <f t="shared" ref="CE72" si="375">AO72</f>
        <v>362</v>
      </c>
      <c r="CF72" s="114">
        <f t="shared" ref="CF72" si="376">AS72</f>
        <v>397</v>
      </c>
      <c r="CG72" s="113">
        <f t="shared" ref="CG72" si="377">AW72</f>
        <v>422</v>
      </c>
      <c r="CH72" s="111">
        <f t="shared" ref="CH72" si="378">G72</f>
        <v>53</v>
      </c>
      <c r="CI72" s="113">
        <f t="shared" ref="CI72" si="379">K72</f>
        <v>57</v>
      </c>
      <c r="CJ72" s="114">
        <f t="shared" ref="CJ72" si="380">O72</f>
        <v>89</v>
      </c>
      <c r="CK72" s="114">
        <f t="shared" ref="CK72" si="381">S72</f>
        <v>93</v>
      </c>
      <c r="CL72" s="114">
        <f t="shared" ref="CL72" si="382">W72</f>
        <v>129</v>
      </c>
      <c r="CM72" s="114">
        <f t="shared" ref="CM72" si="383">AA72</f>
        <v>137</v>
      </c>
      <c r="CN72" s="114">
        <f t="shared" ref="CN72" si="384">AE72</f>
        <v>169</v>
      </c>
      <c r="CO72" s="114">
        <f t="shared" ref="CO72" si="385">AI72</f>
        <v>180</v>
      </c>
      <c r="CP72" s="114">
        <f t="shared" ref="CP72" si="386">AM72</f>
        <v>225</v>
      </c>
      <c r="CQ72" s="114">
        <f t="shared" ref="CQ72" si="387">AQ72</f>
        <v>391</v>
      </c>
      <c r="CR72" s="114">
        <f t="shared" ref="CR72" si="388">AU72</f>
        <v>421</v>
      </c>
      <c r="CS72" s="114">
        <f t="shared" ref="CS72" si="389">AY72</f>
        <v>433</v>
      </c>
      <c r="CT72" s="109">
        <f t="shared" ref="CT72" si="390">M72-K72</f>
        <v>3</v>
      </c>
    </row>
    <row r="73" spans="1:1029" x14ac:dyDescent="0.2">
      <c r="A73" s="3" t="str">
        <f t="shared" si="0"/>
        <v>acm2_human__wt</v>
      </c>
      <c r="B73" s="3" t="s">
        <v>147</v>
      </c>
      <c r="C73" s="3" t="s">
        <v>100</v>
      </c>
      <c r="D73" s="3" t="str">
        <f>IFERROR(MID(VLOOKUP($B73,Seqs!$A:$B,2,0),E73,1),"")</f>
        <v>K</v>
      </c>
      <c r="E73" s="3">
        <v>19</v>
      </c>
      <c r="F73" s="3" t="str">
        <f>IFERROR(MID(VLOOKUP($B73,Seqs!$A:$B,2,0),G73,1),"")</f>
        <v>N</v>
      </c>
      <c r="G73" s="3">
        <v>51</v>
      </c>
      <c r="H73" s="3" t="str">
        <f>IFERROR(MID(VLOOKUP($B73,Seqs!$A:$B,2,0),I73,1),"")</f>
        <v>R</v>
      </c>
      <c r="I73" s="23">
        <v>52</v>
      </c>
      <c r="J73" s="3" t="str">
        <f>IFERROR(MID(VLOOKUP($B73,Seqs!$A:$B,2,0),K73,1),"")</f>
        <v>Q</v>
      </c>
      <c r="K73" s="23">
        <v>55</v>
      </c>
      <c r="L73" s="3" t="str">
        <f>IFERROR(MID(VLOOKUP($B73,Seqs!$A:$B,2,0),M73,1),"")</f>
        <v>T</v>
      </c>
      <c r="M73" s="3">
        <v>56</v>
      </c>
      <c r="N73" s="3" t="str">
        <f>IFERROR(MID(VLOOKUP($B73,Seqs!$A:$B,2,0),O73,1),"")</f>
        <v>G</v>
      </c>
      <c r="O73" s="105">
        <v>87</v>
      </c>
      <c r="P73" s="3" t="str">
        <f>IFERROR(MID(VLOOKUP($B73,Seqs!$A:$B,2,0),Q73,1),"")</f>
        <v>Y</v>
      </c>
      <c r="Q73" s="3">
        <v>88</v>
      </c>
      <c r="R73" s="3" t="str">
        <f>IFERROR(MID(VLOOKUP($B73,Seqs!$A:$B,2,0),S73,1),"")</f>
        <v>L</v>
      </c>
      <c r="S73" s="3">
        <v>91</v>
      </c>
      <c r="T73" s="3" t="str">
        <f>IFERROR(MID(VLOOKUP($B73,Seqs!$A:$B,2,0),U73,1),"")</f>
        <v>G</v>
      </c>
      <c r="U73" s="3">
        <v>92</v>
      </c>
      <c r="V73" s="3" t="str">
        <f>IFERROR(MID(VLOOKUP($B73,Seqs!$A:$B,2,0),W73,1),"")</f>
        <v>K</v>
      </c>
      <c r="W73" s="3">
        <v>127</v>
      </c>
      <c r="X73" s="3" t="str">
        <f>IFERROR(MID(VLOOKUP($B73,Seqs!$A:$B,2,0),Y73,1),"")</f>
        <v>P</v>
      </c>
      <c r="Y73" s="3">
        <v>128</v>
      </c>
      <c r="Z73" s="3" t="str">
        <f>IFERROR(MID(VLOOKUP($B73,Seqs!$A:$B,2,0),AA73,1),"")</f>
        <v>R</v>
      </c>
      <c r="AA73" s="3">
        <v>135</v>
      </c>
      <c r="AB73" s="3" t="str">
        <f>IFERROR(MID(VLOOKUP($B73,Seqs!$A:$B,2,0),AC73,1),"")</f>
        <v>T</v>
      </c>
      <c r="AC73" s="9">
        <v>136</v>
      </c>
      <c r="AD73" s="3" t="str">
        <f>IFERROR(MID(VLOOKUP($B73,Seqs!$A:$B,2,0),AE73,1),"")</f>
        <v>G</v>
      </c>
      <c r="AE73" s="3">
        <v>167</v>
      </c>
      <c r="AF73" s="3" t="str">
        <f>IFERROR(MID(VLOOKUP($B73,Seqs!$A:$B,2,0),AG73,1),"")</f>
        <v>C</v>
      </c>
      <c r="AG73" s="3">
        <v>176</v>
      </c>
      <c r="AH73" s="3" t="str">
        <f>IFERROR(MID(VLOOKUP($B73,Seqs!$A:$B,2,0),AI73,1),"")</f>
        <v>I</v>
      </c>
      <c r="AI73" s="3">
        <v>178</v>
      </c>
      <c r="AJ73" s="3" t="str">
        <f>IFERROR(MID(VLOOKUP($B73,Seqs!$A:$B,2,0),AK73,1),"")</f>
        <v>N</v>
      </c>
      <c r="AK73" s="3">
        <v>183</v>
      </c>
      <c r="AL73" s="3" t="str">
        <f>IFERROR(MID(VLOOKUP($B73,Seqs!$A:$B,2,0),AM73,1),"")</f>
        <v>E</v>
      </c>
      <c r="AM73" s="3">
        <v>223</v>
      </c>
      <c r="AN73" s="3" t="str">
        <f>IFERROR(MID(VLOOKUP($B73,Seqs!$A:$B,2,0),AO73,1),"")</f>
        <v>K</v>
      </c>
      <c r="AO73" s="3">
        <v>376</v>
      </c>
      <c r="AP73" s="3" t="str">
        <f>IFERROR(MID(VLOOKUP($B73,Seqs!$A:$B,2,0),AQ73,1),"")</f>
        <v>C</v>
      </c>
      <c r="AQ73" s="3">
        <v>413</v>
      </c>
      <c r="AR73" s="3" t="str">
        <f>IFERROR(MID(VLOOKUP($B73,Seqs!$A:$B,2,0),AS73,1),"")</f>
        <v>P</v>
      </c>
      <c r="AS73" s="3">
        <v>418</v>
      </c>
      <c r="AT73" s="3" t="str">
        <f>IFERROR(MID(VLOOKUP($B73,Seqs!$A:$B,2,0),AU73,1),"")</f>
        <v>C</v>
      </c>
      <c r="AU73" s="3">
        <v>443</v>
      </c>
      <c r="AV73" s="3" t="str">
        <f>IFERROR(MID(VLOOKUP($B73,Seqs!$A:$B,2,0),AW73,1),"")</f>
        <v>N</v>
      </c>
      <c r="AW73" s="3">
        <v>444</v>
      </c>
      <c r="AX73" s="3" t="str">
        <f>IFERROR(MID(VLOOKUP($B73,Seqs!$A:$B,2,0),AY73,1),"")</f>
        <v>M</v>
      </c>
      <c r="AY73" s="3">
        <v>456</v>
      </c>
      <c r="AZ73" s="77" t="str">
        <f>VLOOKUP(B73,Classification!A:D,2,0)</f>
        <v>A</v>
      </c>
      <c r="BA73" s="94" t="str">
        <f>VLOOKUP(B73,Classification!A:D,4,0)</f>
        <v>Acetylcholine(muscarinic)</v>
      </c>
      <c r="BB73" s="27" t="b">
        <f t="shared" si="1"/>
        <v>1</v>
      </c>
      <c r="BC73" s="23">
        <f t="shared" si="225"/>
        <v>270</v>
      </c>
      <c r="BD73" s="56" t="s">
        <v>23</v>
      </c>
      <c r="BE73" s="3" t="s">
        <v>23</v>
      </c>
      <c r="BF73" s="119" t="s">
        <v>23</v>
      </c>
      <c r="BG73" s="49" t="s">
        <v>1373</v>
      </c>
      <c r="BH73" s="49" t="s">
        <v>1378</v>
      </c>
      <c r="BI73" s="1"/>
      <c r="BJ73" s="70" t="s">
        <v>1288</v>
      </c>
      <c r="BK73" s="57" t="s">
        <v>1288</v>
      </c>
      <c r="BL73" s="57" t="s">
        <v>1288</v>
      </c>
      <c r="BM73" s="57" t="s">
        <v>1288</v>
      </c>
      <c r="BN73" s="57" t="s">
        <v>1288</v>
      </c>
      <c r="BO73" s="57" t="s">
        <v>1288</v>
      </c>
      <c r="BP73" s="57" t="s">
        <v>1288</v>
      </c>
      <c r="BQ73" s="57" t="s">
        <v>1288</v>
      </c>
      <c r="BR73" s="57" t="s">
        <v>1288</v>
      </c>
      <c r="BS73" s="57" t="s">
        <v>1288</v>
      </c>
      <c r="BT73" s="57" t="s">
        <v>1288</v>
      </c>
      <c r="BU73" s="57" t="s">
        <v>1288</v>
      </c>
      <c r="BV73" s="70">
        <f t="shared" si="226"/>
        <v>19</v>
      </c>
      <c r="BW73" s="71">
        <f t="shared" si="227"/>
        <v>52</v>
      </c>
      <c r="BX73" s="72">
        <f t="shared" si="228"/>
        <v>56</v>
      </c>
      <c r="BY73" s="71">
        <f t="shared" si="229"/>
        <v>88</v>
      </c>
      <c r="BZ73" s="72">
        <f t="shared" si="230"/>
        <v>92</v>
      </c>
      <c r="CA73" s="71">
        <f t="shared" si="231"/>
        <v>128</v>
      </c>
      <c r="CB73" s="72">
        <f t="shared" si="232"/>
        <v>136</v>
      </c>
      <c r="CC73" s="71">
        <f t="shared" si="233"/>
        <v>176</v>
      </c>
      <c r="CD73" s="72">
        <f t="shared" si="234"/>
        <v>183</v>
      </c>
      <c r="CE73" s="71">
        <f t="shared" si="235"/>
        <v>376</v>
      </c>
      <c r="CF73" s="72">
        <f t="shared" si="236"/>
        <v>418</v>
      </c>
      <c r="CG73" s="71">
        <f t="shared" si="237"/>
        <v>444</v>
      </c>
      <c r="CH73" s="70">
        <f t="shared" si="238"/>
        <v>51</v>
      </c>
      <c r="CI73" s="71">
        <f t="shared" si="239"/>
        <v>55</v>
      </c>
      <c r="CJ73" s="72">
        <f t="shared" si="240"/>
        <v>87</v>
      </c>
      <c r="CK73" s="72">
        <f t="shared" si="241"/>
        <v>91</v>
      </c>
      <c r="CL73" s="72">
        <f t="shared" si="242"/>
        <v>127</v>
      </c>
      <c r="CM73" s="72">
        <f t="shared" si="243"/>
        <v>135</v>
      </c>
      <c r="CN73" s="72">
        <f t="shared" si="244"/>
        <v>167</v>
      </c>
      <c r="CO73" s="72">
        <f t="shared" si="245"/>
        <v>178</v>
      </c>
      <c r="CP73" s="72">
        <f t="shared" si="246"/>
        <v>223</v>
      </c>
      <c r="CQ73" s="72">
        <f t="shared" si="247"/>
        <v>413</v>
      </c>
      <c r="CR73" s="72">
        <f t="shared" si="248"/>
        <v>443</v>
      </c>
      <c r="CS73" s="72">
        <f t="shared" si="249"/>
        <v>456</v>
      </c>
      <c r="CT73" s="23">
        <f t="shared" si="250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ref="A74:A118" si="391">CONCATENATE(B74,"_",C74)</f>
        <v>acm2_human_3UON</v>
      </c>
      <c r="B74" s="3" t="s">
        <v>147</v>
      </c>
      <c r="C74" s="3" t="s">
        <v>79</v>
      </c>
      <c r="D74" s="3" t="str">
        <f>IFERROR(MID(VLOOKUP($B74,Seqs!$A:$B,2,0),E74,1),"")</f>
        <v>V</v>
      </c>
      <c r="E74" s="3">
        <v>23</v>
      </c>
      <c r="F74" s="3" t="str">
        <f>IFERROR(MID(VLOOKUP($B74,Seqs!$A:$B,2,0),G74,1),"")</f>
        <v>N</v>
      </c>
      <c r="G74" s="3">
        <v>51</v>
      </c>
      <c r="H74" s="3" t="str">
        <f>IFERROR(MID(VLOOKUP($B74,Seqs!$A:$B,2,0),I74,1),"")</f>
        <v>R</v>
      </c>
      <c r="I74" s="23">
        <v>52</v>
      </c>
      <c r="J74" s="3" t="str">
        <f>IFERROR(MID(VLOOKUP($B74,Seqs!$A:$B,2,0),K74,1),"")</f>
        <v>Q</v>
      </c>
      <c r="K74" s="23">
        <v>55</v>
      </c>
      <c r="L74" s="3" t="str">
        <f>IFERROR(MID(VLOOKUP($B74,Seqs!$A:$B,2,0),M74,1),"")</f>
        <v>T</v>
      </c>
      <c r="M74" s="3">
        <v>56</v>
      </c>
      <c r="N74" s="3" t="str">
        <f>IFERROR(MID(VLOOKUP($B74,Seqs!$A:$B,2,0),O74,1),"")</f>
        <v>I</v>
      </c>
      <c r="O74" s="3">
        <v>86</v>
      </c>
      <c r="P74" s="3" t="str">
        <f>IFERROR(MID(VLOOKUP($B74,Seqs!$A:$B,2,0),Q74,1),"")</f>
        <v>Y</v>
      </c>
      <c r="Q74" s="3">
        <v>88</v>
      </c>
      <c r="R74" s="3" t="str">
        <f>IFERROR(MID(VLOOKUP($B74,Seqs!$A:$B,2,0),S74,1),"")</f>
        <v>L</v>
      </c>
      <c r="S74" s="3">
        <v>91</v>
      </c>
      <c r="T74" s="3" t="str">
        <f>IFERROR(MID(VLOOKUP($B74,Seqs!$A:$B,2,0),U74,1),"")</f>
        <v>G</v>
      </c>
      <c r="U74" s="3">
        <v>92</v>
      </c>
      <c r="V74" s="3" t="str">
        <f>IFERROR(MID(VLOOKUP($B74,Seqs!$A:$B,2,0),W74,1),"")</f>
        <v>K</v>
      </c>
      <c r="W74" s="3">
        <v>127</v>
      </c>
      <c r="X74" s="3" t="str">
        <f>IFERROR(MID(VLOOKUP($B74,Seqs!$A:$B,2,0),Y74,1),"")</f>
        <v>P</v>
      </c>
      <c r="Y74" s="3">
        <v>128</v>
      </c>
      <c r="Z74" s="3" t="str">
        <f>IFERROR(MID(VLOOKUP($B74,Seqs!$A:$B,2,0),AA74,1),"")</f>
        <v>R</v>
      </c>
      <c r="AA74" s="3">
        <v>135</v>
      </c>
      <c r="AB74" s="3" t="str">
        <f>IFERROR(MID(VLOOKUP($B74,Seqs!$A:$B,2,0),AC74,1),"")</f>
        <v>T</v>
      </c>
      <c r="AC74" s="9">
        <v>136</v>
      </c>
      <c r="AD74" s="3" t="str">
        <f>IFERROR(MID(VLOOKUP($B74,Seqs!$A:$B,2,0),AE74,1),"")</f>
        <v>G</v>
      </c>
      <c r="AE74" s="3">
        <v>167</v>
      </c>
      <c r="AF74" s="3" t="str">
        <f>IFERROR(MID(VLOOKUP($B74,Seqs!$A:$B,2,0),AG74,1),"")</f>
        <v>C</v>
      </c>
      <c r="AG74" s="3">
        <v>176</v>
      </c>
      <c r="AH74" s="3" t="str">
        <f>IFERROR(MID(VLOOKUP($B74,Seqs!$A:$B,2,0),AI74,1),"")</f>
        <v>I</v>
      </c>
      <c r="AI74" s="3">
        <v>178</v>
      </c>
      <c r="AJ74" s="3" t="str">
        <f>IFERROR(MID(VLOOKUP($B74,Seqs!$A:$B,2,0),AK74,1),"")</f>
        <v>N</v>
      </c>
      <c r="AK74" s="3">
        <v>183</v>
      </c>
      <c r="AL74" s="3" t="str">
        <f>IFERROR(MID(VLOOKUP($B74,Seqs!$A:$B,2,0),AM74,1),"")</f>
        <v>S</v>
      </c>
      <c r="AM74" s="3">
        <v>213</v>
      </c>
      <c r="AN74" s="3" t="str">
        <f>IFERROR(MID(VLOOKUP($B74,Seqs!$A:$B,2,0),AO74,1),"")</f>
        <v>K</v>
      </c>
      <c r="AO74" s="3">
        <v>384</v>
      </c>
      <c r="AP74" s="3" t="str">
        <f>IFERROR(MID(VLOOKUP($B74,Seqs!$A:$B,2,0),AQ74,1),"")</f>
        <v>C</v>
      </c>
      <c r="AQ74" s="3">
        <v>413</v>
      </c>
      <c r="AR74" s="3" t="str">
        <f>IFERROR(MID(VLOOKUP($B74,Seqs!$A:$B,2,0),AS74,1),"")</f>
        <v>P</v>
      </c>
      <c r="AS74" s="3">
        <v>418</v>
      </c>
      <c r="AT74" s="3" t="str">
        <f>IFERROR(MID(VLOOKUP($B74,Seqs!$A:$B,2,0),AU74,1),"")</f>
        <v>C</v>
      </c>
      <c r="AU74" s="3">
        <v>443</v>
      </c>
      <c r="AV74" s="3" t="str">
        <f>IFERROR(MID(VLOOKUP($B74,Seqs!$A:$B,2,0),AW74,1),"")</f>
        <v>N</v>
      </c>
      <c r="AW74" s="3">
        <v>444</v>
      </c>
      <c r="AX74" s="3" t="str">
        <f>IFERROR(MID(VLOOKUP($B74,Seqs!$A:$B,2,0),AY74,1),"")</f>
        <v>M</v>
      </c>
      <c r="AY74" s="3">
        <v>456</v>
      </c>
      <c r="AZ74" s="77" t="str">
        <f>VLOOKUP(B74,Classification!A:D,2,0)</f>
        <v>A</v>
      </c>
      <c r="BA74" s="94" t="str">
        <f>VLOOKUP(B74,Classification!A:D,4,0)</f>
        <v>Acetylcholine(muscarinic)</v>
      </c>
      <c r="BB74" s="27" t="b">
        <f t="shared" ref="BB74:BB118" si="392">AND(E74&lt;G74,OR(G74&lt;I74,I74="-"),OR(I74&lt;K74,I74="-"),OR(K74&lt;M74,K74="-"),M74&lt;O74,OR(O74&lt;Q74,Q74="-"),OR(Q74&lt;S74,Q74="-"),OR(S74&lt;U74,S74="-"),U74&lt;W74,OR(W74&lt;Y74,Y74="-"),OR(Y74&lt;AA74,Y74="-"),OR(AA74&lt;AC74,AA74="-"),AC74&lt;AE74,OR(AE74&lt;AG74,AG74="-"),OR(AG74&lt;AI74,AG74="-"),OR(AI74&lt;AK74,AI74="-"),AK74&lt;AM74,AM74&lt;AO74,AO74&lt;AQ74,AQ74&lt;AS74,AS74&lt;AU74,OR(AU74&lt;AW74,AW74="-"),OR(AW74&lt;AY74,AW74="-"))</f>
        <v>1</v>
      </c>
      <c r="BC74" s="23">
        <f t="shared" si="225"/>
        <v>247</v>
      </c>
      <c r="BD74" s="16" t="s">
        <v>23</v>
      </c>
      <c r="BE74" s="3" t="s">
        <v>1375</v>
      </c>
      <c r="BF74" s="119">
        <v>3</v>
      </c>
      <c r="BG74" s="49" t="s">
        <v>1378</v>
      </c>
      <c r="BH74" s="49" t="s">
        <v>1378</v>
      </c>
      <c r="BI74" s="1"/>
      <c r="BJ74" s="70" t="s">
        <v>1288</v>
      </c>
      <c r="BK74" s="57" t="s">
        <v>1288</v>
      </c>
      <c r="BL74" s="57" t="s">
        <v>1288</v>
      </c>
      <c r="BM74" s="57" t="s">
        <v>1288</v>
      </c>
      <c r="BN74" s="57" t="s">
        <v>1288</v>
      </c>
      <c r="BO74" s="57" t="s">
        <v>1288</v>
      </c>
      <c r="BP74" s="57" t="s">
        <v>1288</v>
      </c>
      <c r="BQ74" s="57" t="s">
        <v>1288</v>
      </c>
      <c r="BR74" s="57" t="s">
        <v>1288</v>
      </c>
      <c r="BS74" s="57" t="s">
        <v>1288</v>
      </c>
      <c r="BT74" s="57" t="s">
        <v>1288</v>
      </c>
      <c r="BU74" s="57" t="s">
        <v>1288</v>
      </c>
      <c r="BV74" s="70">
        <f t="shared" si="226"/>
        <v>23</v>
      </c>
      <c r="BW74" s="71">
        <f t="shared" si="227"/>
        <v>52</v>
      </c>
      <c r="BX74" s="72">
        <f t="shared" si="228"/>
        <v>56</v>
      </c>
      <c r="BY74" s="71">
        <f t="shared" si="229"/>
        <v>88</v>
      </c>
      <c r="BZ74" s="72">
        <f t="shared" si="230"/>
        <v>92</v>
      </c>
      <c r="CA74" s="71">
        <f t="shared" si="231"/>
        <v>128</v>
      </c>
      <c r="CB74" s="72">
        <f t="shared" si="232"/>
        <v>136</v>
      </c>
      <c r="CC74" s="71">
        <f t="shared" si="233"/>
        <v>176</v>
      </c>
      <c r="CD74" s="72">
        <f t="shared" si="234"/>
        <v>183</v>
      </c>
      <c r="CE74" s="71">
        <f t="shared" si="235"/>
        <v>384</v>
      </c>
      <c r="CF74" s="72">
        <f t="shared" si="236"/>
        <v>418</v>
      </c>
      <c r="CG74" s="71">
        <f t="shared" si="237"/>
        <v>444</v>
      </c>
      <c r="CH74" s="70">
        <f t="shared" si="238"/>
        <v>51</v>
      </c>
      <c r="CI74" s="71">
        <f t="shared" si="239"/>
        <v>55</v>
      </c>
      <c r="CJ74" s="72">
        <f t="shared" si="240"/>
        <v>86</v>
      </c>
      <c r="CK74" s="72">
        <f t="shared" si="241"/>
        <v>91</v>
      </c>
      <c r="CL74" s="72">
        <f t="shared" si="242"/>
        <v>127</v>
      </c>
      <c r="CM74" s="72">
        <f t="shared" si="243"/>
        <v>135</v>
      </c>
      <c r="CN74" s="72">
        <f t="shared" si="244"/>
        <v>167</v>
      </c>
      <c r="CO74" s="72">
        <f t="shared" si="245"/>
        <v>178</v>
      </c>
      <c r="CP74" s="72">
        <f t="shared" si="246"/>
        <v>213</v>
      </c>
      <c r="CQ74" s="72">
        <f t="shared" si="247"/>
        <v>413</v>
      </c>
      <c r="CR74" s="72">
        <f t="shared" si="248"/>
        <v>443</v>
      </c>
      <c r="CS74" s="72">
        <f t="shared" si="249"/>
        <v>456</v>
      </c>
      <c r="CT74" s="23">
        <f t="shared" si="250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si="391"/>
        <v>acm2_human_4MQS</v>
      </c>
      <c r="B75" s="3" t="s">
        <v>147</v>
      </c>
      <c r="C75" s="3" t="s">
        <v>68</v>
      </c>
      <c r="D75" s="3" t="str">
        <f>IFERROR(MID(VLOOKUP($B75,Seqs!$A:$B,2,0),E75,1),"")</f>
        <v>K</v>
      </c>
      <c r="E75" s="3">
        <v>19</v>
      </c>
      <c r="F75" s="3" t="str">
        <f>IFERROR(MID(VLOOKUP($B75,Seqs!$A:$B,2,0),G75,1),"")</f>
        <v>N</v>
      </c>
      <c r="G75" s="3">
        <v>51</v>
      </c>
      <c r="H75" s="3" t="str">
        <f>IFERROR(MID(VLOOKUP($B75,Seqs!$A:$B,2,0),I75,1),"")</f>
        <v>R</v>
      </c>
      <c r="I75" s="23">
        <v>52</v>
      </c>
      <c r="J75" s="3" t="str">
        <f>IFERROR(MID(VLOOKUP($B75,Seqs!$A:$B,2,0),K75,1),"")</f>
        <v>Q</v>
      </c>
      <c r="K75" s="23">
        <v>55</v>
      </c>
      <c r="L75" s="3" t="str">
        <f>IFERROR(MID(VLOOKUP($B75,Seqs!$A:$B,2,0),M75,1),"")</f>
        <v>T</v>
      </c>
      <c r="M75" s="3">
        <v>56</v>
      </c>
      <c r="N75" s="3" t="str">
        <f>IFERROR(MID(VLOOKUP($B75,Seqs!$A:$B,2,0),O75,1),"")</f>
        <v>G</v>
      </c>
      <c r="O75" s="3">
        <v>87</v>
      </c>
      <c r="P75" s="3" t="str">
        <f>IFERROR(MID(VLOOKUP($B75,Seqs!$A:$B,2,0),Q75,1),"")</f>
        <v>Y</v>
      </c>
      <c r="Q75" s="3">
        <v>88</v>
      </c>
      <c r="R75" s="3" t="str">
        <f>IFERROR(MID(VLOOKUP($B75,Seqs!$A:$B,2,0),S75,1),"")</f>
        <v>L</v>
      </c>
      <c r="S75" s="3">
        <v>91</v>
      </c>
      <c r="T75" s="3" t="str">
        <f>IFERROR(MID(VLOOKUP($B75,Seqs!$A:$B,2,0),U75,1),"")</f>
        <v>G</v>
      </c>
      <c r="U75" s="3">
        <v>92</v>
      </c>
      <c r="V75" s="3" t="str">
        <f>IFERROR(MID(VLOOKUP($B75,Seqs!$A:$B,2,0),W75,1),"")</f>
        <v>K</v>
      </c>
      <c r="W75" s="3">
        <v>127</v>
      </c>
      <c r="X75" s="3" t="str">
        <f>IFERROR(MID(VLOOKUP($B75,Seqs!$A:$B,2,0),Y75,1),"")</f>
        <v>P</v>
      </c>
      <c r="Y75" s="3">
        <v>128</v>
      </c>
      <c r="Z75" s="3" t="str">
        <f>IFERROR(MID(VLOOKUP($B75,Seqs!$A:$B,2,0),AA75,1),"")</f>
        <v>R</v>
      </c>
      <c r="AA75" s="3">
        <v>135</v>
      </c>
      <c r="AB75" s="3" t="str">
        <f>IFERROR(MID(VLOOKUP($B75,Seqs!$A:$B,2,0),AC75,1),"")</f>
        <v>T</v>
      </c>
      <c r="AC75" s="9">
        <v>136</v>
      </c>
      <c r="AD75" s="3" t="str">
        <f>IFERROR(MID(VLOOKUP($B75,Seqs!$A:$B,2,0),AE75,1),"")</f>
        <v>G</v>
      </c>
      <c r="AE75" s="3">
        <v>167</v>
      </c>
      <c r="AF75" s="3" t="str">
        <f>IFERROR(MID(VLOOKUP($B75,Seqs!$A:$B,2,0),AG75,1),"")</f>
        <v>C</v>
      </c>
      <c r="AG75" s="3">
        <v>176</v>
      </c>
      <c r="AH75" s="3" t="str">
        <f>IFERROR(MID(VLOOKUP($B75,Seqs!$A:$B,2,0),AI75,1),"")</f>
        <v>I</v>
      </c>
      <c r="AI75" s="3">
        <v>178</v>
      </c>
      <c r="AJ75" s="3" t="str">
        <f>IFERROR(MID(VLOOKUP($B75,Seqs!$A:$B,2,0),AK75,1),"")</f>
        <v>N</v>
      </c>
      <c r="AK75" s="3">
        <v>183</v>
      </c>
      <c r="AL75" s="3" t="str">
        <f>IFERROR(MID(VLOOKUP($B75,Seqs!$A:$B,2,0),AM75,1),"")</f>
        <v>K</v>
      </c>
      <c r="AM75" s="3">
        <v>214</v>
      </c>
      <c r="AN75" s="3" t="str">
        <f>IFERROR(MID(VLOOKUP($B75,Seqs!$A:$B,2,0),AO75,1),"")</f>
        <v>S</v>
      </c>
      <c r="AO75" s="3">
        <v>380</v>
      </c>
      <c r="AP75" s="3" t="str">
        <f>IFERROR(MID(VLOOKUP($B75,Seqs!$A:$B,2,0),AQ75,1),"")</f>
        <v>C</v>
      </c>
      <c r="AQ75" s="3">
        <v>413</v>
      </c>
      <c r="AR75" s="3" t="str">
        <f>IFERROR(MID(VLOOKUP($B75,Seqs!$A:$B,2,0),AS75,1),"")</f>
        <v>P</v>
      </c>
      <c r="AS75" s="3">
        <v>418</v>
      </c>
      <c r="AT75" s="3" t="str">
        <f>IFERROR(MID(VLOOKUP($B75,Seqs!$A:$B,2,0),AU75,1),"")</f>
        <v>C</v>
      </c>
      <c r="AU75" s="3">
        <v>443</v>
      </c>
      <c r="AV75" s="3" t="str">
        <f>IFERROR(MID(VLOOKUP($B75,Seqs!$A:$B,2,0),AW75,1),"")</f>
        <v>N</v>
      </c>
      <c r="AW75" s="3">
        <v>444</v>
      </c>
      <c r="AX75" s="3" t="str">
        <f>IFERROR(MID(VLOOKUP($B75,Seqs!$A:$B,2,0),AY75,1),"")</f>
        <v>M</v>
      </c>
      <c r="AY75" s="3">
        <v>456</v>
      </c>
      <c r="AZ75" s="77" t="str">
        <f>VLOOKUP(B75,Classification!A:D,2,0)</f>
        <v>A</v>
      </c>
      <c r="BA75" s="94" t="str">
        <f>VLOOKUP(B75,Classification!A:D,4,0)</f>
        <v>Acetylcholine(muscarinic)</v>
      </c>
      <c r="BB75" s="27" t="b">
        <f t="shared" si="392"/>
        <v>1</v>
      </c>
      <c r="BC75" s="23">
        <f t="shared" si="225"/>
        <v>257</v>
      </c>
      <c r="BD75" s="4" t="s">
        <v>23</v>
      </c>
      <c r="BE75" s="3" t="s">
        <v>1292</v>
      </c>
      <c r="BF75" s="119">
        <v>3.5</v>
      </c>
      <c r="BG75" s="49" t="s">
        <v>1378</v>
      </c>
      <c r="BH75" s="49" t="s">
        <v>1378</v>
      </c>
      <c r="BI75" s="1"/>
      <c r="BJ75" s="70" t="s">
        <v>1288</v>
      </c>
      <c r="BK75" s="57" t="s">
        <v>1288</v>
      </c>
      <c r="BL75" s="57" t="s">
        <v>1288</v>
      </c>
      <c r="BM75" s="57" t="s">
        <v>1288</v>
      </c>
      <c r="BN75" s="57" t="s">
        <v>1288</v>
      </c>
      <c r="BO75" s="57" t="s">
        <v>1288</v>
      </c>
      <c r="BP75" s="57" t="s">
        <v>1288</v>
      </c>
      <c r="BQ75" s="57" t="s">
        <v>1288</v>
      </c>
      <c r="BR75" s="57" t="s">
        <v>1288</v>
      </c>
      <c r="BS75" s="57" t="s">
        <v>1288</v>
      </c>
      <c r="BT75" s="57" t="s">
        <v>1288</v>
      </c>
      <c r="BU75" s="57" t="s">
        <v>1288</v>
      </c>
      <c r="BV75" s="70">
        <f t="shared" si="226"/>
        <v>19</v>
      </c>
      <c r="BW75" s="71">
        <f t="shared" si="227"/>
        <v>52</v>
      </c>
      <c r="BX75" s="72">
        <f t="shared" si="228"/>
        <v>56</v>
      </c>
      <c r="BY75" s="71">
        <f t="shared" si="229"/>
        <v>88</v>
      </c>
      <c r="BZ75" s="72">
        <f t="shared" si="230"/>
        <v>92</v>
      </c>
      <c r="CA75" s="71">
        <f t="shared" si="231"/>
        <v>128</v>
      </c>
      <c r="CB75" s="72">
        <f t="shared" si="232"/>
        <v>136</v>
      </c>
      <c r="CC75" s="71">
        <f t="shared" si="233"/>
        <v>176</v>
      </c>
      <c r="CD75" s="72">
        <f t="shared" si="234"/>
        <v>183</v>
      </c>
      <c r="CE75" s="71">
        <f t="shared" si="235"/>
        <v>380</v>
      </c>
      <c r="CF75" s="72">
        <f t="shared" si="236"/>
        <v>418</v>
      </c>
      <c r="CG75" s="71">
        <f t="shared" si="237"/>
        <v>444</v>
      </c>
      <c r="CH75" s="70">
        <f t="shared" si="238"/>
        <v>51</v>
      </c>
      <c r="CI75" s="71">
        <f t="shared" si="239"/>
        <v>55</v>
      </c>
      <c r="CJ75" s="72">
        <f t="shared" si="240"/>
        <v>87</v>
      </c>
      <c r="CK75" s="72">
        <f t="shared" si="241"/>
        <v>91</v>
      </c>
      <c r="CL75" s="72">
        <f t="shared" si="242"/>
        <v>127</v>
      </c>
      <c r="CM75" s="72">
        <f t="shared" si="243"/>
        <v>135</v>
      </c>
      <c r="CN75" s="72">
        <f t="shared" si="244"/>
        <v>167</v>
      </c>
      <c r="CO75" s="72">
        <f t="shared" si="245"/>
        <v>178</v>
      </c>
      <c r="CP75" s="72">
        <f t="shared" si="246"/>
        <v>214</v>
      </c>
      <c r="CQ75" s="72">
        <f t="shared" si="247"/>
        <v>413</v>
      </c>
      <c r="CR75" s="72">
        <f t="shared" si="248"/>
        <v>443</v>
      </c>
      <c r="CS75" s="72">
        <f t="shared" si="249"/>
        <v>456</v>
      </c>
      <c r="CT75" s="23">
        <f t="shared" si="250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si="391"/>
        <v>acm2_human_4MQT</v>
      </c>
      <c r="B76" s="3" t="s">
        <v>147</v>
      </c>
      <c r="C76" s="3" t="s">
        <v>1047</v>
      </c>
      <c r="D76" s="3" t="str">
        <f>IFERROR(MID(VLOOKUP($B76,Seqs!$A:$B,2,0),E76,1),"")</f>
        <v>K</v>
      </c>
      <c r="E76" s="3">
        <v>19</v>
      </c>
      <c r="F76" s="3" t="str">
        <f>IFERROR(MID(VLOOKUP($B76,Seqs!$A:$B,2,0),G76,1),"")</f>
        <v>N</v>
      </c>
      <c r="G76" s="3">
        <v>51</v>
      </c>
      <c r="H76" s="3" t="str">
        <f>IFERROR(MID(VLOOKUP($B76,Seqs!$A:$B,2,0),I76,1),"")</f>
        <v>R</v>
      </c>
      <c r="I76" s="23">
        <v>52</v>
      </c>
      <c r="J76" s="3" t="str">
        <f>IFERROR(MID(VLOOKUP($B76,Seqs!$A:$B,2,0),K76,1),"")</f>
        <v>Q</v>
      </c>
      <c r="K76" s="23">
        <v>55</v>
      </c>
      <c r="L76" s="3" t="str">
        <f>IFERROR(MID(VLOOKUP($B76,Seqs!$A:$B,2,0),M76,1),"")</f>
        <v>T</v>
      </c>
      <c r="M76" s="3">
        <v>56</v>
      </c>
      <c r="N76" s="3" t="str">
        <f>IFERROR(MID(VLOOKUP($B76,Seqs!$A:$B,2,0),O76,1),"")</f>
        <v>G</v>
      </c>
      <c r="O76" s="3">
        <v>87</v>
      </c>
      <c r="P76" s="3" t="str">
        <f>IFERROR(MID(VLOOKUP($B76,Seqs!$A:$B,2,0),Q76,1),"")</f>
        <v>Y</v>
      </c>
      <c r="Q76" s="3">
        <v>88</v>
      </c>
      <c r="R76" s="3" t="str">
        <f>IFERROR(MID(VLOOKUP($B76,Seqs!$A:$B,2,0),S76,1),"")</f>
        <v>L</v>
      </c>
      <c r="S76" s="3">
        <v>91</v>
      </c>
      <c r="T76" s="3" t="str">
        <f>IFERROR(MID(VLOOKUP($B76,Seqs!$A:$B,2,0),U76,1),"")</f>
        <v>G</v>
      </c>
      <c r="U76" s="3">
        <v>92</v>
      </c>
      <c r="V76" s="3" t="str">
        <f>IFERROR(MID(VLOOKUP($B76,Seqs!$A:$B,2,0),W76,1),"")</f>
        <v>K</v>
      </c>
      <c r="W76" s="3">
        <v>127</v>
      </c>
      <c r="X76" s="3" t="str">
        <f>IFERROR(MID(VLOOKUP($B76,Seqs!$A:$B,2,0),Y76,1),"")</f>
        <v>P</v>
      </c>
      <c r="Y76" s="3">
        <v>128</v>
      </c>
      <c r="Z76" s="3" t="str">
        <f>IFERROR(MID(VLOOKUP($B76,Seqs!$A:$B,2,0),AA76,1),"")</f>
        <v>R</v>
      </c>
      <c r="AA76" s="3">
        <v>135</v>
      </c>
      <c r="AB76" s="3" t="str">
        <f>IFERROR(MID(VLOOKUP($B76,Seqs!$A:$B,2,0),AC76,1),"")</f>
        <v>T</v>
      </c>
      <c r="AC76" s="9">
        <v>136</v>
      </c>
      <c r="AD76" s="3" t="str">
        <f>IFERROR(MID(VLOOKUP($B76,Seqs!$A:$B,2,0),AE76,1),"")</f>
        <v>G</v>
      </c>
      <c r="AE76" s="3">
        <v>167</v>
      </c>
      <c r="AF76" s="3" t="str">
        <f>IFERROR(MID(VLOOKUP($B76,Seqs!$A:$B,2,0),AG76,1),"")</f>
        <v>C</v>
      </c>
      <c r="AG76" s="3">
        <v>176</v>
      </c>
      <c r="AH76" s="3" t="str">
        <f>IFERROR(MID(VLOOKUP($B76,Seqs!$A:$B,2,0),AI76,1),"")</f>
        <v>I</v>
      </c>
      <c r="AI76" s="3">
        <v>178</v>
      </c>
      <c r="AJ76" s="3" t="str">
        <f>IFERROR(MID(VLOOKUP($B76,Seqs!$A:$B,2,0),AK76,1),"")</f>
        <v>N</v>
      </c>
      <c r="AK76" s="3">
        <v>183</v>
      </c>
      <c r="AL76" s="3" t="str">
        <f>IFERROR(MID(VLOOKUP($B76,Seqs!$A:$B,2,0),AM76,1),"")</f>
        <v>S</v>
      </c>
      <c r="AM76" s="3">
        <v>215</v>
      </c>
      <c r="AN76" s="3" t="str">
        <f>IFERROR(MID(VLOOKUP($B76,Seqs!$A:$B,2,0),AO76,1),"")</f>
        <v>P</v>
      </c>
      <c r="AO76" s="3">
        <v>379</v>
      </c>
      <c r="AP76" s="3" t="str">
        <f>IFERROR(MID(VLOOKUP($B76,Seqs!$A:$B,2,0),AQ76,1),"")</f>
        <v>C</v>
      </c>
      <c r="AQ76" s="3">
        <v>413</v>
      </c>
      <c r="AR76" s="3" t="str">
        <f>IFERROR(MID(VLOOKUP($B76,Seqs!$A:$B,2,0),AS76,1),"")</f>
        <v>P</v>
      </c>
      <c r="AS76" s="3">
        <v>418</v>
      </c>
      <c r="AT76" s="3" t="str">
        <f>IFERROR(MID(VLOOKUP($B76,Seqs!$A:$B,2,0),AU76,1),"")</f>
        <v>C</v>
      </c>
      <c r="AU76" s="3">
        <v>443</v>
      </c>
      <c r="AV76" s="3" t="str">
        <f>IFERROR(MID(VLOOKUP($B76,Seqs!$A:$B,2,0),AW76,1),"")</f>
        <v>N</v>
      </c>
      <c r="AW76" s="3">
        <v>444</v>
      </c>
      <c r="AX76" s="3" t="str">
        <f>IFERROR(MID(VLOOKUP($B76,Seqs!$A:$B,2,0),AY76,1),"")</f>
        <v>C</v>
      </c>
      <c r="AY76" s="3">
        <v>457</v>
      </c>
      <c r="AZ76" s="77" t="str">
        <f>VLOOKUP(B76,Classification!A:D,2,0)</f>
        <v>A</v>
      </c>
      <c r="BA76" s="94" t="str">
        <f>VLOOKUP(B76,Classification!A:D,4,0)</f>
        <v>Acetylcholine(muscarinic)</v>
      </c>
      <c r="BB76" s="27" t="b">
        <f t="shared" si="392"/>
        <v>1</v>
      </c>
      <c r="BC76" s="23">
        <f t="shared" si="225"/>
        <v>260</v>
      </c>
      <c r="BD76" s="4" t="s">
        <v>1376</v>
      </c>
      <c r="BE76" s="3" t="s">
        <v>1292</v>
      </c>
      <c r="BF76" s="119">
        <v>3.7</v>
      </c>
      <c r="BG76" s="49" t="s">
        <v>1378</v>
      </c>
      <c r="BH76" s="49" t="s">
        <v>1378</v>
      </c>
      <c r="BI76" s="1"/>
      <c r="BJ76" s="70" t="s">
        <v>1288</v>
      </c>
      <c r="BK76" s="57" t="s">
        <v>1288</v>
      </c>
      <c r="BL76" s="57" t="s">
        <v>1288</v>
      </c>
      <c r="BM76" s="57" t="s">
        <v>1288</v>
      </c>
      <c r="BN76" s="57" t="s">
        <v>1288</v>
      </c>
      <c r="BO76" s="57" t="s">
        <v>1288</v>
      </c>
      <c r="BP76" s="57" t="s">
        <v>1288</v>
      </c>
      <c r="BQ76" s="57" t="s">
        <v>1288</v>
      </c>
      <c r="BR76" s="57" t="s">
        <v>1288</v>
      </c>
      <c r="BS76" s="57" t="s">
        <v>1288</v>
      </c>
      <c r="BT76" s="57" t="s">
        <v>1288</v>
      </c>
      <c r="BU76" s="57" t="s">
        <v>1288</v>
      </c>
      <c r="BV76" s="70">
        <f t="shared" si="226"/>
        <v>19</v>
      </c>
      <c r="BW76" s="71">
        <f t="shared" si="227"/>
        <v>52</v>
      </c>
      <c r="BX76" s="72">
        <f t="shared" si="228"/>
        <v>56</v>
      </c>
      <c r="BY76" s="71">
        <f t="shared" si="229"/>
        <v>88</v>
      </c>
      <c r="BZ76" s="72">
        <f t="shared" si="230"/>
        <v>92</v>
      </c>
      <c r="CA76" s="71">
        <f t="shared" si="231"/>
        <v>128</v>
      </c>
      <c r="CB76" s="72">
        <f t="shared" si="232"/>
        <v>136</v>
      </c>
      <c r="CC76" s="71">
        <f t="shared" si="233"/>
        <v>176</v>
      </c>
      <c r="CD76" s="72">
        <f t="shared" si="234"/>
        <v>183</v>
      </c>
      <c r="CE76" s="71">
        <f t="shared" si="235"/>
        <v>379</v>
      </c>
      <c r="CF76" s="72">
        <f t="shared" si="236"/>
        <v>418</v>
      </c>
      <c r="CG76" s="71">
        <f t="shared" si="237"/>
        <v>444</v>
      </c>
      <c r="CH76" s="70">
        <f t="shared" si="238"/>
        <v>51</v>
      </c>
      <c r="CI76" s="71">
        <f t="shared" si="239"/>
        <v>55</v>
      </c>
      <c r="CJ76" s="72">
        <f t="shared" si="240"/>
        <v>87</v>
      </c>
      <c r="CK76" s="72">
        <f t="shared" si="241"/>
        <v>91</v>
      </c>
      <c r="CL76" s="72">
        <f t="shared" si="242"/>
        <v>127</v>
      </c>
      <c r="CM76" s="72">
        <f t="shared" si="243"/>
        <v>135</v>
      </c>
      <c r="CN76" s="72">
        <f t="shared" si="244"/>
        <v>167</v>
      </c>
      <c r="CO76" s="72">
        <f t="shared" si="245"/>
        <v>178</v>
      </c>
      <c r="CP76" s="72">
        <f t="shared" si="246"/>
        <v>215</v>
      </c>
      <c r="CQ76" s="72">
        <f t="shared" si="247"/>
        <v>413</v>
      </c>
      <c r="CR76" s="72">
        <f t="shared" si="248"/>
        <v>443</v>
      </c>
      <c r="CS76" s="72">
        <f t="shared" si="249"/>
        <v>457</v>
      </c>
      <c r="CT76" s="23">
        <f t="shared" si="250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ref="A77" si="393">CONCATENATE(B77,"_",C77)</f>
        <v>acm2_human_5ZKC</v>
      </c>
      <c r="B77" s="3" t="s">
        <v>147</v>
      </c>
      <c r="C77" s="3" t="s">
        <v>1531</v>
      </c>
      <c r="D77" s="3" t="str">
        <f>IFERROR(MID(VLOOKUP($B77,Seqs!$A:$B,2,0),E77,1),"")</f>
        <v>P</v>
      </c>
      <c r="E77" s="3">
        <v>17</v>
      </c>
      <c r="F77" s="3" t="str">
        <f>IFERROR(MID(VLOOKUP($B77,Seqs!$A:$B,2,0),G77,1),"")</f>
        <v>N</v>
      </c>
      <c r="G77" s="3">
        <v>51</v>
      </c>
      <c r="H77" s="3" t="str">
        <f>IFERROR(MID(VLOOKUP($B77,Seqs!$A:$B,2,0),I77,1),"")</f>
        <v>R</v>
      </c>
      <c r="I77" s="23">
        <v>52</v>
      </c>
      <c r="J77" s="3" t="str">
        <f>IFERROR(MID(VLOOKUP($B77,Seqs!$A:$B,2,0),K77,1),"")</f>
        <v>Q</v>
      </c>
      <c r="K77" s="23">
        <v>55</v>
      </c>
      <c r="L77" s="3" t="str">
        <f>IFERROR(MID(VLOOKUP($B77,Seqs!$A:$B,2,0),M77,1),"")</f>
        <v>T</v>
      </c>
      <c r="M77" s="3">
        <v>56</v>
      </c>
      <c r="N77" s="3" t="str">
        <f>IFERROR(MID(VLOOKUP($B77,Seqs!$A:$B,2,0),O77,1),"")</f>
        <v>G</v>
      </c>
      <c r="O77" s="3">
        <v>87</v>
      </c>
      <c r="P77" s="3" t="str">
        <f>IFERROR(MID(VLOOKUP($B77,Seqs!$A:$B,2,0),Q77,1),"")</f>
        <v>Y</v>
      </c>
      <c r="Q77" s="3">
        <v>88</v>
      </c>
      <c r="R77" s="3" t="str">
        <f>IFERROR(MID(VLOOKUP($B77,Seqs!$A:$B,2,0),S77,1),"")</f>
        <v>L</v>
      </c>
      <c r="S77" s="3">
        <v>91</v>
      </c>
      <c r="T77" s="3" t="str">
        <f>IFERROR(MID(VLOOKUP($B77,Seqs!$A:$B,2,0),U77,1),"")</f>
        <v>G</v>
      </c>
      <c r="U77" s="3">
        <v>92</v>
      </c>
      <c r="V77" s="3" t="str">
        <f>IFERROR(MID(VLOOKUP($B77,Seqs!$A:$B,2,0),W77,1),"")</f>
        <v>K</v>
      </c>
      <c r="W77" s="3">
        <v>127</v>
      </c>
      <c r="X77" s="3" t="str">
        <f>IFERROR(MID(VLOOKUP($B77,Seqs!$A:$B,2,0),Y77,1),"")</f>
        <v>P</v>
      </c>
      <c r="Y77" s="3">
        <v>128</v>
      </c>
      <c r="Z77" s="3" t="str">
        <f>IFERROR(MID(VLOOKUP($B77,Seqs!$A:$B,2,0),AA77,1),"")</f>
        <v>R</v>
      </c>
      <c r="AA77" s="3">
        <v>135</v>
      </c>
      <c r="AB77" s="3" t="str">
        <f>IFERROR(MID(VLOOKUP($B77,Seqs!$A:$B,2,0),AC77,1),"")</f>
        <v>T</v>
      </c>
      <c r="AC77" s="3">
        <v>136</v>
      </c>
      <c r="AD77" s="3" t="str">
        <f>IFERROR(MID(VLOOKUP($B77,Seqs!$A:$B,2,0),AE77,1),"")</f>
        <v>V</v>
      </c>
      <c r="AE77" s="3">
        <v>166</v>
      </c>
      <c r="AF77" s="3" t="str">
        <f>IFERROR(MID(VLOOKUP($B77,Seqs!$A:$B,2,0),AG77,1),"")</f>
        <v>C</v>
      </c>
      <c r="AG77" s="3">
        <v>176</v>
      </c>
      <c r="AH77" s="3" t="str">
        <f>IFERROR(MID(VLOOKUP($B77,Seqs!$A:$B,2,0),AI77,1),"")</f>
        <v>I</v>
      </c>
      <c r="AI77" s="3">
        <v>178</v>
      </c>
      <c r="AJ77" s="3" t="str">
        <f>IFERROR(MID(VLOOKUP($B77,Seqs!$A:$B,2,0),AK77,1),"")</f>
        <v>N</v>
      </c>
      <c r="AK77" s="3">
        <v>183</v>
      </c>
      <c r="AL77" s="3" t="str">
        <f>IFERROR(MID(VLOOKUP($B77,Seqs!$A:$B,2,0),AM77,1),"")</f>
        <v>K</v>
      </c>
      <c r="AM77" s="3">
        <v>214</v>
      </c>
      <c r="AN77" s="3" t="str">
        <f>IFERROR(MID(VLOOKUP($B77,Seqs!$A:$B,2,0),AO77,1),"")</f>
        <v>R</v>
      </c>
      <c r="AO77" s="3">
        <v>381</v>
      </c>
      <c r="AP77" s="3" t="str">
        <f>IFERROR(MID(VLOOKUP($B77,Seqs!$A:$B,2,0),AQ77,1),"")</f>
        <v>C</v>
      </c>
      <c r="AQ77" s="3">
        <v>413</v>
      </c>
      <c r="AR77" s="3" t="str">
        <f>IFERROR(MID(VLOOKUP($B77,Seqs!$A:$B,2,0),AS77,1),"")</f>
        <v>P</v>
      </c>
      <c r="AS77" s="3">
        <v>418</v>
      </c>
      <c r="AT77" s="3" t="str">
        <f>IFERROR(MID(VLOOKUP($B77,Seqs!$A:$B,2,0),AU77,1),"")</f>
        <v>C</v>
      </c>
      <c r="AU77" s="105">
        <v>443</v>
      </c>
      <c r="AV77" s="3" t="str">
        <f>IFERROR(MID(VLOOKUP($B77,Seqs!$A:$B,2,0),AW77,1),"")</f>
        <v>N</v>
      </c>
      <c r="AW77" s="3">
        <v>444</v>
      </c>
      <c r="AX77" s="3" t="str">
        <f>IFERROR(MID(VLOOKUP($B77,Seqs!$A:$B,2,0),AY77,1),"")</f>
        <v>M</v>
      </c>
      <c r="AY77" s="3">
        <v>456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ref="BB77" si="394">AND(E77&lt;G77,OR(G77&lt;I77,I77="-"),OR(I77&lt;K77,I77="-"),OR(K77&lt;M77,K77="-"),M77&lt;O77,OR(O77&lt;Q77,Q77="-"),OR(Q77&lt;S77,Q77="-"),OR(S77&lt;U77,S77="-"),U77&lt;W77,OR(W77&lt;Y77,Y77="-"),OR(Y77&lt;AA77,Y77="-"),OR(AA77&lt;AC77,AA77="-"),AC77&lt;AE77,OR(AE77&lt;AG77,AG77="-"),OR(AG77&lt;AI77,AG77="-"),OR(AI77&lt;AK77,AI77="-"),AK77&lt;AM77,AM77&lt;AO77,AO77&lt;AQ77,AQ77&lt;AS77,AS77&lt;AU77,OR(AU77&lt;AW77,AW77="-"),OR(AW77&lt;AY77,AW77="-"))</f>
        <v>1</v>
      </c>
      <c r="BC77" s="23">
        <f t="shared" ref="BC77" si="395">_xlfn.AGGREGATE(9,6,CH77:CS77)-_xlfn.AGGREGATE(9,6,BV77:CG77)+12</f>
        <v>257</v>
      </c>
      <c r="BD77" s="4" t="s">
        <v>1377</v>
      </c>
      <c r="BE77" s="3" t="s">
        <v>1375</v>
      </c>
      <c r="BF77" s="119">
        <v>2.2999999999999998</v>
      </c>
      <c r="BG77" s="49" t="s">
        <v>1</v>
      </c>
      <c r="BH77" s="49" t="s">
        <v>1</v>
      </c>
      <c r="BI77" s="1"/>
      <c r="BJ77" s="70" t="s">
        <v>1288</v>
      </c>
      <c r="BK77" s="57" t="s">
        <v>1288</v>
      </c>
      <c r="BL77" s="57" t="s">
        <v>1288</v>
      </c>
      <c r="BM77" s="57" t="s">
        <v>1288</v>
      </c>
      <c r="BN77" s="57" t="s">
        <v>1288</v>
      </c>
      <c r="BO77" s="57" t="s">
        <v>1288</v>
      </c>
      <c r="BP77" s="57" t="s">
        <v>1288</v>
      </c>
      <c r="BQ77" s="57" t="s">
        <v>1288</v>
      </c>
      <c r="BR77" s="57" t="s">
        <v>1288</v>
      </c>
      <c r="BS77" s="57" t="s">
        <v>1288</v>
      </c>
      <c r="BT77" s="57" t="s">
        <v>1288</v>
      </c>
      <c r="BU77" s="57" t="s">
        <v>1288</v>
      </c>
      <c r="BV77" s="70">
        <f t="shared" ref="BV77" si="396">E77</f>
        <v>17</v>
      </c>
      <c r="BW77" s="71">
        <f t="shared" ref="BW77" si="397">I77</f>
        <v>52</v>
      </c>
      <c r="BX77" s="72">
        <f t="shared" ref="BX77" si="398">M77</f>
        <v>56</v>
      </c>
      <c r="BY77" s="71">
        <f t="shared" ref="BY77" si="399">Q77</f>
        <v>88</v>
      </c>
      <c r="BZ77" s="72">
        <f t="shared" ref="BZ77" si="400">U77</f>
        <v>92</v>
      </c>
      <c r="CA77" s="71">
        <f t="shared" ref="CA77" si="401">Y77</f>
        <v>128</v>
      </c>
      <c r="CB77" s="72">
        <f t="shared" ref="CB77" si="402">AC77</f>
        <v>136</v>
      </c>
      <c r="CC77" s="71">
        <f t="shared" ref="CC77" si="403">AG77</f>
        <v>176</v>
      </c>
      <c r="CD77" s="72">
        <f t="shared" ref="CD77" si="404">AK77</f>
        <v>183</v>
      </c>
      <c r="CE77" s="71">
        <f t="shared" ref="CE77" si="405">AO77</f>
        <v>381</v>
      </c>
      <c r="CF77" s="72">
        <f t="shared" ref="CF77" si="406">AS77</f>
        <v>418</v>
      </c>
      <c r="CG77" s="71">
        <f t="shared" ref="CG77" si="407">AW77</f>
        <v>444</v>
      </c>
      <c r="CH77" s="70">
        <f t="shared" ref="CH77" si="408">G77</f>
        <v>51</v>
      </c>
      <c r="CI77" s="71">
        <f t="shared" ref="CI77" si="409">K77</f>
        <v>55</v>
      </c>
      <c r="CJ77" s="72">
        <f t="shared" ref="CJ77" si="410">O77</f>
        <v>87</v>
      </c>
      <c r="CK77" s="72">
        <f t="shared" ref="CK77" si="411">S77</f>
        <v>91</v>
      </c>
      <c r="CL77" s="72">
        <f t="shared" ref="CL77" si="412">W77</f>
        <v>127</v>
      </c>
      <c r="CM77" s="72">
        <f t="shared" ref="CM77" si="413">AA77</f>
        <v>135</v>
      </c>
      <c r="CN77" s="72">
        <f t="shared" ref="CN77" si="414">AE77</f>
        <v>166</v>
      </c>
      <c r="CO77" s="72">
        <f t="shared" ref="CO77" si="415">AI77</f>
        <v>178</v>
      </c>
      <c r="CP77" s="72">
        <f t="shared" ref="CP77" si="416">AM77</f>
        <v>214</v>
      </c>
      <c r="CQ77" s="72">
        <f t="shared" ref="CQ77" si="417">AQ77</f>
        <v>413</v>
      </c>
      <c r="CR77" s="72">
        <f t="shared" ref="CR77" si="418">AU77</f>
        <v>443</v>
      </c>
      <c r="CS77" s="72">
        <f t="shared" ref="CS77" si="419">AY77</f>
        <v>456</v>
      </c>
      <c r="CT77" s="23">
        <f t="shared" ref="CT77" si="420">M77-K77</f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ref="A78" si="421">CONCATENATE(B78,"_",C78)</f>
        <v>acm2_human_5ZKB</v>
      </c>
      <c r="B78" s="3" t="s">
        <v>147</v>
      </c>
      <c r="C78" s="3" t="s">
        <v>1532</v>
      </c>
      <c r="D78" s="3" t="str">
        <f>IFERROR(MID(VLOOKUP($B78,Seqs!$A:$B,2,0),E78,1),"")</f>
        <v>Y</v>
      </c>
      <c r="E78" s="3">
        <v>18</v>
      </c>
      <c r="F78" s="3" t="str">
        <f>IFERROR(MID(VLOOKUP($B78,Seqs!$A:$B,2,0),G78,1),"")</f>
        <v>N</v>
      </c>
      <c r="G78" s="3">
        <v>51</v>
      </c>
      <c r="H78" s="3" t="str">
        <f>IFERROR(MID(VLOOKUP($B78,Seqs!$A:$B,2,0),I78,1),"")</f>
        <v>R</v>
      </c>
      <c r="I78" s="23">
        <v>52</v>
      </c>
      <c r="J78" s="3" t="str">
        <f>IFERROR(MID(VLOOKUP($B78,Seqs!$A:$B,2,0),K78,1),"")</f>
        <v>Q</v>
      </c>
      <c r="K78" s="23">
        <v>55</v>
      </c>
      <c r="L78" s="3" t="str">
        <f>IFERROR(MID(VLOOKUP($B78,Seqs!$A:$B,2,0),M78,1),"")</f>
        <v>T</v>
      </c>
      <c r="M78" s="3">
        <v>56</v>
      </c>
      <c r="N78" s="3" t="str">
        <f>IFERROR(MID(VLOOKUP($B78,Seqs!$A:$B,2,0),O78,1),"")</f>
        <v>G</v>
      </c>
      <c r="O78" s="3">
        <v>87</v>
      </c>
      <c r="P78" s="3" t="str">
        <f>IFERROR(MID(VLOOKUP($B78,Seqs!$A:$B,2,0),Q78,1),"")</f>
        <v>Y</v>
      </c>
      <c r="Q78" s="3">
        <v>88</v>
      </c>
      <c r="R78" s="3" t="str">
        <f>IFERROR(MID(VLOOKUP($B78,Seqs!$A:$B,2,0),S78,1),"")</f>
        <v>L</v>
      </c>
      <c r="S78" s="3">
        <v>91</v>
      </c>
      <c r="T78" s="3" t="str">
        <f>IFERROR(MID(VLOOKUP($B78,Seqs!$A:$B,2,0),U78,1),"")</f>
        <v>G</v>
      </c>
      <c r="U78" s="3">
        <v>92</v>
      </c>
      <c r="V78" s="3" t="str">
        <f>IFERROR(MID(VLOOKUP($B78,Seqs!$A:$B,2,0),W78,1),"")</f>
        <v>K</v>
      </c>
      <c r="W78" s="3">
        <v>127</v>
      </c>
      <c r="X78" s="3" t="str">
        <f>IFERROR(MID(VLOOKUP($B78,Seqs!$A:$B,2,0),Y78,1),"")</f>
        <v>P</v>
      </c>
      <c r="Y78" s="3">
        <v>128</v>
      </c>
      <c r="Z78" s="3" t="str">
        <f>IFERROR(MID(VLOOKUP($B78,Seqs!$A:$B,2,0),AA78,1),"")</f>
        <v>R</v>
      </c>
      <c r="AA78" s="3">
        <v>135</v>
      </c>
      <c r="AB78" s="3" t="str">
        <f>IFERROR(MID(VLOOKUP($B78,Seqs!$A:$B,2,0),AC78,1),"")</f>
        <v>T</v>
      </c>
      <c r="AC78" s="3">
        <v>136</v>
      </c>
      <c r="AD78" s="3" t="str">
        <f>IFERROR(MID(VLOOKUP($B78,Seqs!$A:$B,2,0),AE78,1),"")</f>
        <v>V</v>
      </c>
      <c r="AE78" s="3">
        <v>166</v>
      </c>
      <c r="AF78" s="3" t="str">
        <f>IFERROR(MID(VLOOKUP($B78,Seqs!$A:$B,2,0),AG78,1),"")</f>
        <v>C</v>
      </c>
      <c r="AG78" s="3">
        <v>176</v>
      </c>
      <c r="AH78" s="3" t="str">
        <f>IFERROR(MID(VLOOKUP($B78,Seqs!$A:$B,2,0),AI78,1),"")</f>
        <v>I</v>
      </c>
      <c r="AI78" s="3">
        <v>178</v>
      </c>
      <c r="AJ78" s="3" t="str">
        <f>IFERROR(MID(VLOOKUP($B78,Seqs!$A:$B,2,0),AK78,1),"")</f>
        <v>N</v>
      </c>
      <c r="AK78" s="3">
        <v>183</v>
      </c>
      <c r="AL78" s="3" t="str">
        <f>IFERROR(MID(VLOOKUP($B78,Seqs!$A:$B,2,0),AM78,1),"")</f>
        <v>K</v>
      </c>
      <c r="AM78" s="3">
        <v>214</v>
      </c>
      <c r="AN78" s="3" t="str">
        <f>IFERROR(MID(VLOOKUP($B78,Seqs!$A:$B,2,0),AO78,1),"")</f>
        <v>S</v>
      </c>
      <c r="AO78" s="3">
        <v>380</v>
      </c>
      <c r="AP78" s="3" t="str">
        <f>IFERROR(MID(VLOOKUP($B78,Seqs!$A:$B,2,0),AQ78,1),"")</f>
        <v>C</v>
      </c>
      <c r="AQ78" s="3">
        <v>413</v>
      </c>
      <c r="AR78" s="3" t="str">
        <f>IFERROR(MID(VLOOKUP($B78,Seqs!$A:$B,2,0),AS78,1),"")</f>
        <v>P</v>
      </c>
      <c r="AS78" s="3">
        <v>418</v>
      </c>
      <c r="AT78" s="3" t="str">
        <f>IFERROR(MID(VLOOKUP($B78,Seqs!$A:$B,2,0),AU78,1),"")</f>
        <v>C</v>
      </c>
      <c r="AU78" s="105">
        <v>443</v>
      </c>
      <c r="AV78" s="3" t="str">
        <f>IFERROR(MID(VLOOKUP($B78,Seqs!$A:$B,2,0),AW78,1),"")</f>
        <v>N</v>
      </c>
      <c r="AW78" s="3">
        <v>444</v>
      </c>
      <c r="AX78" s="3" t="str">
        <f>IFERROR(MID(VLOOKUP($B78,Seqs!$A:$B,2,0),AY78,1),"")</f>
        <v>M</v>
      </c>
      <c r="AY78" s="3">
        <v>456</v>
      </c>
      <c r="AZ78" s="77" t="str">
        <f>VLOOKUP(B78,Classification!A:D,2,0)</f>
        <v>A</v>
      </c>
      <c r="BA78" s="94" t="str">
        <f>VLOOKUP(B78,Classification!A:D,4,0)</f>
        <v>Acetylcholine(muscarinic)</v>
      </c>
      <c r="BB78" s="27" t="b">
        <f t="shared" ref="BB78" si="422">AND(E78&lt;G78,OR(G78&lt;I78,I78="-"),OR(I78&lt;K78,I78="-"),OR(K78&lt;M78,K78="-"),M78&lt;O78,OR(O78&lt;Q78,Q78="-"),OR(Q78&lt;S78,Q78="-"),OR(S78&lt;U78,S78="-"),U78&lt;W78,OR(W78&lt;Y78,Y78="-"),OR(Y78&lt;AA78,Y78="-"),OR(AA78&lt;AC78,AA78="-"),AC78&lt;AE78,OR(AE78&lt;AG78,AG78="-"),OR(AG78&lt;AI78,AG78="-"),OR(AI78&lt;AK78,AI78="-"),AK78&lt;AM78,AM78&lt;AO78,AO78&lt;AQ78,AQ78&lt;AS78,AS78&lt;AU78,OR(AU78&lt;AW78,AW78="-"),OR(AW78&lt;AY78,AW78="-"))</f>
        <v>1</v>
      </c>
      <c r="BC78" s="23">
        <f t="shared" ref="BC78" si="423">_xlfn.AGGREGATE(9,6,CH78:CS78)-_xlfn.AGGREGATE(9,6,BV78:CG78)+12</f>
        <v>257</v>
      </c>
      <c r="BD78" s="4" t="s">
        <v>23</v>
      </c>
      <c r="BE78" s="3" t="s">
        <v>1375</v>
      </c>
      <c r="BF78" s="119">
        <v>2.95</v>
      </c>
      <c r="BG78" s="49" t="s">
        <v>1</v>
      </c>
      <c r="BH78" s="49" t="s">
        <v>1</v>
      </c>
      <c r="BI78" s="1"/>
      <c r="BJ78" s="70" t="s">
        <v>1288</v>
      </c>
      <c r="BK78" s="57" t="s">
        <v>1288</v>
      </c>
      <c r="BL78" s="57" t="s">
        <v>1288</v>
      </c>
      <c r="BM78" s="57" t="s">
        <v>1288</v>
      </c>
      <c r="BN78" s="57" t="s">
        <v>1288</v>
      </c>
      <c r="BO78" s="57" t="s">
        <v>1288</v>
      </c>
      <c r="BP78" s="57" t="s">
        <v>1288</v>
      </c>
      <c r="BQ78" s="57" t="s">
        <v>1288</v>
      </c>
      <c r="BR78" s="57" t="s">
        <v>1288</v>
      </c>
      <c r="BS78" s="57" t="s">
        <v>1288</v>
      </c>
      <c r="BT78" s="57" t="s">
        <v>1288</v>
      </c>
      <c r="BU78" s="57" t="s">
        <v>1288</v>
      </c>
      <c r="BV78" s="70">
        <f t="shared" ref="BV78" si="424">E78</f>
        <v>18</v>
      </c>
      <c r="BW78" s="71">
        <f t="shared" ref="BW78" si="425">I78</f>
        <v>52</v>
      </c>
      <c r="BX78" s="72">
        <f t="shared" ref="BX78" si="426">M78</f>
        <v>56</v>
      </c>
      <c r="BY78" s="71">
        <f t="shared" ref="BY78" si="427">Q78</f>
        <v>88</v>
      </c>
      <c r="BZ78" s="72">
        <f t="shared" ref="BZ78" si="428">U78</f>
        <v>92</v>
      </c>
      <c r="CA78" s="71">
        <f t="shared" ref="CA78" si="429">Y78</f>
        <v>128</v>
      </c>
      <c r="CB78" s="72">
        <f t="shared" ref="CB78" si="430">AC78</f>
        <v>136</v>
      </c>
      <c r="CC78" s="71">
        <f t="shared" ref="CC78" si="431">AG78</f>
        <v>176</v>
      </c>
      <c r="CD78" s="72">
        <f t="shared" ref="CD78" si="432">AK78</f>
        <v>183</v>
      </c>
      <c r="CE78" s="71">
        <f t="shared" ref="CE78" si="433">AO78</f>
        <v>380</v>
      </c>
      <c r="CF78" s="72">
        <f t="shared" ref="CF78" si="434">AS78</f>
        <v>418</v>
      </c>
      <c r="CG78" s="71">
        <f t="shared" ref="CG78" si="435">AW78</f>
        <v>444</v>
      </c>
      <c r="CH78" s="70">
        <f t="shared" ref="CH78" si="436">G78</f>
        <v>51</v>
      </c>
      <c r="CI78" s="71">
        <f t="shared" ref="CI78" si="437">K78</f>
        <v>55</v>
      </c>
      <c r="CJ78" s="72">
        <f t="shared" ref="CJ78" si="438">O78</f>
        <v>87</v>
      </c>
      <c r="CK78" s="72">
        <f t="shared" ref="CK78" si="439">S78</f>
        <v>91</v>
      </c>
      <c r="CL78" s="72">
        <f t="shared" ref="CL78" si="440">W78</f>
        <v>127</v>
      </c>
      <c r="CM78" s="72">
        <f t="shared" ref="CM78" si="441">AA78</f>
        <v>135</v>
      </c>
      <c r="CN78" s="72">
        <f t="shared" ref="CN78" si="442">AE78</f>
        <v>166</v>
      </c>
      <c r="CO78" s="72">
        <f t="shared" ref="CO78" si="443">AI78</f>
        <v>178</v>
      </c>
      <c r="CP78" s="72">
        <f t="shared" ref="CP78" si="444">AM78</f>
        <v>214</v>
      </c>
      <c r="CQ78" s="72">
        <f t="shared" ref="CQ78" si="445">AQ78</f>
        <v>413</v>
      </c>
      <c r="CR78" s="72">
        <f t="shared" ref="CR78" si="446">AU78</f>
        <v>443</v>
      </c>
      <c r="CS78" s="72">
        <f t="shared" ref="CS78" si="447">AY78</f>
        <v>456</v>
      </c>
      <c r="CT78" s="23">
        <f t="shared" ref="CT78" si="448">M78-K78</f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ref="A79" si="449">CONCATENATE(B79,"_",C79)</f>
        <v>acm2_human_5ZK8</v>
      </c>
      <c r="B79" s="3" t="s">
        <v>147</v>
      </c>
      <c r="C79" s="3" t="s">
        <v>1533</v>
      </c>
      <c r="D79" s="3" t="str">
        <f>IFERROR(MID(VLOOKUP($B79,Seqs!$A:$B,2,0),E79,1),"")</f>
        <v>Y</v>
      </c>
      <c r="E79" s="3">
        <v>18</v>
      </c>
      <c r="F79" s="3" t="str">
        <f>IFERROR(MID(VLOOKUP($B79,Seqs!$A:$B,2,0),G79,1),"")</f>
        <v>N</v>
      </c>
      <c r="G79" s="3">
        <v>51</v>
      </c>
      <c r="H79" s="3" t="str">
        <f>IFERROR(MID(VLOOKUP($B79,Seqs!$A:$B,2,0),I79,1),"")</f>
        <v>R</v>
      </c>
      <c r="I79" s="23">
        <v>52</v>
      </c>
      <c r="J79" s="3" t="str">
        <f>IFERROR(MID(VLOOKUP($B79,Seqs!$A:$B,2,0),K79,1),"")</f>
        <v>Q</v>
      </c>
      <c r="K79" s="23">
        <v>55</v>
      </c>
      <c r="L79" s="3" t="str">
        <f>IFERROR(MID(VLOOKUP($B79,Seqs!$A:$B,2,0),M79,1),"")</f>
        <v>T</v>
      </c>
      <c r="M79" s="3">
        <v>56</v>
      </c>
      <c r="N79" s="3" t="str">
        <f>IFERROR(MID(VLOOKUP($B79,Seqs!$A:$B,2,0),O79,1),"")</f>
        <v>G</v>
      </c>
      <c r="O79" s="3">
        <v>87</v>
      </c>
      <c r="P79" s="3" t="str">
        <f>IFERROR(MID(VLOOKUP($B79,Seqs!$A:$B,2,0),Q79,1),"")</f>
        <v>Y</v>
      </c>
      <c r="Q79" s="3">
        <v>88</v>
      </c>
      <c r="R79" s="3" t="str">
        <f>IFERROR(MID(VLOOKUP($B79,Seqs!$A:$B,2,0),S79,1),"")</f>
        <v>L</v>
      </c>
      <c r="S79" s="3">
        <v>91</v>
      </c>
      <c r="T79" s="3" t="str">
        <f>IFERROR(MID(VLOOKUP($B79,Seqs!$A:$B,2,0),U79,1),"")</f>
        <v>G</v>
      </c>
      <c r="U79" s="3">
        <v>92</v>
      </c>
      <c r="V79" s="3" t="str">
        <f>IFERROR(MID(VLOOKUP($B79,Seqs!$A:$B,2,0),W79,1),"")</f>
        <v>K</v>
      </c>
      <c r="W79" s="3">
        <v>127</v>
      </c>
      <c r="X79" s="3" t="str">
        <f>IFERROR(MID(VLOOKUP($B79,Seqs!$A:$B,2,0),Y79,1),"")</f>
        <v>P</v>
      </c>
      <c r="Y79" s="3">
        <v>128</v>
      </c>
      <c r="Z79" s="3" t="str">
        <f>IFERROR(MID(VLOOKUP($B79,Seqs!$A:$B,2,0),AA79,1),"")</f>
        <v>R</v>
      </c>
      <c r="AA79" s="3">
        <v>135</v>
      </c>
      <c r="AB79" s="3" t="str">
        <f>IFERROR(MID(VLOOKUP($B79,Seqs!$A:$B,2,0),AC79,1),"")</f>
        <v>T</v>
      </c>
      <c r="AC79" s="3">
        <v>136</v>
      </c>
      <c r="AD79" s="3" t="str">
        <f>IFERROR(MID(VLOOKUP($B79,Seqs!$A:$B,2,0),AE79,1),"")</f>
        <v>G</v>
      </c>
      <c r="AE79" s="3">
        <v>167</v>
      </c>
      <c r="AF79" s="3" t="str">
        <f>IFERROR(MID(VLOOKUP($B79,Seqs!$A:$B,2,0),AG79,1),"")</f>
        <v>C</v>
      </c>
      <c r="AG79" s="3">
        <v>176</v>
      </c>
      <c r="AH79" s="3" t="str">
        <f>IFERROR(MID(VLOOKUP($B79,Seqs!$A:$B,2,0),AI79,1),"")</f>
        <v>I</v>
      </c>
      <c r="AI79" s="3">
        <v>178</v>
      </c>
      <c r="AJ79" s="3" t="str">
        <f>IFERROR(MID(VLOOKUP($B79,Seqs!$A:$B,2,0),AK79,1),"")</f>
        <v>N</v>
      </c>
      <c r="AK79" s="3">
        <v>183</v>
      </c>
      <c r="AL79" s="3" t="str">
        <f>IFERROR(MID(VLOOKUP($B79,Seqs!$A:$B,2,0),AM79,1),"")</f>
        <v>K</v>
      </c>
      <c r="AM79" s="3">
        <v>214</v>
      </c>
      <c r="AN79" s="3" t="str">
        <f>IFERROR(MID(VLOOKUP($B79,Seqs!$A:$B,2,0),AO79,1),"")</f>
        <v>K</v>
      </c>
      <c r="AO79" s="3">
        <v>383</v>
      </c>
      <c r="AP79" s="3" t="str">
        <f>IFERROR(MID(VLOOKUP($B79,Seqs!$A:$B,2,0),AQ79,1),"")</f>
        <v>C</v>
      </c>
      <c r="AQ79" s="3">
        <v>413</v>
      </c>
      <c r="AR79" s="3" t="str">
        <f>IFERROR(MID(VLOOKUP($B79,Seqs!$A:$B,2,0),AS79,1),"")</f>
        <v>P</v>
      </c>
      <c r="AS79" s="3">
        <v>418</v>
      </c>
      <c r="AT79" s="3" t="str">
        <f>IFERROR(MID(VLOOKUP($B79,Seqs!$A:$B,2,0),AU79,1),"")</f>
        <v>C</v>
      </c>
      <c r="AU79" s="105">
        <v>443</v>
      </c>
      <c r="AV79" s="3" t="str">
        <f>IFERROR(MID(VLOOKUP($B79,Seqs!$A:$B,2,0),AW79,1),"")</f>
        <v>N</v>
      </c>
      <c r="AW79" s="3">
        <v>444</v>
      </c>
      <c r="AX79" s="3" t="str">
        <f>IFERROR(MID(VLOOKUP($B79,Seqs!$A:$B,2,0),AY79,1),"")</f>
        <v>M</v>
      </c>
      <c r="AY79" s="3">
        <v>456</v>
      </c>
      <c r="AZ79" s="77" t="str">
        <f>VLOOKUP(B79,Classification!A:D,2,0)</f>
        <v>A</v>
      </c>
      <c r="BA79" s="94" t="str">
        <f>VLOOKUP(B79,Classification!A:D,4,0)</f>
        <v>Acetylcholine(muscarinic)</v>
      </c>
      <c r="BB79" s="27" t="b">
        <f t="shared" ref="BB79" si="450">AND(E79&lt;G79,OR(G79&lt;I79,I79="-"),OR(I79&lt;K79,I79="-"),OR(K79&lt;M79,K79="-"),M79&lt;O79,OR(O79&lt;Q79,Q79="-"),OR(Q79&lt;S79,Q79="-"),OR(S79&lt;U79,S79="-"),U79&lt;W79,OR(W79&lt;Y79,Y79="-"),OR(Y79&lt;AA79,Y79="-"),OR(AA79&lt;AC79,AA79="-"),AC79&lt;AE79,OR(AE79&lt;AG79,AG79="-"),OR(AG79&lt;AI79,AG79="-"),OR(AI79&lt;AK79,AI79="-"),AK79&lt;AM79,AM79&lt;AO79,AO79&lt;AQ79,AQ79&lt;AS79,AS79&lt;AU79,OR(AU79&lt;AW79,AW79="-"),OR(AW79&lt;AY79,AW79="-"))</f>
        <v>1</v>
      </c>
      <c r="BC79" s="23">
        <f t="shared" ref="BC79" si="451">_xlfn.AGGREGATE(9,6,CH79:CS79)-_xlfn.AGGREGATE(9,6,BV79:CG79)+12</f>
        <v>255</v>
      </c>
      <c r="BD79" s="4" t="s">
        <v>23</v>
      </c>
      <c r="BE79" s="3" t="s">
        <v>1375</v>
      </c>
      <c r="BF79" s="119">
        <v>3</v>
      </c>
      <c r="BG79" s="49" t="s">
        <v>1</v>
      </c>
      <c r="BH79" s="49" t="s">
        <v>1</v>
      </c>
      <c r="BI79" s="1"/>
      <c r="BJ79" s="70" t="s">
        <v>1288</v>
      </c>
      <c r="BK79" s="57" t="s">
        <v>1288</v>
      </c>
      <c r="BL79" s="57" t="s">
        <v>1288</v>
      </c>
      <c r="BM79" s="57" t="s">
        <v>1288</v>
      </c>
      <c r="BN79" s="57" t="s">
        <v>1288</v>
      </c>
      <c r="BO79" s="57" t="s">
        <v>1288</v>
      </c>
      <c r="BP79" s="57" t="s">
        <v>1288</v>
      </c>
      <c r="BQ79" s="57" t="s">
        <v>1288</v>
      </c>
      <c r="BR79" s="57" t="s">
        <v>1288</v>
      </c>
      <c r="BS79" s="57" t="s">
        <v>1288</v>
      </c>
      <c r="BT79" s="57" t="s">
        <v>1288</v>
      </c>
      <c r="BU79" s="57" t="s">
        <v>1288</v>
      </c>
      <c r="BV79" s="70">
        <f t="shared" ref="BV79" si="452">E79</f>
        <v>18</v>
      </c>
      <c r="BW79" s="71">
        <f t="shared" ref="BW79" si="453">I79</f>
        <v>52</v>
      </c>
      <c r="BX79" s="72">
        <f t="shared" ref="BX79" si="454">M79</f>
        <v>56</v>
      </c>
      <c r="BY79" s="71">
        <f t="shared" ref="BY79" si="455">Q79</f>
        <v>88</v>
      </c>
      <c r="BZ79" s="72">
        <f t="shared" ref="BZ79" si="456">U79</f>
        <v>92</v>
      </c>
      <c r="CA79" s="71">
        <f t="shared" ref="CA79" si="457">Y79</f>
        <v>128</v>
      </c>
      <c r="CB79" s="72">
        <f t="shared" ref="CB79" si="458">AC79</f>
        <v>136</v>
      </c>
      <c r="CC79" s="71">
        <f t="shared" ref="CC79" si="459">AG79</f>
        <v>176</v>
      </c>
      <c r="CD79" s="72">
        <f t="shared" ref="CD79" si="460">AK79</f>
        <v>183</v>
      </c>
      <c r="CE79" s="71">
        <f t="shared" ref="CE79" si="461">AO79</f>
        <v>383</v>
      </c>
      <c r="CF79" s="72">
        <f t="shared" ref="CF79" si="462">AS79</f>
        <v>418</v>
      </c>
      <c r="CG79" s="71">
        <f t="shared" ref="CG79" si="463">AW79</f>
        <v>444</v>
      </c>
      <c r="CH79" s="70">
        <f t="shared" ref="CH79" si="464">G79</f>
        <v>51</v>
      </c>
      <c r="CI79" s="71">
        <f t="shared" ref="CI79" si="465">K79</f>
        <v>55</v>
      </c>
      <c r="CJ79" s="72">
        <f t="shared" ref="CJ79" si="466">O79</f>
        <v>87</v>
      </c>
      <c r="CK79" s="72">
        <f t="shared" ref="CK79" si="467">S79</f>
        <v>91</v>
      </c>
      <c r="CL79" s="72">
        <f t="shared" ref="CL79" si="468">W79</f>
        <v>127</v>
      </c>
      <c r="CM79" s="72">
        <f t="shared" ref="CM79" si="469">AA79</f>
        <v>135</v>
      </c>
      <c r="CN79" s="72">
        <f t="shared" ref="CN79" si="470">AE79</f>
        <v>167</v>
      </c>
      <c r="CO79" s="72">
        <f t="shared" ref="CO79" si="471">AI79</f>
        <v>178</v>
      </c>
      <c r="CP79" s="72">
        <f t="shared" ref="CP79" si="472">AM79</f>
        <v>214</v>
      </c>
      <c r="CQ79" s="72">
        <f t="shared" ref="CQ79" si="473">AQ79</f>
        <v>413</v>
      </c>
      <c r="CR79" s="72">
        <f t="shared" ref="CR79" si="474">AU79</f>
        <v>443</v>
      </c>
      <c r="CS79" s="72">
        <f t="shared" ref="CS79" si="475">AY79</f>
        <v>456</v>
      </c>
      <c r="CT79" s="23">
        <f t="shared" ref="CT79" si="476">M79-K79</f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ref="A80" si="477">CONCATENATE(B80,"_",C80)</f>
        <v>acm2_human_5ZK3</v>
      </c>
      <c r="B80" s="3" t="s">
        <v>147</v>
      </c>
      <c r="C80" s="3" t="s">
        <v>1534</v>
      </c>
      <c r="D80" s="3" t="str">
        <f>IFERROR(MID(VLOOKUP($B80,Seqs!$A:$B,2,0),E80,1),"")</f>
        <v>Y</v>
      </c>
      <c r="E80" s="3">
        <v>18</v>
      </c>
      <c r="F80" s="3" t="str">
        <f>IFERROR(MID(VLOOKUP($B80,Seqs!$A:$B,2,0),G80,1),"")</f>
        <v>N</v>
      </c>
      <c r="G80" s="3">
        <v>51</v>
      </c>
      <c r="H80" s="3" t="str">
        <f>IFERROR(MID(VLOOKUP($B80,Seqs!$A:$B,2,0),I80,1),"")</f>
        <v>R</v>
      </c>
      <c r="I80" s="23">
        <v>52</v>
      </c>
      <c r="J80" s="3" t="str">
        <f>IFERROR(MID(VLOOKUP($B80,Seqs!$A:$B,2,0),K80,1),"")</f>
        <v>Q</v>
      </c>
      <c r="K80" s="23">
        <v>55</v>
      </c>
      <c r="L80" s="3" t="str">
        <f>IFERROR(MID(VLOOKUP($B80,Seqs!$A:$B,2,0),M80,1),"")</f>
        <v>T</v>
      </c>
      <c r="M80" s="3">
        <v>56</v>
      </c>
      <c r="N80" s="3" t="str">
        <f>IFERROR(MID(VLOOKUP($B80,Seqs!$A:$B,2,0),O80,1),"")</f>
        <v>G</v>
      </c>
      <c r="O80" s="3">
        <v>87</v>
      </c>
      <c r="P80" s="3" t="str">
        <f>IFERROR(MID(VLOOKUP($B80,Seqs!$A:$B,2,0),Q80,1),"")</f>
        <v>Y</v>
      </c>
      <c r="Q80" s="3">
        <v>88</v>
      </c>
      <c r="R80" s="3" t="str">
        <f>IFERROR(MID(VLOOKUP($B80,Seqs!$A:$B,2,0),S80,1),"")</f>
        <v>L</v>
      </c>
      <c r="S80" s="3">
        <v>91</v>
      </c>
      <c r="T80" s="3" t="str">
        <f>IFERROR(MID(VLOOKUP($B80,Seqs!$A:$B,2,0),U80,1),"")</f>
        <v>G</v>
      </c>
      <c r="U80" s="3">
        <v>92</v>
      </c>
      <c r="V80" s="3" t="str">
        <f>IFERROR(MID(VLOOKUP($B80,Seqs!$A:$B,2,0),W80,1),"")</f>
        <v>K</v>
      </c>
      <c r="W80" s="3">
        <v>127</v>
      </c>
      <c r="X80" s="3" t="str">
        <f>IFERROR(MID(VLOOKUP($B80,Seqs!$A:$B,2,0),Y80,1),"")</f>
        <v>P</v>
      </c>
      <c r="Y80" s="3">
        <v>128</v>
      </c>
      <c r="Z80" s="3" t="str">
        <f>IFERROR(MID(VLOOKUP($B80,Seqs!$A:$B,2,0),AA80,1),"")</f>
        <v>R</v>
      </c>
      <c r="AA80" s="3">
        <v>135</v>
      </c>
      <c r="AB80" s="3" t="str">
        <f>IFERROR(MID(VLOOKUP($B80,Seqs!$A:$B,2,0),AC80,1),"")</f>
        <v>T</v>
      </c>
      <c r="AC80" s="3">
        <v>136</v>
      </c>
      <c r="AD80" s="3" t="str">
        <f>IFERROR(MID(VLOOKUP($B80,Seqs!$A:$B,2,0),AE80,1),"")</f>
        <v>G</v>
      </c>
      <c r="AE80" s="3">
        <v>167</v>
      </c>
      <c r="AF80" s="3" t="str">
        <f>IFERROR(MID(VLOOKUP($B80,Seqs!$A:$B,2,0),AG80,1),"")</f>
        <v>C</v>
      </c>
      <c r="AG80" s="3">
        <v>176</v>
      </c>
      <c r="AH80" s="3" t="str">
        <f>IFERROR(MID(VLOOKUP($B80,Seqs!$A:$B,2,0),AI80,1),"")</f>
        <v>I</v>
      </c>
      <c r="AI80" s="3">
        <v>178</v>
      </c>
      <c r="AJ80" s="3" t="str">
        <f>IFERROR(MID(VLOOKUP($B80,Seqs!$A:$B,2,0),AK80,1),"")</f>
        <v>N</v>
      </c>
      <c r="AK80" s="3">
        <v>183</v>
      </c>
      <c r="AL80" s="3" t="str">
        <f>IFERROR(MID(VLOOKUP($B80,Seqs!$A:$B,2,0),AM80,1),"")</f>
        <v>K</v>
      </c>
      <c r="AM80" s="3">
        <v>214</v>
      </c>
      <c r="AN80" s="3" t="str">
        <f>IFERROR(MID(VLOOKUP($B80,Seqs!$A:$B,2,0),AO80,1),"")</f>
        <v>E</v>
      </c>
      <c r="AO80" s="3">
        <v>382</v>
      </c>
      <c r="AP80" s="3" t="str">
        <f>IFERROR(MID(VLOOKUP($B80,Seqs!$A:$B,2,0),AQ80,1),"")</f>
        <v>C</v>
      </c>
      <c r="AQ80" s="3">
        <v>413</v>
      </c>
      <c r="AR80" s="3" t="str">
        <f>IFERROR(MID(VLOOKUP($B80,Seqs!$A:$B,2,0),AS80,1),"")</f>
        <v>P</v>
      </c>
      <c r="AS80" s="3">
        <v>418</v>
      </c>
      <c r="AT80" s="3" t="str">
        <f>IFERROR(MID(VLOOKUP($B80,Seqs!$A:$B,2,0),AU80,1),"")</f>
        <v>C</v>
      </c>
      <c r="AU80" s="105">
        <v>443</v>
      </c>
      <c r="AV80" s="3" t="str">
        <f>IFERROR(MID(VLOOKUP($B80,Seqs!$A:$B,2,0),AW80,1),"")</f>
        <v>N</v>
      </c>
      <c r="AW80" s="3">
        <v>444</v>
      </c>
      <c r="AX80" s="3" t="str">
        <f>IFERROR(MID(VLOOKUP($B80,Seqs!$A:$B,2,0),AY80,1),"")</f>
        <v>M</v>
      </c>
      <c r="AY80" s="3">
        <v>456</v>
      </c>
      <c r="AZ80" s="77" t="str">
        <f>VLOOKUP(B80,Classification!A:D,2,0)</f>
        <v>A</v>
      </c>
      <c r="BA80" s="94" t="str">
        <f>VLOOKUP(B80,Classification!A:D,4,0)</f>
        <v>Acetylcholine(muscarinic)</v>
      </c>
      <c r="BB80" s="27" t="b">
        <f t="shared" ref="BB80" si="478">AND(E80&lt;G80,OR(G80&lt;I80,I80="-"),OR(I80&lt;K80,I80="-"),OR(K80&lt;M80,K80="-"),M80&lt;O80,OR(O80&lt;Q80,Q80="-"),OR(Q80&lt;S80,Q80="-"),OR(S80&lt;U80,S80="-"),U80&lt;W80,OR(W80&lt;Y80,Y80="-"),OR(Y80&lt;AA80,Y80="-"),OR(AA80&lt;AC80,AA80="-"),AC80&lt;AE80,OR(AE80&lt;AG80,AG80="-"),OR(AG80&lt;AI80,AG80="-"),OR(AI80&lt;AK80,AI80="-"),AK80&lt;AM80,AM80&lt;AO80,AO80&lt;AQ80,AQ80&lt;AS80,AS80&lt;AU80,OR(AU80&lt;AW80,AW80="-"),OR(AW80&lt;AY80,AW80="-"))</f>
        <v>1</v>
      </c>
      <c r="BC80" s="23">
        <f t="shared" ref="BC80" si="479">_xlfn.AGGREGATE(9,6,CH80:CS80)-_xlfn.AGGREGATE(9,6,BV80:CG80)+12</f>
        <v>256</v>
      </c>
      <c r="BD80" s="4" t="s">
        <v>23</v>
      </c>
      <c r="BE80" s="3" t="s">
        <v>1375</v>
      </c>
      <c r="BF80" s="119">
        <v>2.6</v>
      </c>
      <c r="BG80" s="49" t="s">
        <v>1</v>
      </c>
      <c r="BH80" s="49" t="s">
        <v>1</v>
      </c>
      <c r="BI80" s="1"/>
      <c r="BJ80" s="70" t="s">
        <v>1288</v>
      </c>
      <c r="BK80" s="57" t="s">
        <v>1288</v>
      </c>
      <c r="BL80" s="57" t="s">
        <v>1288</v>
      </c>
      <c r="BM80" s="57" t="s">
        <v>1288</v>
      </c>
      <c r="BN80" s="57" t="s">
        <v>1288</v>
      </c>
      <c r="BO80" s="57" t="s">
        <v>1288</v>
      </c>
      <c r="BP80" s="57" t="s">
        <v>1288</v>
      </c>
      <c r="BQ80" s="57" t="s">
        <v>1288</v>
      </c>
      <c r="BR80" s="57" t="s">
        <v>1288</v>
      </c>
      <c r="BS80" s="57" t="s">
        <v>1288</v>
      </c>
      <c r="BT80" s="57" t="s">
        <v>1288</v>
      </c>
      <c r="BU80" s="57" t="s">
        <v>1288</v>
      </c>
      <c r="BV80" s="70">
        <f t="shared" ref="BV80" si="480">E80</f>
        <v>18</v>
      </c>
      <c r="BW80" s="71">
        <f t="shared" ref="BW80" si="481">I80</f>
        <v>52</v>
      </c>
      <c r="BX80" s="72">
        <f t="shared" ref="BX80" si="482">M80</f>
        <v>56</v>
      </c>
      <c r="BY80" s="71">
        <f t="shared" ref="BY80" si="483">Q80</f>
        <v>88</v>
      </c>
      <c r="BZ80" s="72">
        <f t="shared" ref="BZ80" si="484">U80</f>
        <v>92</v>
      </c>
      <c r="CA80" s="71">
        <f t="shared" ref="CA80" si="485">Y80</f>
        <v>128</v>
      </c>
      <c r="CB80" s="72">
        <f t="shared" ref="CB80" si="486">AC80</f>
        <v>136</v>
      </c>
      <c r="CC80" s="71">
        <f t="shared" ref="CC80" si="487">AG80</f>
        <v>176</v>
      </c>
      <c r="CD80" s="72">
        <f t="shared" ref="CD80" si="488">AK80</f>
        <v>183</v>
      </c>
      <c r="CE80" s="71">
        <f t="shared" ref="CE80" si="489">AO80</f>
        <v>382</v>
      </c>
      <c r="CF80" s="72">
        <f t="shared" ref="CF80" si="490">AS80</f>
        <v>418</v>
      </c>
      <c r="CG80" s="71">
        <f t="shared" ref="CG80" si="491">AW80</f>
        <v>444</v>
      </c>
      <c r="CH80" s="70">
        <f t="shared" ref="CH80" si="492">G80</f>
        <v>51</v>
      </c>
      <c r="CI80" s="71">
        <f t="shared" ref="CI80" si="493">K80</f>
        <v>55</v>
      </c>
      <c r="CJ80" s="72">
        <f t="shared" ref="CJ80" si="494">O80</f>
        <v>87</v>
      </c>
      <c r="CK80" s="72">
        <f t="shared" ref="CK80" si="495">S80</f>
        <v>91</v>
      </c>
      <c r="CL80" s="72">
        <f t="shared" ref="CL80" si="496">W80</f>
        <v>127</v>
      </c>
      <c r="CM80" s="72">
        <f t="shared" ref="CM80" si="497">AA80</f>
        <v>135</v>
      </c>
      <c r="CN80" s="72">
        <f t="shared" ref="CN80" si="498">AE80</f>
        <v>167</v>
      </c>
      <c r="CO80" s="72">
        <f t="shared" ref="CO80" si="499">AI80</f>
        <v>178</v>
      </c>
      <c r="CP80" s="72">
        <f t="shared" ref="CP80" si="500">AM80</f>
        <v>214</v>
      </c>
      <c r="CQ80" s="72">
        <f t="shared" ref="CQ80" si="501">AQ80</f>
        <v>413</v>
      </c>
      <c r="CR80" s="72">
        <f t="shared" ref="CR80" si="502">AU80</f>
        <v>443</v>
      </c>
      <c r="CS80" s="72">
        <f t="shared" ref="CS80" si="503">AY80</f>
        <v>456</v>
      </c>
      <c r="CT80" s="23">
        <f t="shared" ref="CT80" si="504">M80-K80</f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ref="A81" si="505">CONCATENATE(B81,"_",C81)</f>
        <v>acm2_human_5YC8</v>
      </c>
      <c r="B81" s="3" t="s">
        <v>147</v>
      </c>
      <c r="C81" s="3" t="s">
        <v>1535</v>
      </c>
      <c r="D81" s="3" t="str">
        <f>IFERROR(MID(VLOOKUP($B81,Seqs!$A:$B,2,0),E81,1),"")</f>
        <v>Y</v>
      </c>
      <c r="E81" s="3">
        <v>18</v>
      </c>
      <c r="F81" s="3" t="str">
        <f>IFERROR(MID(VLOOKUP($B81,Seqs!$A:$B,2,0),G81,1),"")</f>
        <v>N</v>
      </c>
      <c r="G81" s="3">
        <v>51</v>
      </c>
      <c r="H81" s="3" t="str">
        <f>IFERROR(MID(VLOOKUP($B81,Seqs!$A:$B,2,0),I81,1),"")</f>
        <v>R</v>
      </c>
      <c r="I81" s="23">
        <v>52</v>
      </c>
      <c r="J81" s="3" t="str">
        <f>IFERROR(MID(VLOOKUP($B81,Seqs!$A:$B,2,0),K81,1),"")</f>
        <v>Q</v>
      </c>
      <c r="K81" s="23">
        <v>55</v>
      </c>
      <c r="L81" s="3" t="str">
        <f>IFERROR(MID(VLOOKUP($B81,Seqs!$A:$B,2,0),M81,1),"")</f>
        <v>T</v>
      </c>
      <c r="M81" s="3">
        <v>56</v>
      </c>
      <c r="N81" s="3" t="str">
        <f>IFERROR(MID(VLOOKUP($B81,Seqs!$A:$B,2,0),O81,1),"")</f>
        <v>G</v>
      </c>
      <c r="O81" s="3">
        <v>87</v>
      </c>
      <c r="P81" s="3" t="str">
        <f>IFERROR(MID(VLOOKUP($B81,Seqs!$A:$B,2,0),Q81,1),"")</f>
        <v>Y</v>
      </c>
      <c r="Q81" s="3">
        <v>88</v>
      </c>
      <c r="R81" s="3" t="str">
        <f>IFERROR(MID(VLOOKUP($B81,Seqs!$A:$B,2,0),S81,1),"")</f>
        <v>L</v>
      </c>
      <c r="S81" s="3">
        <v>91</v>
      </c>
      <c r="T81" s="3" t="str">
        <f>IFERROR(MID(VLOOKUP($B81,Seqs!$A:$B,2,0),U81,1),"")</f>
        <v>G</v>
      </c>
      <c r="U81" s="3">
        <v>92</v>
      </c>
      <c r="V81" s="3" t="str">
        <f>IFERROR(MID(VLOOKUP($B81,Seqs!$A:$B,2,0),W81,1),"")</f>
        <v>K</v>
      </c>
      <c r="W81" s="3">
        <v>127</v>
      </c>
      <c r="X81" s="3" t="str">
        <f>IFERROR(MID(VLOOKUP($B81,Seqs!$A:$B,2,0),Y81,1),"")</f>
        <v>P</v>
      </c>
      <c r="Y81" s="3">
        <v>128</v>
      </c>
      <c r="Z81" s="3" t="str">
        <f>IFERROR(MID(VLOOKUP($B81,Seqs!$A:$B,2,0),AA81,1),"")</f>
        <v>R</v>
      </c>
      <c r="AA81" s="3">
        <v>135</v>
      </c>
      <c r="AB81" s="3" t="str">
        <f>IFERROR(MID(VLOOKUP($B81,Seqs!$A:$B,2,0),AC81,1),"")</f>
        <v>T</v>
      </c>
      <c r="AC81" s="3">
        <v>136</v>
      </c>
      <c r="AD81" s="3" t="str">
        <f>IFERROR(MID(VLOOKUP($B81,Seqs!$A:$B,2,0),AE81,1),"")</f>
        <v>G</v>
      </c>
      <c r="AE81" s="3">
        <v>167</v>
      </c>
      <c r="AF81" s="3" t="str">
        <f>IFERROR(MID(VLOOKUP($B81,Seqs!$A:$B,2,0),AG81,1),"")</f>
        <v>C</v>
      </c>
      <c r="AG81" s="3">
        <v>176</v>
      </c>
      <c r="AH81" s="3" t="str">
        <f>IFERROR(MID(VLOOKUP($B81,Seqs!$A:$B,2,0),AI81,1),"")</f>
        <v>I</v>
      </c>
      <c r="AI81" s="3">
        <v>178</v>
      </c>
      <c r="AJ81" s="3" t="str">
        <f>IFERROR(MID(VLOOKUP($B81,Seqs!$A:$B,2,0),AK81,1),"")</f>
        <v>N</v>
      </c>
      <c r="AK81" s="3">
        <v>183</v>
      </c>
      <c r="AL81" s="3" t="str">
        <f>IFERROR(MID(VLOOKUP($B81,Seqs!$A:$B,2,0),AM81,1),"")</f>
        <v>K</v>
      </c>
      <c r="AM81" s="3">
        <v>214</v>
      </c>
      <c r="AN81" s="3" t="str">
        <f>IFERROR(MID(VLOOKUP($B81,Seqs!$A:$B,2,0),AO81,1),"")</f>
        <v>R</v>
      </c>
      <c r="AO81" s="3">
        <v>381</v>
      </c>
      <c r="AP81" s="3" t="str">
        <f>IFERROR(MID(VLOOKUP($B81,Seqs!$A:$B,2,0),AQ81,1),"")</f>
        <v>C</v>
      </c>
      <c r="AQ81" s="3">
        <v>413</v>
      </c>
      <c r="AR81" s="3" t="str">
        <f>IFERROR(MID(VLOOKUP($B81,Seqs!$A:$B,2,0),AS81,1),"")</f>
        <v>P</v>
      </c>
      <c r="AS81" s="3">
        <v>418</v>
      </c>
      <c r="AT81" s="3" t="str">
        <f>IFERROR(MID(VLOOKUP($B81,Seqs!$A:$B,2,0),AU81,1),"")</f>
        <v>C</v>
      </c>
      <c r="AU81" s="105">
        <v>443</v>
      </c>
      <c r="AV81" s="3" t="str">
        <f>IFERROR(MID(VLOOKUP($B81,Seqs!$A:$B,2,0),AW81,1),"")</f>
        <v>N</v>
      </c>
      <c r="AW81" s="3">
        <v>444</v>
      </c>
      <c r="AX81" s="3" t="str">
        <f>IFERROR(MID(VLOOKUP($B81,Seqs!$A:$B,2,0),AY81,1),"")</f>
        <v>M</v>
      </c>
      <c r="AY81" s="3">
        <v>456</v>
      </c>
      <c r="AZ81" s="77" t="str">
        <f>VLOOKUP(B81,Classification!A:D,2,0)</f>
        <v>A</v>
      </c>
      <c r="BA81" s="94" t="str">
        <f>VLOOKUP(B81,Classification!A:D,4,0)</f>
        <v>Acetylcholine(muscarinic)</v>
      </c>
      <c r="BB81" s="27" t="b">
        <f t="shared" ref="BB81" si="506">AND(E81&lt;G81,OR(G81&lt;I81,I81="-"),OR(I81&lt;K81,I81="-"),OR(K81&lt;M81,K81="-"),M81&lt;O81,OR(O81&lt;Q81,Q81="-"),OR(Q81&lt;S81,Q81="-"),OR(S81&lt;U81,S81="-"),U81&lt;W81,OR(W81&lt;Y81,Y81="-"),OR(Y81&lt;AA81,Y81="-"),OR(AA81&lt;AC81,AA81="-"),AC81&lt;AE81,OR(AE81&lt;AG81,AG81="-"),OR(AG81&lt;AI81,AG81="-"),OR(AI81&lt;AK81,AI81="-"),AK81&lt;AM81,AM81&lt;AO81,AO81&lt;AQ81,AQ81&lt;AS81,AS81&lt;AU81,OR(AU81&lt;AW81,AW81="-"),OR(AW81&lt;AY81,AW81="-"))</f>
        <v>1</v>
      </c>
      <c r="BC81" s="23">
        <f t="shared" ref="BC81" si="507">_xlfn.AGGREGATE(9,6,CH81:CS81)-_xlfn.AGGREGATE(9,6,BV81:CG81)+12</f>
        <v>257</v>
      </c>
      <c r="BD81" s="4" t="s">
        <v>23</v>
      </c>
      <c r="BE81" s="3" t="s">
        <v>1375</v>
      </c>
      <c r="BF81" s="119">
        <v>2.5</v>
      </c>
      <c r="BG81" s="49" t="s">
        <v>1</v>
      </c>
      <c r="BH81" s="49" t="s">
        <v>1</v>
      </c>
      <c r="BI81" s="1"/>
      <c r="BJ81" s="70" t="s">
        <v>1288</v>
      </c>
      <c r="BK81" s="57" t="s">
        <v>1288</v>
      </c>
      <c r="BL81" s="57" t="s">
        <v>1288</v>
      </c>
      <c r="BM81" s="57" t="s">
        <v>1288</v>
      </c>
      <c r="BN81" s="57" t="s">
        <v>1288</v>
      </c>
      <c r="BO81" s="57" t="s">
        <v>1288</v>
      </c>
      <c r="BP81" s="57" t="s">
        <v>1288</v>
      </c>
      <c r="BQ81" s="57" t="s">
        <v>1288</v>
      </c>
      <c r="BR81" s="57" t="s">
        <v>1288</v>
      </c>
      <c r="BS81" s="57" t="s">
        <v>1288</v>
      </c>
      <c r="BT81" s="57" t="s">
        <v>1288</v>
      </c>
      <c r="BU81" s="57" t="s">
        <v>1288</v>
      </c>
      <c r="BV81" s="70">
        <f t="shared" ref="BV81" si="508">E81</f>
        <v>18</v>
      </c>
      <c r="BW81" s="71">
        <f t="shared" ref="BW81" si="509">I81</f>
        <v>52</v>
      </c>
      <c r="BX81" s="72">
        <f t="shared" ref="BX81" si="510">M81</f>
        <v>56</v>
      </c>
      <c r="BY81" s="71">
        <f t="shared" ref="BY81" si="511">Q81</f>
        <v>88</v>
      </c>
      <c r="BZ81" s="72">
        <f t="shared" ref="BZ81" si="512">U81</f>
        <v>92</v>
      </c>
      <c r="CA81" s="71">
        <f t="shared" ref="CA81" si="513">Y81</f>
        <v>128</v>
      </c>
      <c r="CB81" s="72">
        <f t="shared" ref="CB81" si="514">AC81</f>
        <v>136</v>
      </c>
      <c r="CC81" s="71">
        <f t="shared" ref="CC81" si="515">AG81</f>
        <v>176</v>
      </c>
      <c r="CD81" s="72">
        <f t="shared" ref="CD81" si="516">AK81</f>
        <v>183</v>
      </c>
      <c r="CE81" s="71">
        <f t="shared" ref="CE81" si="517">AO81</f>
        <v>381</v>
      </c>
      <c r="CF81" s="72">
        <f t="shared" ref="CF81" si="518">AS81</f>
        <v>418</v>
      </c>
      <c r="CG81" s="71">
        <f t="shared" ref="CG81" si="519">AW81</f>
        <v>444</v>
      </c>
      <c r="CH81" s="70">
        <f t="shared" ref="CH81" si="520">G81</f>
        <v>51</v>
      </c>
      <c r="CI81" s="71">
        <f t="shared" ref="CI81" si="521">K81</f>
        <v>55</v>
      </c>
      <c r="CJ81" s="72">
        <f t="shared" ref="CJ81" si="522">O81</f>
        <v>87</v>
      </c>
      <c r="CK81" s="72">
        <f t="shared" ref="CK81" si="523">S81</f>
        <v>91</v>
      </c>
      <c r="CL81" s="72">
        <f t="shared" ref="CL81" si="524">W81</f>
        <v>127</v>
      </c>
      <c r="CM81" s="72">
        <f t="shared" ref="CM81" si="525">AA81</f>
        <v>135</v>
      </c>
      <c r="CN81" s="72">
        <f t="shared" ref="CN81" si="526">AE81</f>
        <v>167</v>
      </c>
      <c r="CO81" s="72">
        <f t="shared" ref="CO81" si="527">AI81</f>
        <v>178</v>
      </c>
      <c r="CP81" s="72">
        <f t="shared" ref="CP81" si="528">AM81</f>
        <v>214</v>
      </c>
      <c r="CQ81" s="72">
        <f t="shared" ref="CQ81" si="529">AQ81</f>
        <v>413</v>
      </c>
      <c r="CR81" s="72">
        <f t="shared" ref="CR81" si="530">AU81</f>
        <v>443</v>
      </c>
      <c r="CS81" s="72">
        <f t="shared" ref="CS81" si="531">AY81</f>
        <v>456</v>
      </c>
      <c r="CT81" s="23">
        <f t="shared" ref="CT81" si="532">M81-K81</f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s="12" customFormat="1" x14ac:dyDescent="0.2">
      <c r="A82" s="9" t="str">
        <f t="shared" ref="A82" si="533">CONCATENATE(B82,"_",C82)</f>
        <v>acm2_human_6OIK</v>
      </c>
      <c r="B82" s="9" t="s">
        <v>147</v>
      </c>
      <c r="C82" s="9" t="s">
        <v>1579</v>
      </c>
      <c r="D82" s="9" t="str">
        <f>IFERROR(MID(VLOOKUP($B82,Seqs!$A:$B,2,0),E82,1),"")</f>
        <v>T</v>
      </c>
      <c r="E82" s="9">
        <v>20</v>
      </c>
      <c r="F82" s="9" t="str">
        <f>IFERROR(MID(VLOOKUP($B82,Seqs!$A:$B,2,0),G82,1),"")</f>
        <v>V</v>
      </c>
      <c r="G82" s="9">
        <v>50</v>
      </c>
      <c r="H82" s="9" t="str">
        <f>IFERROR(MID(VLOOKUP($B82,Seqs!$A:$B,2,0),I82,1),"")</f>
        <v>R</v>
      </c>
      <c r="I82" s="109">
        <v>52</v>
      </c>
      <c r="J82" s="9" t="str">
        <f>IFERROR(MID(VLOOKUP($B82,Seqs!$A:$B,2,0),K82,1),"")</f>
        <v>Q</v>
      </c>
      <c r="K82" s="109">
        <v>55</v>
      </c>
      <c r="L82" s="9" t="str">
        <f>IFERROR(MID(VLOOKUP($B82,Seqs!$A:$B,2,0),M82,1),"")</f>
        <v>T</v>
      </c>
      <c r="M82" s="9">
        <v>56</v>
      </c>
      <c r="N82" s="9" t="str">
        <f>IFERROR(MID(VLOOKUP($B82,Seqs!$A:$B,2,0),O82,1),"")</f>
        <v>G</v>
      </c>
      <c r="O82" s="9">
        <v>87</v>
      </c>
      <c r="P82" s="9" t="str">
        <f>IFERROR(MID(VLOOKUP($B82,Seqs!$A:$B,2,0),Q82,1),"")</f>
        <v>Y</v>
      </c>
      <c r="Q82" s="9">
        <v>88</v>
      </c>
      <c r="R82" s="9" t="str">
        <f>IFERROR(MID(VLOOKUP($B82,Seqs!$A:$B,2,0),S82,1),"")</f>
        <v>L</v>
      </c>
      <c r="S82" s="9">
        <v>91</v>
      </c>
      <c r="T82" s="9" t="str">
        <f>IFERROR(MID(VLOOKUP($B82,Seqs!$A:$B,2,0),U82,1),"")</f>
        <v>G</v>
      </c>
      <c r="U82" s="9">
        <v>92</v>
      </c>
      <c r="V82" s="9" t="str">
        <f>IFERROR(MID(VLOOKUP($B82,Seqs!$A:$B,2,0),W82,1),"")</f>
        <v>K</v>
      </c>
      <c r="W82" s="9">
        <v>127</v>
      </c>
      <c r="X82" s="9" t="str">
        <f>IFERROR(MID(VLOOKUP($B82,Seqs!$A:$B,2,0),Y82,1),"")</f>
        <v>P</v>
      </c>
      <c r="Y82" s="9">
        <v>128</v>
      </c>
      <c r="Z82" s="9" t="str">
        <f>IFERROR(MID(VLOOKUP($B82,Seqs!$A:$B,2,0),AA82,1),"")</f>
        <v>R</v>
      </c>
      <c r="AA82" s="9">
        <v>135</v>
      </c>
      <c r="AB82" s="9" t="str">
        <f>IFERROR(MID(VLOOKUP($B82,Seqs!$A:$B,2,0),AC82,1),"")</f>
        <v>T</v>
      </c>
      <c r="AC82" s="9">
        <v>136</v>
      </c>
      <c r="AD82" s="9" t="str">
        <f>IFERROR(MID(VLOOKUP($B82,Seqs!$A:$B,2,0),AE82,1),"")</f>
        <v>G</v>
      </c>
      <c r="AE82" s="9">
        <v>167</v>
      </c>
      <c r="AF82" s="9" t="str">
        <f>IFERROR(MID(VLOOKUP($B82,Seqs!$A:$B,2,0),AG82,1),"")</f>
        <v>C</v>
      </c>
      <c r="AG82" s="9">
        <v>176</v>
      </c>
      <c r="AH82" s="9" t="str">
        <f>IFERROR(MID(VLOOKUP($B82,Seqs!$A:$B,2,0),AI82,1),"")</f>
        <v>I</v>
      </c>
      <c r="AI82" s="9">
        <v>178</v>
      </c>
      <c r="AJ82" s="9" t="str">
        <f>IFERROR(MID(VLOOKUP($B82,Seqs!$A:$B,2,0),AK82,1),"")</f>
        <v>A</v>
      </c>
      <c r="AK82" s="9">
        <v>184</v>
      </c>
      <c r="AL82" s="9" t="str">
        <f>IFERROR(MID(VLOOKUP($B82,Seqs!$A:$B,2,0),AM82,1),"")</f>
        <v>S</v>
      </c>
      <c r="AM82" s="9">
        <v>213</v>
      </c>
      <c r="AN82" s="9" t="str">
        <f>IFERROR(MID(VLOOKUP($B82,Seqs!$A:$B,2,0),AO82,1),"")</f>
        <v>E</v>
      </c>
      <c r="AO82" s="9">
        <v>382</v>
      </c>
      <c r="AP82" s="9" t="str">
        <f>IFERROR(MID(VLOOKUP($B82,Seqs!$A:$B,2,0),AQ82,1),"")</f>
        <v>C</v>
      </c>
      <c r="AQ82" s="9">
        <v>413</v>
      </c>
      <c r="AR82" s="9" t="str">
        <f>IFERROR(MID(VLOOKUP($B82,Seqs!$A:$B,2,0),AS82,1),"")</f>
        <v>N</v>
      </c>
      <c r="AS82" s="9">
        <v>419</v>
      </c>
      <c r="AT82" s="9" t="str">
        <f>IFERROR(MID(VLOOKUP($B82,Seqs!$A:$B,2,0),AU82,1),"")</f>
        <v>C</v>
      </c>
      <c r="AU82" s="9">
        <v>443</v>
      </c>
      <c r="AV82" s="9" t="str">
        <f>IFERROR(MID(VLOOKUP($B82,Seqs!$A:$B,2,0),AW82,1),"")</f>
        <v>N</v>
      </c>
      <c r="AW82" s="9">
        <v>444</v>
      </c>
      <c r="AX82" s="9" t="str">
        <f>IFERROR(MID(VLOOKUP($B82,Seqs!$A:$B,2,0),AY82,1),"")</f>
        <v>L</v>
      </c>
      <c r="AY82" s="9">
        <v>454</v>
      </c>
      <c r="AZ82" s="110" t="str">
        <f>VLOOKUP(B82,Classification!A:D,2,0)</f>
        <v>A</v>
      </c>
      <c r="BA82" s="98" t="str">
        <f>VLOOKUP(B82,Classification!A:D,4,0)</f>
        <v>Acetylcholine(muscarinic)</v>
      </c>
      <c r="BB82" s="36" t="b">
        <f t="shared" ref="BB82" si="534">AND(E82&lt;G82,OR(G82&lt;I82,I82="-"),OR(I82&lt;K82,I82="-"),OR(K82&lt;M82,K82="-"),M82&lt;O82,OR(O82&lt;Q82,Q82="-"),OR(Q82&lt;S82,Q82="-"),OR(S82&lt;U82,S82="-"),U82&lt;W82,OR(W82&lt;Y82,Y82="-"),OR(Y82&lt;AA82,Y82="-"),OR(AA82&lt;AC82,AA82="-"),AC82&lt;AE82,OR(AE82&lt;AG82,AG82="-"),OR(AG82&lt;AI82,AG82="-"),OR(AI82&lt;AK82,AI82="-"),AK82&lt;AM82,AM82&lt;AO82,AO82&lt;AQ82,AQ82&lt;AS82,AS82&lt;AU82,OR(AU82&lt;AW82,AW82="-"),OR(AW82&lt;AY82,AW82="-"))</f>
        <v>1</v>
      </c>
      <c r="BC82" s="109">
        <f t="shared" ref="BC82" si="535">_xlfn.AGGREGATE(9,6,CH82:CS82)-_xlfn.AGGREGATE(9,6,BV82:CG82)+12</f>
        <v>248</v>
      </c>
      <c r="BD82" s="11" t="s">
        <v>23</v>
      </c>
      <c r="BE82" s="9" t="s">
        <v>1292</v>
      </c>
      <c r="BF82" s="120">
        <v>3.6</v>
      </c>
      <c r="BG82" s="51" t="s">
        <v>1423</v>
      </c>
      <c r="BH82" s="51" t="s">
        <v>1423</v>
      </c>
      <c r="BJ82" s="111" t="s">
        <v>1288</v>
      </c>
      <c r="BK82" s="112" t="s">
        <v>1288</v>
      </c>
      <c r="BL82" s="112" t="s">
        <v>1288</v>
      </c>
      <c r="BM82" s="112" t="s">
        <v>1288</v>
      </c>
      <c r="BN82" s="112" t="s">
        <v>1288</v>
      </c>
      <c r="BO82" s="112" t="s">
        <v>1288</v>
      </c>
      <c r="BP82" s="112" t="s">
        <v>1288</v>
      </c>
      <c r="BQ82" s="112" t="s">
        <v>1288</v>
      </c>
      <c r="BR82" s="112" t="s">
        <v>1288</v>
      </c>
      <c r="BS82" s="112" t="s">
        <v>1288</v>
      </c>
      <c r="BT82" s="112" t="s">
        <v>1288</v>
      </c>
      <c r="BU82" s="112" t="s">
        <v>1288</v>
      </c>
      <c r="BV82" s="111">
        <f t="shared" ref="BV82" si="536">E82</f>
        <v>20</v>
      </c>
      <c r="BW82" s="113">
        <f t="shared" ref="BW82" si="537">I82</f>
        <v>52</v>
      </c>
      <c r="BX82" s="114">
        <f t="shared" ref="BX82" si="538">M82</f>
        <v>56</v>
      </c>
      <c r="BY82" s="113">
        <f t="shared" ref="BY82" si="539">Q82</f>
        <v>88</v>
      </c>
      <c r="BZ82" s="114">
        <f t="shared" ref="BZ82" si="540">U82</f>
        <v>92</v>
      </c>
      <c r="CA82" s="113">
        <f t="shared" ref="CA82" si="541">Y82</f>
        <v>128</v>
      </c>
      <c r="CB82" s="114">
        <f t="shared" ref="CB82" si="542">AC82</f>
        <v>136</v>
      </c>
      <c r="CC82" s="113">
        <f t="shared" ref="CC82" si="543">AG82</f>
        <v>176</v>
      </c>
      <c r="CD82" s="114">
        <f t="shared" ref="CD82" si="544">AK82</f>
        <v>184</v>
      </c>
      <c r="CE82" s="113">
        <f t="shared" ref="CE82" si="545">AO82</f>
        <v>382</v>
      </c>
      <c r="CF82" s="114">
        <f t="shared" ref="CF82" si="546">AS82</f>
        <v>419</v>
      </c>
      <c r="CG82" s="113">
        <f t="shared" ref="CG82" si="547">AW82</f>
        <v>444</v>
      </c>
      <c r="CH82" s="111">
        <f t="shared" ref="CH82" si="548">G82</f>
        <v>50</v>
      </c>
      <c r="CI82" s="113">
        <f t="shared" ref="CI82" si="549">K82</f>
        <v>55</v>
      </c>
      <c r="CJ82" s="114">
        <f t="shared" ref="CJ82" si="550">O82</f>
        <v>87</v>
      </c>
      <c r="CK82" s="114">
        <f t="shared" ref="CK82" si="551">S82</f>
        <v>91</v>
      </c>
      <c r="CL82" s="114">
        <f t="shared" ref="CL82" si="552">W82</f>
        <v>127</v>
      </c>
      <c r="CM82" s="114">
        <f t="shared" ref="CM82" si="553">AA82</f>
        <v>135</v>
      </c>
      <c r="CN82" s="114">
        <f t="shared" ref="CN82" si="554">AE82</f>
        <v>167</v>
      </c>
      <c r="CO82" s="114">
        <f t="shared" ref="CO82" si="555">AI82</f>
        <v>178</v>
      </c>
      <c r="CP82" s="114">
        <f t="shared" ref="CP82" si="556">AM82</f>
        <v>213</v>
      </c>
      <c r="CQ82" s="114">
        <f t="shared" ref="CQ82" si="557">AQ82</f>
        <v>413</v>
      </c>
      <c r="CR82" s="114">
        <f t="shared" ref="CR82" si="558">AU82</f>
        <v>443</v>
      </c>
      <c r="CS82" s="114">
        <f t="shared" ref="CS82" si="559">AY82</f>
        <v>454</v>
      </c>
      <c r="CT82" s="109">
        <f t="shared" ref="CT82" si="560">M82-K82</f>
        <v>1</v>
      </c>
    </row>
    <row r="83" spans="1:1029" x14ac:dyDescent="0.2">
      <c r="A83" s="3" t="str">
        <f t="shared" si="391"/>
        <v>acm3_rat__wt</v>
      </c>
      <c r="B83" s="3" t="s">
        <v>910</v>
      </c>
      <c r="C83" s="3" t="s">
        <v>100</v>
      </c>
      <c r="D83" s="3" t="str">
        <f>IFERROR(MID(VLOOKUP($B83,Seqs!$A:$B,2,0),E83,1),"")</f>
        <v>T</v>
      </c>
      <c r="E83" s="105">
        <v>63</v>
      </c>
      <c r="F83" s="3" t="str">
        <f>IFERROR(MID(VLOOKUP($B83,Seqs!$A:$B,2,0),G83,1),"")</f>
        <v>N</v>
      </c>
      <c r="G83" s="3">
        <v>95</v>
      </c>
      <c r="H83" s="3" t="str">
        <f>IFERROR(MID(VLOOKUP($B83,Seqs!$A:$B,2,0),I83,1),"")</f>
        <v>K</v>
      </c>
      <c r="I83" s="23">
        <v>96</v>
      </c>
      <c r="J83" s="3" t="str">
        <f>IFERROR(MID(VLOOKUP($B83,Seqs!$A:$B,2,0),K83,1),"")</f>
        <v>K</v>
      </c>
      <c r="K83" s="23">
        <v>99</v>
      </c>
      <c r="L83" s="3" t="str">
        <f>IFERROR(MID(VLOOKUP($B83,Seqs!$A:$B,2,0),M83,1),"")</f>
        <v>T</v>
      </c>
      <c r="M83" s="3">
        <v>100</v>
      </c>
      <c r="N83" s="3" t="str">
        <f>IFERROR(MID(VLOOKUP($B83,Seqs!$A:$B,2,0),O83,1),"")</f>
        <v>M</v>
      </c>
      <c r="O83" s="3">
        <v>130</v>
      </c>
      <c r="P83" s="3" t="str">
        <f>IFERROR(MID(VLOOKUP($B83,Seqs!$A:$B,2,0),Q83,1),"")</f>
        <v>R</v>
      </c>
      <c r="Q83" s="3">
        <v>132</v>
      </c>
      <c r="R83" s="3" t="str">
        <f>IFERROR(MID(VLOOKUP($B83,Seqs!$A:$B,2,0),S83,1),"")</f>
        <v>L</v>
      </c>
      <c r="S83" s="3">
        <v>135</v>
      </c>
      <c r="T83" s="3" t="str">
        <f>IFERROR(MID(VLOOKUP($B83,Seqs!$A:$B,2,0),U83,1),"")</f>
        <v>G</v>
      </c>
      <c r="U83" s="3">
        <v>136</v>
      </c>
      <c r="V83" s="3" t="str">
        <f>IFERROR(MID(VLOOKUP($B83,Seqs!$A:$B,2,0),W83,1),"")</f>
        <v>R</v>
      </c>
      <c r="W83" s="3">
        <v>171</v>
      </c>
      <c r="X83" s="3" t="str">
        <f>IFERROR(MID(VLOOKUP($B83,Seqs!$A:$B,2,0),Y83,1),"")</f>
        <v>P</v>
      </c>
      <c r="Y83" s="3">
        <v>172</v>
      </c>
      <c r="Z83" s="3" t="str">
        <f>IFERROR(MID(VLOOKUP($B83,Seqs!$A:$B,2,0),AA83,1),"")</f>
        <v>R</v>
      </c>
      <c r="AA83" s="3">
        <v>179</v>
      </c>
      <c r="AB83" s="3" t="str">
        <f>IFERROR(MID(VLOOKUP($B83,Seqs!$A:$B,2,0),AC83,1),"")</f>
        <v>T</v>
      </c>
      <c r="AC83" s="3">
        <v>180</v>
      </c>
      <c r="AD83" s="3" t="str">
        <f>IFERROR(MID(VLOOKUP($B83,Seqs!$A:$B,2,0),AE83,1),"")</f>
        <v>G</v>
      </c>
      <c r="AE83" s="3">
        <v>211</v>
      </c>
      <c r="AF83" s="3" t="str">
        <f>IFERROR(MID(VLOOKUP($B83,Seqs!$A:$B,2,0),AG83,1),"")</f>
        <v>C</v>
      </c>
      <c r="AG83" s="3">
        <v>220</v>
      </c>
      <c r="AH83" s="3" t="str">
        <f>IFERROR(MID(VLOOKUP($B83,Seqs!$A:$B,2,0),AI83,1),"")</f>
        <v>I</v>
      </c>
      <c r="AI83" s="3">
        <v>222</v>
      </c>
      <c r="AJ83" s="3" t="str">
        <f>IFERROR(MID(VLOOKUP($B83,Seqs!$A:$B,2,0),AK83,1),"")</f>
        <v>E</v>
      </c>
      <c r="AK83" s="3">
        <v>227</v>
      </c>
      <c r="AL83" s="3" t="str">
        <f>IFERROR(MID(VLOOKUP($B83,Seqs!$A:$B,2,0),AM83,1),"")</f>
        <v>L</v>
      </c>
      <c r="AM83" s="3">
        <v>267</v>
      </c>
      <c r="AN83" s="3" t="str">
        <f>IFERROR(MID(VLOOKUP($B83,Seqs!$A:$B,2,0),AO83,1),"")</f>
        <v>R</v>
      </c>
      <c r="AO83" s="3">
        <v>479</v>
      </c>
      <c r="AP83" s="3" t="str">
        <f>IFERROR(MID(VLOOKUP($B83,Seqs!$A:$B,2,0),AQ83,1),"")</f>
        <v>C</v>
      </c>
      <c r="AQ83" s="3">
        <v>516</v>
      </c>
      <c r="AR83" s="3" t="str">
        <f>IFERROR(MID(VLOOKUP($B83,Seqs!$A:$B,2,0),AS83,1),"")</f>
        <v>P</v>
      </c>
      <c r="AS83" s="3">
        <v>521</v>
      </c>
      <c r="AT83" s="3" t="str">
        <f>IFERROR(MID(VLOOKUP($B83,Seqs!$A:$B,2,0),AU83,1),"")</f>
        <v>C</v>
      </c>
      <c r="AU83" s="3">
        <v>546</v>
      </c>
      <c r="AV83" s="3" t="str">
        <f>IFERROR(MID(VLOOKUP($B83,Seqs!$A:$B,2,0),AW83,1),"")</f>
        <v>N</v>
      </c>
      <c r="AW83" s="3">
        <v>547</v>
      </c>
      <c r="AX83" s="3" t="str">
        <f>IFERROR(MID(VLOOKUP($B83,Seqs!$A:$B,2,0),AY83,1),"")</f>
        <v>C</v>
      </c>
      <c r="AY83" s="3">
        <v>560</v>
      </c>
      <c r="AZ83" s="77" t="str">
        <f>VLOOKUP(B83,Classification!A:D,2,0)</f>
        <v>A</v>
      </c>
      <c r="BA83" s="94" t="str">
        <f>VLOOKUP(B83,Classification!A:D,4,0)</f>
        <v>Acetylcholine(muscarinic)</v>
      </c>
      <c r="BB83" s="27" t="b">
        <f t="shared" si="392"/>
        <v>1</v>
      </c>
      <c r="BC83" s="23">
        <f t="shared" si="225"/>
        <v>270</v>
      </c>
      <c r="BD83" s="56" t="s">
        <v>23</v>
      </c>
      <c r="BE83" s="3" t="s">
        <v>23</v>
      </c>
      <c r="BF83" s="119" t="s">
        <v>23</v>
      </c>
      <c r="BG83" s="49" t="s">
        <v>1373</v>
      </c>
      <c r="BH83" s="49" t="s">
        <v>1378</v>
      </c>
      <c r="BI83" s="1"/>
      <c r="BJ83" s="70" t="s">
        <v>1288</v>
      </c>
      <c r="BK83" s="57" t="s">
        <v>1288</v>
      </c>
      <c r="BL83" s="57" t="s">
        <v>1288</v>
      </c>
      <c r="BM83" s="57" t="s">
        <v>1288</v>
      </c>
      <c r="BN83" s="57" t="s">
        <v>1288</v>
      </c>
      <c r="BO83" s="57" t="s">
        <v>1288</v>
      </c>
      <c r="BP83" s="57" t="s">
        <v>1288</v>
      </c>
      <c r="BQ83" s="57" t="s">
        <v>1288</v>
      </c>
      <c r="BR83" s="57" t="s">
        <v>1288</v>
      </c>
      <c r="BS83" s="57" t="s">
        <v>1288</v>
      </c>
      <c r="BT83" s="57" t="s">
        <v>1288</v>
      </c>
      <c r="BU83" s="57" t="s">
        <v>1288</v>
      </c>
      <c r="BV83" s="70">
        <f t="shared" si="226"/>
        <v>63</v>
      </c>
      <c r="BW83" s="71">
        <f t="shared" si="227"/>
        <v>96</v>
      </c>
      <c r="BX83" s="72">
        <f t="shared" si="228"/>
        <v>100</v>
      </c>
      <c r="BY83" s="71">
        <f t="shared" si="229"/>
        <v>132</v>
      </c>
      <c r="BZ83" s="72">
        <f t="shared" si="230"/>
        <v>136</v>
      </c>
      <c r="CA83" s="71">
        <f t="shared" si="231"/>
        <v>172</v>
      </c>
      <c r="CB83" s="72">
        <f t="shared" si="232"/>
        <v>180</v>
      </c>
      <c r="CC83" s="71">
        <f t="shared" si="233"/>
        <v>220</v>
      </c>
      <c r="CD83" s="72">
        <f t="shared" si="234"/>
        <v>227</v>
      </c>
      <c r="CE83" s="71">
        <f t="shared" si="235"/>
        <v>479</v>
      </c>
      <c r="CF83" s="72">
        <f t="shared" si="236"/>
        <v>521</v>
      </c>
      <c r="CG83" s="71">
        <f t="shared" si="237"/>
        <v>547</v>
      </c>
      <c r="CH83" s="70">
        <f t="shared" si="238"/>
        <v>95</v>
      </c>
      <c r="CI83" s="71">
        <f t="shared" si="239"/>
        <v>99</v>
      </c>
      <c r="CJ83" s="72">
        <f t="shared" si="240"/>
        <v>130</v>
      </c>
      <c r="CK83" s="72">
        <f t="shared" si="241"/>
        <v>135</v>
      </c>
      <c r="CL83" s="72">
        <f t="shared" si="242"/>
        <v>171</v>
      </c>
      <c r="CM83" s="72">
        <f t="shared" si="243"/>
        <v>179</v>
      </c>
      <c r="CN83" s="72">
        <f t="shared" si="244"/>
        <v>211</v>
      </c>
      <c r="CO83" s="72">
        <f t="shared" si="245"/>
        <v>222</v>
      </c>
      <c r="CP83" s="72">
        <f t="shared" si="246"/>
        <v>267</v>
      </c>
      <c r="CQ83" s="72">
        <f t="shared" si="247"/>
        <v>516</v>
      </c>
      <c r="CR83" s="72">
        <f t="shared" si="248"/>
        <v>546</v>
      </c>
      <c r="CS83" s="72">
        <f t="shared" si="249"/>
        <v>560</v>
      </c>
      <c r="CT83" s="23">
        <f t="shared" si="250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si="391"/>
        <v>acm3_rat_4U15</v>
      </c>
      <c r="B84" s="3" t="s">
        <v>910</v>
      </c>
      <c r="C84" s="3" t="s">
        <v>71</v>
      </c>
      <c r="D84" s="3" t="str">
        <f>IFERROR(MID(VLOOKUP($B84,Seqs!$A:$B,2,0),E84,1),"")</f>
        <v>I</v>
      </c>
      <c r="E84" s="3">
        <v>64</v>
      </c>
      <c r="F84" s="3" t="str">
        <f>IFERROR(MID(VLOOKUP($B84,Seqs!$A:$B,2,0),G84,1),"")</f>
        <v>N</v>
      </c>
      <c r="G84" s="3">
        <v>95</v>
      </c>
      <c r="H84" s="3" t="str">
        <f>IFERROR(MID(VLOOKUP($B84,Seqs!$A:$B,2,0),I84,1),"")</f>
        <v>K</v>
      </c>
      <c r="I84" s="23">
        <v>96</v>
      </c>
      <c r="J84" s="3" t="str">
        <f>IFERROR(MID(VLOOKUP($B84,Seqs!$A:$B,2,0),K84,1),"")</f>
        <v>K</v>
      </c>
      <c r="K84" s="23">
        <v>99</v>
      </c>
      <c r="L84" s="3" t="str">
        <f>IFERROR(MID(VLOOKUP($B84,Seqs!$A:$B,2,0),M84,1),"")</f>
        <v>T</v>
      </c>
      <c r="M84" s="3">
        <v>100</v>
      </c>
      <c r="N84" s="3" t="str">
        <f>IFERROR(MID(VLOOKUP($B84,Seqs!$A:$B,2,0),O84,1),"")</f>
        <v>M</v>
      </c>
      <c r="O84" s="3">
        <v>130</v>
      </c>
      <c r="P84" s="3" t="str">
        <f>IFERROR(MID(VLOOKUP($B84,Seqs!$A:$B,2,0),Q84,1),"")</f>
        <v>R</v>
      </c>
      <c r="Q84" s="3">
        <v>132</v>
      </c>
      <c r="R84" s="3" t="str">
        <f>IFERROR(MID(VLOOKUP($B84,Seqs!$A:$B,2,0),S84,1),"")</f>
        <v>L</v>
      </c>
      <c r="S84" s="3">
        <v>135</v>
      </c>
      <c r="T84" s="3" t="str">
        <f>IFERROR(MID(VLOOKUP($B84,Seqs!$A:$B,2,0),U84,1),"")</f>
        <v>G</v>
      </c>
      <c r="U84" s="3">
        <v>136</v>
      </c>
      <c r="V84" s="3" t="str">
        <f>IFERROR(MID(VLOOKUP($B84,Seqs!$A:$B,2,0),W84,1),"")</f>
        <v>R</v>
      </c>
      <c r="W84" s="3">
        <v>171</v>
      </c>
      <c r="X84" s="3" t="str">
        <f>IFERROR(MID(VLOOKUP($B84,Seqs!$A:$B,2,0),Y84,1),"")</f>
        <v>P</v>
      </c>
      <c r="Y84" s="3">
        <v>172</v>
      </c>
      <c r="Z84" s="3" t="str">
        <f>IFERROR(MID(VLOOKUP($B84,Seqs!$A:$B,2,0),AA84,1),"")</f>
        <v>R</v>
      </c>
      <c r="AA84" s="3">
        <v>179</v>
      </c>
      <c r="AB84" s="3" t="str">
        <f>IFERROR(MID(VLOOKUP($B84,Seqs!$A:$B,2,0),AC84,1),"")</f>
        <v>T</v>
      </c>
      <c r="AC84" s="9">
        <v>180</v>
      </c>
      <c r="AD84" s="3" t="str">
        <f>IFERROR(MID(VLOOKUP($B84,Seqs!$A:$B,2,0),AE84,1),"")</f>
        <v>G</v>
      </c>
      <c r="AE84" s="3">
        <v>211</v>
      </c>
      <c r="AF84" s="3" t="str">
        <f>IFERROR(MID(VLOOKUP($B84,Seqs!$A:$B,2,0),AG84,1),"")</f>
        <v>C</v>
      </c>
      <c r="AG84" s="3">
        <v>220</v>
      </c>
      <c r="AH84" s="3" t="str">
        <f>IFERROR(MID(VLOOKUP($B84,Seqs!$A:$B,2,0),AI84,1),"")</f>
        <v>I</v>
      </c>
      <c r="AI84" s="3">
        <v>222</v>
      </c>
      <c r="AJ84" s="3" t="str">
        <f>IFERROR(MID(VLOOKUP($B84,Seqs!$A:$B,2,0),AK84,1),"")</f>
        <v>E</v>
      </c>
      <c r="AK84" s="3">
        <v>227</v>
      </c>
      <c r="AL84" s="3" t="str">
        <f>IFERROR(MID(VLOOKUP($B84,Seqs!$A:$B,2,0),AM84,1),"")</f>
        <v>K</v>
      </c>
      <c r="AM84" s="3">
        <v>259</v>
      </c>
      <c r="AN84" s="3" t="str">
        <f>IFERROR(MID(VLOOKUP($B84,Seqs!$A:$B,2,0),AO84,1),"")</f>
        <v>I</v>
      </c>
      <c r="AO84" s="3">
        <v>483</v>
      </c>
      <c r="AP84" s="3" t="str">
        <f>IFERROR(MID(VLOOKUP($B84,Seqs!$A:$B,2,0),AQ84,1),"")</f>
        <v>C</v>
      </c>
      <c r="AQ84" s="3">
        <v>516</v>
      </c>
      <c r="AR84" s="3" t="str">
        <f>IFERROR(MID(VLOOKUP($B84,Seqs!$A:$B,2,0),AS84,1),"")</f>
        <v>P</v>
      </c>
      <c r="AS84" s="3">
        <v>521</v>
      </c>
      <c r="AT84" s="3" t="str">
        <f>IFERROR(MID(VLOOKUP($B84,Seqs!$A:$B,2,0),AU84,1),"")</f>
        <v>C</v>
      </c>
      <c r="AU84" s="3">
        <v>546</v>
      </c>
      <c r="AV84" s="3" t="str">
        <f>IFERROR(MID(VLOOKUP($B84,Seqs!$A:$B,2,0),AW84,1),"")</f>
        <v>N</v>
      </c>
      <c r="AW84" s="3">
        <v>547</v>
      </c>
      <c r="AX84" s="3" t="str">
        <f>IFERROR(MID(VLOOKUP($B84,Seqs!$A:$B,2,0),AY84,1),"")</f>
        <v>L</v>
      </c>
      <c r="AY84" s="3">
        <v>558</v>
      </c>
      <c r="AZ84" s="77" t="str">
        <f>VLOOKUP(B84,Classification!A:D,2,0)</f>
        <v>A</v>
      </c>
      <c r="BA84" s="94" t="str">
        <f>VLOOKUP(B84,Classification!A:D,4,0)</f>
        <v>Acetylcholine(muscarinic)</v>
      </c>
      <c r="BB84" s="27" t="b">
        <f t="shared" si="392"/>
        <v>1</v>
      </c>
      <c r="BC84" s="23">
        <f t="shared" si="225"/>
        <v>255</v>
      </c>
      <c r="BD84" s="16" t="s">
        <v>23</v>
      </c>
      <c r="BE84" s="3" t="s">
        <v>1375</v>
      </c>
      <c r="BF84" s="119">
        <v>2.8</v>
      </c>
      <c r="BG84" s="49" t="s">
        <v>1378</v>
      </c>
      <c r="BH84" s="49" t="s">
        <v>1378</v>
      </c>
      <c r="BI84" s="1"/>
      <c r="BJ84" s="70" t="s">
        <v>1288</v>
      </c>
      <c r="BK84" s="57" t="s">
        <v>1288</v>
      </c>
      <c r="BL84" s="57" t="s">
        <v>1288</v>
      </c>
      <c r="BM84" s="57" t="s">
        <v>1288</v>
      </c>
      <c r="BN84" s="57" t="s">
        <v>1288</v>
      </c>
      <c r="BO84" s="57" t="s">
        <v>1288</v>
      </c>
      <c r="BP84" s="57" t="s">
        <v>1288</v>
      </c>
      <c r="BQ84" s="57" t="s">
        <v>1288</v>
      </c>
      <c r="BR84" s="57" t="s">
        <v>1288</v>
      </c>
      <c r="BS84" s="57" t="s">
        <v>1288</v>
      </c>
      <c r="BT84" s="57" t="s">
        <v>1288</v>
      </c>
      <c r="BU84" s="57" t="s">
        <v>1288</v>
      </c>
      <c r="BV84" s="70">
        <f t="shared" si="226"/>
        <v>64</v>
      </c>
      <c r="BW84" s="71">
        <f t="shared" si="227"/>
        <v>96</v>
      </c>
      <c r="BX84" s="72">
        <f t="shared" si="228"/>
        <v>100</v>
      </c>
      <c r="BY84" s="71">
        <f t="shared" si="229"/>
        <v>132</v>
      </c>
      <c r="BZ84" s="72">
        <f t="shared" si="230"/>
        <v>136</v>
      </c>
      <c r="CA84" s="71">
        <f t="shared" si="231"/>
        <v>172</v>
      </c>
      <c r="CB84" s="72">
        <f t="shared" si="232"/>
        <v>180</v>
      </c>
      <c r="CC84" s="71">
        <f t="shared" si="233"/>
        <v>220</v>
      </c>
      <c r="CD84" s="72">
        <f t="shared" si="234"/>
        <v>227</v>
      </c>
      <c r="CE84" s="71">
        <f t="shared" si="235"/>
        <v>483</v>
      </c>
      <c r="CF84" s="72">
        <f t="shared" si="236"/>
        <v>521</v>
      </c>
      <c r="CG84" s="71">
        <f t="shared" si="237"/>
        <v>547</v>
      </c>
      <c r="CH84" s="70">
        <f t="shared" si="238"/>
        <v>95</v>
      </c>
      <c r="CI84" s="71">
        <f t="shared" si="239"/>
        <v>99</v>
      </c>
      <c r="CJ84" s="72">
        <f t="shared" si="240"/>
        <v>130</v>
      </c>
      <c r="CK84" s="72">
        <f t="shared" si="241"/>
        <v>135</v>
      </c>
      <c r="CL84" s="72">
        <f t="shared" si="242"/>
        <v>171</v>
      </c>
      <c r="CM84" s="72">
        <f t="shared" si="243"/>
        <v>179</v>
      </c>
      <c r="CN84" s="72">
        <f t="shared" si="244"/>
        <v>211</v>
      </c>
      <c r="CO84" s="72">
        <f t="shared" si="245"/>
        <v>222</v>
      </c>
      <c r="CP84" s="72">
        <f t="shared" si="246"/>
        <v>259</v>
      </c>
      <c r="CQ84" s="72">
        <f t="shared" si="247"/>
        <v>516</v>
      </c>
      <c r="CR84" s="72">
        <f t="shared" si="248"/>
        <v>546</v>
      </c>
      <c r="CS84" s="72">
        <f t="shared" si="249"/>
        <v>558</v>
      </c>
      <c r="CT84" s="23">
        <f t="shared" si="250"/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si="391"/>
        <v>acm3_rat_4U16</v>
      </c>
      <c r="B85" s="3" t="s">
        <v>910</v>
      </c>
      <c r="C85" s="3" t="s">
        <v>1054</v>
      </c>
      <c r="D85" s="3" t="str">
        <f>IFERROR(MID(VLOOKUP($B85,Seqs!$A:$B,2,0),E85,1),"")</f>
        <v>I</v>
      </c>
      <c r="E85" s="3">
        <v>64</v>
      </c>
      <c r="F85" s="3" t="str">
        <f>IFERROR(MID(VLOOKUP($B85,Seqs!$A:$B,2,0),G85,1),"")</f>
        <v>N</v>
      </c>
      <c r="G85" s="3">
        <v>95</v>
      </c>
      <c r="H85" s="3" t="str">
        <f>IFERROR(MID(VLOOKUP($B85,Seqs!$A:$B,2,0),I85,1),"")</f>
        <v>K</v>
      </c>
      <c r="I85" s="23">
        <v>96</v>
      </c>
      <c r="J85" s="3" t="str">
        <f>IFERROR(MID(VLOOKUP($B85,Seqs!$A:$B,2,0),K85,1),"")</f>
        <v>K</v>
      </c>
      <c r="K85" s="23">
        <v>99</v>
      </c>
      <c r="L85" s="3" t="str">
        <f>IFERROR(MID(VLOOKUP($B85,Seqs!$A:$B,2,0),M85,1),"")</f>
        <v>T</v>
      </c>
      <c r="M85" s="3">
        <v>100</v>
      </c>
      <c r="N85" s="3" t="str">
        <f>IFERROR(MID(VLOOKUP($B85,Seqs!$A:$B,2,0),O85,1),"")</f>
        <v>M</v>
      </c>
      <c r="O85" s="3">
        <v>130</v>
      </c>
      <c r="P85" s="3" t="str">
        <f>IFERROR(MID(VLOOKUP($B85,Seqs!$A:$B,2,0),Q85,1),"")</f>
        <v>R</v>
      </c>
      <c r="Q85" s="3">
        <v>132</v>
      </c>
      <c r="R85" s="3" t="str">
        <f>IFERROR(MID(VLOOKUP($B85,Seqs!$A:$B,2,0),S85,1),"")</f>
        <v>L</v>
      </c>
      <c r="S85" s="3">
        <v>135</v>
      </c>
      <c r="T85" s="3" t="str">
        <f>IFERROR(MID(VLOOKUP($B85,Seqs!$A:$B,2,0),U85,1),"")</f>
        <v>G</v>
      </c>
      <c r="U85" s="3">
        <v>136</v>
      </c>
      <c r="V85" s="3" t="str">
        <f>IFERROR(MID(VLOOKUP($B85,Seqs!$A:$B,2,0),W85,1),"")</f>
        <v>R</v>
      </c>
      <c r="W85" s="3">
        <v>171</v>
      </c>
      <c r="X85" s="3" t="str">
        <f>IFERROR(MID(VLOOKUP($B85,Seqs!$A:$B,2,0),Y85,1),"")</f>
        <v>P</v>
      </c>
      <c r="Y85" s="3">
        <v>172</v>
      </c>
      <c r="Z85" s="3" t="str">
        <f>IFERROR(MID(VLOOKUP($B85,Seqs!$A:$B,2,0),AA85,1),"")</f>
        <v>R</v>
      </c>
      <c r="AA85" s="3">
        <v>179</v>
      </c>
      <c r="AB85" s="3" t="str">
        <f>IFERROR(MID(VLOOKUP($B85,Seqs!$A:$B,2,0),AC85,1),"")</f>
        <v>T</v>
      </c>
      <c r="AC85" s="9">
        <v>180</v>
      </c>
      <c r="AD85" s="3" t="str">
        <f>IFERROR(MID(VLOOKUP($B85,Seqs!$A:$B,2,0),AE85,1),"")</f>
        <v>G</v>
      </c>
      <c r="AE85" s="3">
        <v>211</v>
      </c>
      <c r="AF85" s="3" t="str">
        <f>IFERROR(MID(VLOOKUP($B85,Seqs!$A:$B,2,0),AG85,1),"")</f>
        <v>C</v>
      </c>
      <c r="AG85" s="3">
        <v>220</v>
      </c>
      <c r="AH85" s="3" t="str">
        <f>IFERROR(MID(VLOOKUP($B85,Seqs!$A:$B,2,0),AI85,1),"")</f>
        <v>I</v>
      </c>
      <c r="AI85" s="3">
        <v>222</v>
      </c>
      <c r="AJ85" s="3" t="str">
        <f>IFERROR(MID(VLOOKUP($B85,Seqs!$A:$B,2,0),AK85,1),"")</f>
        <v>E</v>
      </c>
      <c r="AK85" s="3">
        <v>227</v>
      </c>
      <c r="AL85" s="3" t="str">
        <f>IFERROR(MID(VLOOKUP($B85,Seqs!$A:$B,2,0),AM85,1),"")</f>
        <v>K</v>
      </c>
      <c r="AM85" s="3">
        <v>259</v>
      </c>
      <c r="AN85" s="3" t="str">
        <f>IFERROR(MID(VLOOKUP($B85,Seqs!$A:$B,2,0),AO85,1),"")</f>
        <v>I</v>
      </c>
      <c r="AO85" s="3">
        <v>483</v>
      </c>
      <c r="AP85" s="3" t="str">
        <f>IFERROR(MID(VLOOKUP($B85,Seqs!$A:$B,2,0),AQ85,1),"")</f>
        <v>C</v>
      </c>
      <c r="AQ85" s="3">
        <v>516</v>
      </c>
      <c r="AR85" s="3" t="str">
        <f>IFERROR(MID(VLOOKUP($B85,Seqs!$A:$B,2,0),AS85,1),"")</f>
        <v>P</v>
      </c>
      <c r="AS85" s="3">
        <v>521</v>
      </c>
      <c r="AT85" s="3" t="str">
        <f>IFERROR(MID(VLOOKUP($B85,Seqs!$A:$B,2,0),AU85,1),"")</f>
        <v>C</v>
      </c>
      <c r="AU85" s="3">
        <v>546</v>
      </c>
      <c r="AV85" s="3" t="str">
        <f>IFERROR(MID(VLOOKUP($B85,Seqs!$A:$B,2,0),AW85,1),"")</f>
        <v/>
      </c>
      <c r="AW85" s="3" t="s">
        <v>23</v>
      </c>
      <c r="AX85" s="3" t="str">
        <f>IFERROR(MID(VLOOKUP($B85,Seqs!$A:$B,2,0),AY85,1),"")</f>
        <v/>
      </c>
      <c r="AY85" s="3" t="s">
        <v>23</v>
      </c>
      <c r="AZ85" s="77" t="str">
        <f>VLOOKUP(B85,Classification!A:D,2,0)</f>
        <v>A</v>
      </c>
      <c r="BA85" s="94" t="str">
        <f>VLOOKUP(B85,Classification!A:D,4,0)</f>
        <v>Acetylcholine(muscarinic)</v>
      </c>
      <c r="BB85" s="27" t="b">
        <f t="shared" si="392"/>
        <v>1</v>
      </c>
      <c r="BC85" s="23">
        <f t="shared" si="225"/>
        <v>244</v>
      </c>
      <c r="BD85" s="4" t="s">
        <v>23</v>
      </c>
      <c r="BE85" s="3" t="s">
        <v>1375</v>
      </c>
      <c r="BF85" s="119">
        <v>3.7</v>
      </c>
      <c r="BG85" s="49" t="s">
        <v>1378</v>
      </c>
      <c r="BH85" s="49" t="s">
        <v>1378</v>
      </c>
      <c r="BI85" s="1"/>
      <c r="BJ85" s="70" t="s">
        <v>1288</v>
      </c>
      <c r="BK85" s="57" t="s">
        <v>1288</v>
      </c>
      <c r="BL85" s="57" t="s">
        <v>1288</v>
      </c>
      <c r="BM85" s="57" t="s">
        <v>1288</v>
      </c>
      <c r="BN85" s="57" t="s">
        <v>1288</v>
      </c>
      <c r="BO85" s="57" t="s">
        <v>1288</v>
      </c>
      <c r="BP85" s="57" t="s">
        <v>1288</v>
      </c>
      <c r="BQ85" s="57" t="s">
        <v>1288</v>
      </c>
      <c r="BR85" s="57" t="s">
        <v>1288</v>
      </c>
      <c r="BS85" s="57" t="s">
        <v>1288</v>
      </c>
      <c r="BT85" s="57" t="s">
        <v>1288</v>
      </c>
      <c r="BU85" s="57" t="s">
        <v>1288</v>
      </c>
      <c r="BV85" s="70">
        <f t="shared" si="226"/>
        <v>64</v>
      </c>
      <c r="BW85" s="71">
        <f t="shared" si="227"/>
        <v>96</v>
      </c>
      <c r="BX85" s="72">
        <f t="shared" si="228"/>
        <v>100</v>
      </c>
      <c r="BY85" s="71">
        <f t="shared" si="229"/>
        <v>132</v>
      </c>
      <c r="BZ85" s="72">
        <f t="shared" si="230"/>
        <v>136</v>
      </c>
      <c r="CA85" s="71">
        <f t="shared" si="231"/>
        <v>172</v>
      </c>
      <c r="CB85" s="72">
        <f t="shared" si="232"/>
        <v>180</v>
      </c>
      <c r="CC85" s="71">
        <f t="shared" si="233"/>
        <v>220</v>
      </c>
      <c r="CD85" s="72">
        <f t="shared" si="234"/>
        <v>227</v>
      </c>
      <c r="CE85" s="71">
        <f t="shared" si="235"/>
        <v>483</v>
      </c>
      <c r="CF85" s="72">
        <f t="shared" si="236"/>
        <v>521</v>
      </c>
      <c r="CG85" s="71" t="str">
        <f t="shared" si="237"/>
        <v>-</v>
      </c>
      <c r="CH85" s="70">
        <f t="shared" si="238"/>
        <v>95</v>
      </c>
      <c r="CI85" s="71">
        <f t="shared" si="239"/>
        <v>99</v>
      </c>
      <c r="CJ85" s="72">
        <f t="shared" si="240"/>
        <v>130</v>
      </c>
      <c r="CK85" s="72">
        <f t="shared" si="241"/>
        <v>135</v>
      </c>
      <c r="CL85" s="72">
        <f t="shared" si="242"/>
        <v>171</v>
      </c>
      <c r="CM85" s="72">
        <f t="shared" si="243"/>
        <v>179</v>
      </c>
      <c r="CN85" s="72">
        <f t="shared" si="244"/>
        <v>211</v>
      </c>
      <c r="CO85" s="72">
        <f t="shared" si="245"/>
        <v>222</v>
      </c>
      <c r="CP85" s="72">
        <f t="shared" si="246"/>
        <v>259</v>
      </c>
      <c r="CQ85" s="72">
        <f t="shared" si="247"/>
        <v>516</v>
      </c>
      <c r="CR85" s="72">
        <f t="shared" si="248"/>
        <v>546</v>
      </c>
      <c r="CS85" s="72" t="str">
        <f t="shared" si="249"/>
        <v>-</v>
      </c>
      <c r="CT85" s="23">
        <f t="shared" si="250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s="12" customFormat="1" x14ac:dyDescent="0.2">
      <c r="A86" s="9" t="str">
        <f t="shared" ref="A86" si="561">CONCATENATE(B86,"_",C86)</f>
        <v>acm3_rat_5ZHP</v>
      </c>
      <c r="B86" s="9" t="s">
        <v>910</v>
      </c>
      <c r="C86" s="9" t="s">
        <v>1577</v>
      </c>
      <c r="D86" s="9" t="str">
        <f>IFERROR(MID(VLOOKUP($B86,Seqs!$A:$B,2,0),E86,1),"")</f>
        <v>T</v>
      </c>
      <c r="E86" s="9">
        <v>63</v>
      </c>
      <c r="F86" s="9" t="str">
        <f>IFERROR(MID(VLOOKUP($B86,Seqs!$A:$B,2,0),G86,1),"")</f>
        <v>N</v>
      </c>
      <c r="G86" s="9">
        <v>95</v>
      </c>
      <c r="H86" s="9" t="str">
        <f>IFERROR(MID(VLOOKUP($B86,Seqs!$A:$B,2,0),I86,1),"")</f>
        <v>K</v>
      </c>
      <c r="I86" s="109">
        <v>96</v>
      </c>
      <c r="J86" s="9" t="str">
        <f>IFERROR(MID(VLOOKUP($B86,Seqs!$A:$B,2,0),K86,1),"")</f>
        <v>K</v>
      </c>
      <c r="K86" s="109">
        <v>99</v>
      </c>
      <c r="L86" s="9" t="str">
        <f>IFERROR(MID(VLOOKUP($B86,Seqs!$A:$B,2,0),M86,1),"")</f>
        <v>T</v>
      </c>
      <c r="M86" s="9">
        <v>100</v>
      </c>
      <c r="N86" s="9" t="str">
        <f>IFERROR(MID(VLOOKUP($B86,Seqs!$A:$B,2,0),O86,1),"")</f>
        <v>M</v>
      </c>
      <c r="O86" s="9">
        <v>130</v>
      </c>
      <c r="P86" s="9" t="str">
        <f>IFERROR(MID(VLOOKUP($B86,Seqs!$A:$B,2,0),Q86,1),"")</f>
        <v>R</v>
      </c>
      <c r="Q86" s="9">
        <v>132</v>
      </c>
      <c r="R86" s="9" t="str">
        <f>IFERROR(MID(VLOOKUP($B86,Seqs!$A:$B,2,0),S86,1),"")</f>
        <v>L</v>
      </c>
      <c r="S86" s="9">
        <v>135</v>
      </c>
      <c r="T86" s="9" t="str">
        <f>IFERROR(MID(VLOOKUP($B86,Seqs!$A:$B,2,0),U86,1),"")</f>
        <v>G</v>
      </c>
      <c r="U86" s="9">
        <v>136</v>
      </c>
      <c r="V86" s="9" t="str">
        <f>IFERROR(MID(VLOOKUP($B86,Seqs!$A:$B,2,0),W86,1),"")</f>
        <v>R</v>
      </c>
      <c r="W86" s="9">
        <v>171</v>
      </c>
      <c r="X86" s="9" t="str">
        <f>IFERROR(MID(VLOOKUP($B86,Seqs!$A:$B,2,0),Y86,1),"")</f>
        <v>P</v>
      </c>
      <c r="Y86" s="9">
        <v>172</v>
      </c>
      <c r="Z86" s="9" t="str">
        <f>IFERROR(MID(VLOOKUP($B86,Seqs!$A:$B,2,0),AA86,1),"")</f>
        <v>R</v>
      </c>
      <c r="AA86" s="9">
        <v>179</v>
      </c>
      <c r="AB86" s="9" t="str">
        <f>IFERROR(MID(VLOOKUP($B86,Seqs!$A:$B,2,0),AC86,1),"")</f>
        <v>T</v>
      </c>
      <c r="AC86" s="9">
        <v>180</v>
      </c>
      <c r="AD86" s="9" t="str">
        <f>IFERROR(MID(VLOOKUP($B86,Seqs!$A:$B,2,0),AE86,1),"")</f>
        <v>G</v>
      </c>
      <c r="AE86" s="9">
        <v>211</v>
      </c>
      <c r="AF86" s="9" t="str">
        <f>IFERROR(MID(VLOOKUP($B86,Seqs!$A:$B,2,0),AG86,1),"")</f>
        <v>C</v>
      </c>
      <c r="AG86" s="9">
        <v>220</v>
      </c>
      <c r="AH86" s="9" t="str">
        <f>IFERROR(MID(VLOOKUP($B86,Seqs!$A:$B,2,0),AI86,1),"")</f>
        <v>I</v>
      </c>
      <c r="AI86" s="9">
        <v>222</v>
      </c>
      <c r="AJ86" s="9" t="str">
        <f>IFERROR(MID(VLOOKUP($B86,Seqs!$A:$B,2,0),AK86,1),"")</f>
        <v>E</v>
      </c>
      <c r="AK86" s="9">
        <v>227</v>
      </c>
      <c r="AL86" s="9" t="str">
        <f>IFERROR(MID(VLOOKUP($B86,Seqs!$A:$B,2,0),AM86,1),"")</f>
        <v>K</v>
      </c>
      <c r="AM86" s="9">
        <v>259</v>
      </c>
      <c r="AN86" s="9" t="str">
        <f>IFERROR(MID(VLOOKUP($B86,Seqs!$A:$B,2,0),AO86,1),"")</f>
        <v>L</v>
      </c>
      <c r="AO86" s="9">
        <v>482</v>
      </c>
      <c r="AP86" s="9" t="str">
        <f>IFERROR(MID(VLOOKUP($B86,Seqs!$A:$B,2,0),AQ86,1),"")</f>
        <v>C</v>
      </c>
      <c r="AQ86" s="9">
        <v>516</v>
      </c>
      <c r="AR86" s="9" t="str">
        <f>IFERROR(MID(VLOOKUP($B86,Seqs!$A:$B,2,0),AS86,1),"")</f>
        <v>P</v>
      </c>
      <c r="AS86" s="9">
        <v>521</v>
      </c>
      <c r="AT86" s="9" t="str">
        <f>IFERROR(MID(VLOOKUP($B86,Seqs!$A:$B,2,0),AU86,1),"")</f>
        <v>C</v>
      </c>
      <c r="AU86" s="9">
        <v>546</v>
      </c>
      <c r="AV86" s="9" t="str">
        <f>IFERROR(MID(VLOOKUP($B86,Seqs!$A:$B,2,0),AW86,1),"")</f>
        <v>N</v>
      </c>
      <c r="AW86" s="9">
        <v>547</v>
      </c>
      <c r="AX86" s="9" t="str">
        <f>IFERROR(MID(VLOOKUP($B86,Seqs!$A:$B,2,0),AY86,1),"")</f>
        <v>C</v>
      </c>
      <c r="AY86" s="9">
        <v>560</v>
      </c>
      <c r="AZ86" s="110" t="str">
        <f>VLOOKUP(B86,Classification!A:D,2,0)</f>
        <v>A</v>
      </c>
      <c r="BA86" s="98" t="str">
        <f>VLOOKUP(B86,Classification!A:D,4,0)</f>
        <v>Acetylcholine(muscarinic)</v>
      </c>
      <c r="BB86" s="36" t="b">
        <f t="shared" ref="BB86" si="562">AND(E86&lt;G86,OR(G86&lt;I86,I86="-"),OR(I86&lt;K86,I86="-"),OR(K86&lt;M86,K86="-"),M86&lt;O86,OR(O86&lt;Q86,Q86="-"),OR(Q86&lt;S86,Q86="-"),OR(S86&lt;U86,S86="-"),U86&lt;W86,OR(W86&lt;Y86,Y86="-"),OR(Y86&lt;AA86,Y86="-"),OR(AA86&lt;AC86,AA86="-"),AC86&lt;AE86,OR(AE86&lt;AG86,AG86="-"),OR(AG86&lt;AI86,AG86="-"),OR(AI86&lt;AK86,AI86="-"),AK86&lt;AM86,AM86&lt;AO86,AO86&lt;AQ86,AQ86&lt;AS86,AS86&lt;AU86,OR(AU86&lt;AW86,AW86="-"),OR(AW86&lt;AY86,AW86="-"))</f>
        <v>1</v>
      </c>
      <c r="BC86" s="109">
        <f t="shared" ref="BC86" si="563">_xlfn.AGGREGATE(9,6,CH86:CS86)-_xlfn.AGGREGATE(9,6,BV86:CG86)+12</f>
        <v>259</v>
      </c>
      <c r="BD86" s="11" t="s">
        <v>1377</v>
      </c>
      <c r="BE86" s="9" t="s">
        <v>1375</v>
      </c>
      <c r="BF86" s="120">
        <v>3.1</v>
      </c>
      <c r="BG86" s="51" t="s">
        <v>1282</v>
      </c>
      <c r="BH86" s="51" t="s">
        <v>1282</v>
      </c>
      <c r="BJ86" s="111" t="s">
        <v>1288</v>
      </c>
      <c r="BK86" s="112" t="s">
        <v>1288</v>
      </c>
      <c r="BL86" s="112" t="s">
        <v>1288</v>
      </c>
      <c r="BM86" s="112" t="s">
        <v>1288</v>
      </c>
      <c r="BN86" s="112" t="s">
        <v>1288</v>
      </c>
      <c r="BO86" s="112" t="s">
        <v>1288</v>
      </c>
      <c r="BP86" s="112" t="s">
        <v>1288</v>
      </c>
      <c r="BQ86" s="112" t="s">
        <v>1288</v>
      </c>
      <c r="BR86" s="112" t="s">
        <v>1288</v>
      </c>
      <c r="BS86" s="112" t="s">
        <v>1288</v>
      </c>
      <c r="BT86" s="112" t="s">
        <v>1288</v>
      </c>
      <c r="BU86" s="112" t="s">
        <v>1288</v>
      </c>
      <c r="BV86" s="111">
        <f t="shared" ref="BV86" si="564">E86</f>
        <v>63</v>
      </c>
      <c r="BW86" s="113">
        <f t="shared" ref="BW86" si="565">I86</f>
        <v>96</v>
      </c>
      <c r="BX86" s="114">
        <f t="shared" ref="BX86" si="566">M86</f>
        <v>100</v>
      </c>
      <c r="BY86" s="113">
        <f t="shared" ref="BY86" si="567">Q86</f>
        <v>132</v>
      </c>
      <c r="BZ86" s="114">
        <f t="shared" ref="BZ86" si="568">U86</f>
        <v>136</v>
      </c>
      <c r="CA86" s="113">
        <f t="shared" ref="CA86" si="569">Y86</f>
        <v>172</v>
      </c>
      <c r="CB86" s="114">
        <f t="shared" ref="CB86" si="570">AC86</f>
        <v>180</v>
      </c>
      <c r="CC86" s="113">
        <f t="shared" ref="CC86" si="571">AG86</f>
        <v>220</v>
      </c>
      <c r="CD86" s="114">
        <f t="shared" ref="CD86" si="572">AK86</f>
        <v>227</v>
      </c>
      <c r="CE86" s="113">
        <f t="shared" ref="CE86" si="573">AO86</f>
        <v>482</v>
      </c>
      <c r="CF86" s="114">
        <f t="shared" ref="CF86" si="574">AS86</f>
        <v>521</v>
      </c>
      <c r="CG86" s="113">
        <f t="shared" ref="CG86" si="575">AW86</f>
        <v>547</v>
      </c>
      <c r="CH86" s="111">
        <f t="shared" ref="CH86" si="576">G86</f>
        <v>95</v>
      </c>
      <c r="CI86" s="113">
        <f t="shared" ref="CI86" si="577">K86</f>
        <v>99</v>
      </c>
      <c r="CJ86" s="114">
        <f t="shared" ref="CJ86" si="578">O86</f>
        <v>130</v>
      </c>
      <c r="CK86" s="114">
        <f t="shared" ref="CK86" si="579">S86</f>
        <v>135</v>
      </c>
      <c r="CL86" s="114">
        <f t="shared" ref="CL86" si="580">W86</f>
        <v>171</v>
      </c>
      <c r="CM86" s="114">
        <f t="shared" ref="CM86" si="581">AA86</f>
        <v>179</v>
      </c>
      <c r="CN86" s="114">
        <f t="shared" ref="CN86" si="582">AE86</f>
        <v>211</v>
      </c>
      <c r="CO86" s="114">
        <f t="shared" ref="CO86" si="583">AI86</f>
        <v>222</v>
      </c>
      <c r="CP86" s="114">
        <f t="shared" ref="CP86" si="584">AM86</f>
        <v>259</v>
      </c>
      <c r="CQ86" s="114">
        <f t="shared" ref="CQ86" si="585">AQ86</f>
        <v>516</v>
      </c>
      <c r="CR86" s="114">
        <f t="shared" ref="CR86" si="586">AU86</f>
        <v>546</v>
      </c>
      <c r="CS86" s="114">
        <f t="shared" ref="CS86" si="587">AY86</f>
        <v>560</v>
      </c>
      <c r="CT86" s="109">
        <f t="shared" ref="CT86" si="588">M86-K86</f>
        <v>1</v>
      </c>
    </row>
    <row r="87" spans="1:1029" x14ac:dyDescent="0.2">
      <c r="A87" s="3" t="str">
        <f t="shared" si="391"/>
        <v>acm4_human__wt</v>
      </c>
      <c r="B87" s="3" t="s">
        <v>149</v>
      </c>
      <c r="C87" s="3" t="s">
        <v>100</v>
      </c>
      <c r="D87" s="3" t="str">
        <f>IFERROR(MID(VLOOKUP($B87,Seqs!$A:$B,2,0),E87,1),"")</f>
        <v>R</v>
      </c>
      <c r="E87" s="3">
        <v>26</v>
      </c>
      <c r="F87" s="3" t="str">
        <f>IFERROR(MID(VLOOKUP($B87,Seqs!$A:$B,2,0),G87,1),"")</f>
        <v>N</v>
      </c>
      <c r="G87" s="3">
        <v>60</v>
      </c>
      <c r="H87" s="3" t="str">
        <f>IFERROR(MID(VLOOKUP($B87,Seqs!$A:$B,2,0),I87,1),"")</f>
        <v>R</v>
      </c>
      <c r="I87" s="23">
        <v>61</v>
      </c>
      <c r="J87" s="3" t="str">
        <f>IFERROR(MID(VLOOKUP($B87,Seqs!$A:$B,2,0),K87,1),"")</f>
        <v>Q</v>
      </c>
      <c r="K87" s="23">
        <v>64</v>
      </c>
      <c r="L87" s="3" t="str">
        <f>IFERROR(MID(VLOOKUP($B87,Seqs!$A:$B,2,0),M87,1),"")</f>
        <v>T</v>
      </c>
      <c r="M87" s="3">
        <v>65</v>
      </c>
      <c r="N87" s="3" t="str">
        <f>IFERROR(MID(VLOOKUP($B87,Seqs!$A:$B,2,0),O87,1),"")</f>
        <v>K</v>
      </c>
      <c r="O87" s="3">
        <v>95</v>
      </c>
      <c r="P87" s="3" t="str">
        <f>IFERROR(MID(VLOOKUP($B87,Seqs!$A:$B,2,0),Q87,1),"")</f>
        <v>Y</v>
      </c>
      <c r="Q87" s="3">
        <v>97</v>
      </c>
      <c r="R87" s="3" t="str">
        <f>IFERROR(MID(VLOOKUP($B87,Seqs!$A:$B,2,0),S87,1),"")</f>
        <v>L</v>
      </c>
      <c r="S87" s="3">
        <v>100</v>
      </c>
      <c r="T87" s="3" t="str">
        <f>IFERROR(MID(VLOOKUP($B87,Seqs!$A:$B,2,0),U87,1),"")</f>
        <v>G</v>
      </c>
      <c r="U87" s="3">
        <v>101</v>
      </c>
      <c r="V87" s="3" t="str">
        <f>IFERROR(MID(VLOOKUP($B87,Seqs!$A:$B,2,0),W87,1),"")</f>
        <v>K</v>
      </c>
      <c r="W87" s="3">
        <v>136</v>
      </c>
      <c r="X87" s="3" t="str">
        <f>IFERROR(MID(VLOOKUP($B87,Seqs!$A:$B,2,0),Y87,1),"")</f>
        <v>P</v>
      </c>
      <c r="Y87" s="3">
        <v>137</v>
      </c>
      <c r="Z87" s="3" t="str">
        <f>IFERROR(MID(VLOOKUP($B87,Seqs!$A:$B,2,0),AA87,1),"")</f>
        <v>R</v>
      </c>
      <c r="AA87" s="3">
        <v>144</v>
      </c>
      <c r="AB87" s="3" t="str">
        <f>IFERROR(MID(VLOOKUP($B87,Seqs!$A:$B,2,0),AC87,1),"")</f>
        <v>T</v>
      </c>
      <c r="AC87" s="9">
        <v>145</v>
      </c>
      <c r="AD87" s="3" t="str">
        <f>IFERROR(MID(VLOOKUP($B87,Seqs!$A:$B,2,0),AE87,1),"")</f>
        <v>G</v>
      </c>
      <c r="AE87" s="3">
        <v>176</v>
      </c>
      <c r="AF87" s="3" t="str">
        <f>IFERROR(MID(VLOOKUP($B87,Seqs!$A:$B,2,0),AG87,1),"")</f>
        <v>C</v>
      </c>
      <c r="AG87" s="3">
        <v>185</v>
      </c>
      <c r="AH87" s="3" t="str">
        <f>IFERROR(MID(VLOOKUP($B87,Seqs!$A:$B,2,0),AI87,1),"")</f>
        <v>I</v>
      </c>
      <c r="AI87" s="3">
        <v>187</v>
      </c>
      <c r="AJ87" s="3" t="str">
        <f>IFERROR(MID(VLOOKUP($B87,Seqs!$A:$B,2,0),AK87,1),"")</f>
        <v>N</v>
      </c>
      <c r="AK87" s="3">
        <v>192</v>
      </c>
      <c r="AL87" s="3" t="str">
        <f>IFERROR(MID(VLOOKUP($B87,Seqs!$A:$B,2,0),AM87,1),"")</f>
        <v>E</v>
      </c>
      <c r="AM87" s="3">
        <v>232</v>
      </c>
      <c r="AN87" s="3" t="str">
        <f>IFERROR(MID(VLOOKUP($B87,Seqs!$A:$B,2,0),AO87,1),"")</f>
        <v>R</v>
      </c>
      <c r="AO87" s="3">
        <v>389</v>
      </c>
      <c r="AP87" s="3" t="str">
        <f>IFERROR(MID(VLOOKUP($B87,Seqs!$A:$B,2,0),AQ87,1),"")</f>
        <v>C</v>
      </c>
      <c r="AQ87" s="3">
        <v>426</v>
      </c>
      <c r="AR87" s="3" t="str">
        <f>IFERROR(MID(VLOOKUP($B87,Seqs!$A:$B,2,0),AS87,1),"")</f>
        <v>P</v>
      </c>
      <c r="AS87" s="3">
        <v>431</v>
      </c>
      <c r="AT87" s="3" t="str">
        <f>IFERROR(MID(VLOOKUP($B87,Seqs!$A:$B,2,0),AU87,1),"")</f>
        <v>C</v>
      </c>
      <c r="AU87" s="3">
        <v>456</v>
      </c>
      <c r="AV87" s="3" t="str">
        <f>IFERROR(MID(VLOOKUP($B87,Seqs!$A:$B,2,0),AW87,1),"")</f>
        <v>N</v>
      </c>
      <c r="AW87" s="3">
        <v>457</v>
      </c>
      <c r="AX87" s="3" t="str">
        <f>IFERROR(MID(VLOOKUP($B87,Seqs!$A:$B,2,0),AY87,1),"")</f>
        <v>L</v>
      </c>
      <c r="AY87" s="3">
        <v>469</v>
      </c>
      <c r="AZ87" s="77" t="str">
        <f>VLOOKUP(B87,Classification!A:D,2,0)</f>
        <v>A</v>
      </c>
      <c r="BA87" s="94" t="str">
        <f>VLOOKUP(B87,Classification!A:D,4,0)</f>
        <v>Acetylcholine(muscarinic)</v>
      </c>
      <c r="BB87" s="27" t="b">
        <f t="shared" si="392"/>
        <v>1</v>
      </c>
      <c r="BC87" s="23">
        <f t="shared" si="225"/>
        <v>271</v>
      </c>
      <c r="BD87" s="34" t="s">
        <v>23</v>
      </c>
      <c r="BE87" s="3" t="s">
        <v>23</v>
      </c>
      <c r="BF87" s="119" t="s">
        <v>23</v>
      </c>
      <c r="BG87" s="49" t="s">
        <v>1373</v>
      </c>
      <c r="BH87" s="49" t="s">
        <v>1378</v>
      </c>
      <c r="BI87" s="1"/>
      <c r="BJ87" s="70" t="s">
        <v>1288</v>
      </c>
      <c r="BK87" s="57" t="s">
        <v>1288</v>
      </c>
      <c r="BL87" s="57" t="s">
        <v>1288</v>
      </c>
      <c r="BM87" s="57" t="s">
        <v>1288</v>
      </c>
      <c r="BN87" s="57" t="s">
        <v>1288</v>
      </c>
      <c r="BO87" s="57" t="s">
        <v>1288</v>
      </c>
      <c r="BP87" s="57" t="s">
        <v>1288</v>
      </c>
      <c r="BQ87" s="57" t="s">
        <v>1288</v>
      </c>
      <c r="BR87" s="57" t="s">
        <v>1288</v>
      </c>
      <c r="BS87" s="57" t="s">
        <v>1288</v>
      </c>
      <c r="BT87" s="57" t="s">
        <v>1288</v>
      </c>
      <c r="BU87" s="57" t="s">
        <v>1288</v>
      </c>
      <c r="BV87" s="70">
        <f t="shared" si="226"/>
        <v>26</v>
      </c>
      <c r="BW87" s="71">
        <f t="shared" si="227"/>
        <v>61</v>
      </c>
      <c r="BX87" s="72">
        <f t="shared" si="228"/>
        <v>65</v>
      </c>
      <c r="BY87" s="71">
        <f t="shared" si="229"/>
        <v>97</v>
      </c>
      <c r="BZ87" s="72">
        <f t="shared" si="230"/>
        <v>101</v>
      </c>
      <c r="CA87" s="71">
        <f t="shared" si="231"/>
        <v>137</v>
      </c>
      <c r="CB87" s="72">
        <f t="shared" si="232"/>
        <v>145</v>
      </c>
      <c r="CC87" s="71">
        <f t="shared" si="233"/>
        <v>185</v>
      </c>
      <c r="CD87" s="72">
        <f t="shared" si="234"/>
        <v>192</v>
      </c>
      <c r="CE87" s="71">
        <f t="shared" si="235"/>
        <v>389</v>
      </c>
      <c r="CF87" s="72">
        <f t="shared" si="236"/>
        <v>431</v>
      </c>
      <c r="CG87" s="71">
        <f t="shared" si="237"/>
        <v>457</v>
      </c>
      <c r="CH87" s="70">
        <f t="shared" si="238"/>
        <v>60</v>
      </c>
      <c r="CI87" s="71">
        <f t="shared" si="239"/>
        <v>64</v>
      </c>
      <c r="CJ87" s="72">
        <f t="shared" si="240"/>
        <v>95</v>
      </c>
      <c r="CK87" s="72">
        <f t="shared" si="241"/>
        <v>100</v>
      </c>
      <c r="CL87" s="72">
        <f t="shared" si="242"/>
        <v>136</v>
      </c>
      <c r="CM87" s="72">
        <f t="shared" si="243"/>
        <v>144</v>
      </c>
      <c r="CN87" s="72">
        <f t="shared" si="244"/>
        <v>176</v>
      </c>
      <c r="CO87" s="72">
        <f t="shared" si="245"/>
        <v>187</v>
      </c>
      <c r="CP87" s="72">
        <f t="shared" si="246"/>
        <v>232</v>
      </c>
      <c r="CQ87" s="72">
        <f t="shared" si="247"/>
        <v>426</v>
      </c>
      <c r="CR87" s="72">
        <f t="shared" si="248"/>
        <v>456</v>
      </c>
      <c r="CS87" s="72">
        <f t="shared" si="249"/>
        <v>469</v>
      </c>
      <c r="CT87" s="23">
        <f t="shared" si="250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391"/>
        <v>acm4_human_5DSG</v>
      </c>
      <c r="B88" s="3" t="s">
        <v>149</v>
      </c>
      <c r="C88" s="3" t="s">
        <v>61</v>
      </c>
      <c r="D88" s="3" t="str">
        <f>IFERROR(MID(VLOOKUP($B88,Seqs!$A:$B,2,0),E88,1),"")</f>
        <v>R</v>
      </c>
      <c r="E88" s="3">
        <v>26</v>
      </c>
      <c r="F88" s="3" t="str">
        <f>IFERROR(MID(VLOOKUP($B88,Seqs!$A:$B,2,0),G88,1),"")</f>
        <v>N</v>
      </c>
      <c r="G88" s="3">
        <v>60</v>
      </c>
      <c r="H88" s="3" t="str">
        <f>IFERROR(MID(VLOOKUP($B88,Seqs!$A:$B,2,0),I88,1),"")</f>
        <v>R</v>
      </c>
      <c r="I88" s="23">
        <v>61</v>
      </c>
      <c r="J88" s="3" t="str">
        <f>IFERROR(MID(VLOOKUP($B88,Seqs!$A:$B,2,0),K88,1),"")</f>
        <v>Q</v>
      </c>
      <c r="K88" s="23">
        <v>64</v>
      </c>
      <c r="L88" s="3" t="str">
        <f>IFERROR(MID(VLOOKUP($B88,Seqs!$A:$B,2,0),M88,1),"")</f>
        <v>T</v>
      </c>
      <c r="M88" s="3">
        <v>65</v>
      </c>
      <c r="N88" s="3" t="str">
        <f>IFERROR(MID(VLOOKUP($B88,Seqs!$A:$B,2,0),O88,1),"")</f>
        <v>K</v>
      </c>
      <c r="O88" s="3">
        <v>95</v>
      </c>
      <c r="P88" s="3" t="str">
        <f>IFERROR(MID(VLOOKUP($B88,Seqs!$A:$B,2,0),Q88,1),"")</f>
        <v>Y</v>
      </c>
      <c r="Q88" s="3">
        <v>97</v>
      </c>
      <c r="R88" s="3" t="str">
        <f>IFERROR(MID(VLOOKUP($B88,Seqs!$A:$B,2,0),S88,1),"")</f>
        <v>L</v>
      </c>
      <c r="S88" s="3">
        <v>100</v>
      </c>
      <c r="T88" s="3" t="str">
        <f>IFERROR(MID(VLOOKUP($B88,Seqs!$A:$B,2,0),U88,1),"")</f>
        <v>G</v>
      </c>
      <c r="U88" s="3">
        <v>101</v>
      </c>
      <c r="V88" s="3" t="str">
        <f>IFERROR(MID(VLOOKUP($B88,Seqs!$A:$B,2,0),W88,1),"")</f>
        <v>K</v>
      </c>
      <c r="W88" s="3">
        <v>136</v>
      </c>
      <c r="X88" s="3" t="str">
        <f>IFERROR(MID(VLOOKUP($B88,Seqs!$A:$B,2,0),Y88,1),"")</f>
        <v>P</v>
      </c>
      <c r="Y88" s="3">
        <v>137</v>
      </c>
      <c r="Z88" s="3" t="str">
        <f>IFERROR(MID(VLOOKUP($B88,Seqs!$A:$B,2,0),AA88,1),"")</f>
        <v>R</v>
      </c>
      <c r="AA88" s="3">
        <v>144</v>
      </c>
      <c r="AB88" s="3" t="str">
        <f>IFERROR(MID(VLOOKUP($B88,Seqs!$A:$B,2,0),AC88,1),"")</f>
        <v>T</v>
      </c>
      <c r="AC88" s="9">
        <v>145</v>
      </c>
      <c r="AD88" s="3" t="str">
        <f>IFERROR(MID(VLOOKUP($B88,Seqs!$A:$B,2,0),AE88,1),"")</f>
        <v>G</v>
      </c>
      <c r="AE88" s="3">
        <v>176</v>
      </c>
      <c r="AF88" s="3" t="str">
        <f>IFERROR(MID(VLOOKUP($B88,Seqs!$A:$B,2,0),AG88,1),"")</f>
        <v>C</v>
      </c>
      <c r="AG88" s="3">
        <v>185</v>
      </c>
      <c r="AH88" s="3" t="str">
        <f>IFERROR(MID(VLOOKUP($B88,Seqs!$A:$B,2,0),AI88,1),"")</f>
        <v>I</v>
      </c>
      <c r="AI88" s="3">
        <v>187</v>
      </c>
      <c r="AJ88" s="3" t="str">
        <f>IFERROR(MID(VLOOKUP($B88,Seqs!$A:$B,2,0),AK88,1),"")</f>
        <v>N</v>
      </c>
      <c r="AK88" s="3">
        <v>192</v>
      </c>
      <c r="AL88" s="3" t="str">
        <f>IFERROR(MID(VLOOKUP($B88,Seqs!$A:$B,2,0),AM88,1),"")</f>
        <v>L</v>
      </c>
      <c r="AM88" s="3">
        <v>220</v>
      </c>
      <c r="AN88" s="3" t="str">
        <f>IFERROR(MID(VLOOKUP($B88,Seqs!$A:$B,2,0),AO88,1),"")</f>
        <v>R</v>
      </c>
      <c r="AO88" s="3">
        <v>396</v>
      </c>
      <c r="AP88" s="3" t="str">
        <f>IFERROR(MID(VLOOKUP($B88,Seqs!$A:$B,2,0),AQ88,1),"")</f>
        <v>C</v>
      </c>
      <c r="AQ88" s="3">
        <v>426</v>
      </c>
      <c r="AR88" s="3" t="str">
        <f>IFERROR(MID(VLOOKUP($B88,Seqs!$A:$B,2,0),AS88,1),"")</f>
        <v>P</v>
      </c>
      <c r="AS88" s="3">
        <v>431</v>
      </c>
      <c r="AT88" s="3" t="str">
        <f>IFERROR(MID(VLOOKUP($B88,Seqs!$A:$B,2,0),AU88,1),"")</f>
        <v>C</v>
      </c>
      <c r="AU88" s="3">
        <v>456</v>
      </c>
      <c r="AV88" s="3" t="str">
        <f>IFERROR(MID(VLOOKUP($B88,Seqs!$A:$B,2,0),AW88,1),"")</f>
        <v>N</v>
      </c>
      <c r="AW88" s="3">
        <v>457</v>
      </c>
      <c r="AX88" s="3" t="str">
        <f>IFERROR(MID(VLOOKUP($B88,Seqs!$A:$B,2,0),AY88,1),"")</f>
        <v>L</v>
      </c>
      <c r="AY88" s="3">
        <v>469</v>
      </c>
      <c r="AZ88" s="77" t="str">
        <f>VLOOKUP(B88,Classification!A:D,2,0)</f>
        <v>A</v>
      </c>
      <c r="BA88" s="94" t="str">
        <f>VLOOKUP(B88,Classification!A:D,4,0)</f>
        <v>Acetylcholine(muscarinic)</v>
      </c>
      <c r="BB88" s="27" t="b">
        <f t="shared" si="392"/>
        <v>1</v>
      </c>
      <c r="BC88" s="23">
        <f t="shared" si="225"/>
        <v>252</v>
      </c>
      <c r="BD88" s="2" t="s">
        <v>1377</v>
      </c>
      <c r="BE88" s="3" t="s">
        <v>1375</v>
      </c>
      <c r="BF88" s="119">
        <v>2.6</v>
      </c>
      <c r="BG88" s="49" t="s">
        <v>1378</v>
      </c>
      <c r="BH88" s="49" t="s">
        <v>1378</v>
      </c>
      <c r="BI88" s="1"/>
      <c r="BJ88" s="70" t="s">
        <v>1288</v>
      </c>
      <c r="BK88" s="57" t="s">
        <v>1288</v>
      </c>
      <c r="BL88" s="57" t="s">
        <v>1288</v>
      </c>
      <c r="BM88" s="57" t="s">
        <v>1288</v>
      </c>
      <c r="BN88" s="57" t="s">
        <v>1288</v>
      </c>
      <c r="BO88" s="57" t="s">
        <v>1288</v>
      </c>
      <c r="BP88" s="57" t="s">
        <v>1288</v>
      </c>
      <c r="BQ88" s="57" t="s">
        <v>1288</v>
      </c>
      <c r="BR88" s="57" t="s">
        <v>1288</v>
      </c>
      <c r="BS88" s="57" t="s">
        <v>1288</v>
      </c>
      <c r="BT88" s="57" t="s">
        <v>1288</v>
      </c>
      <c r="BU88" s="57" t="s">
        <v>1288</v>
      </c>
      <c r="BV88" s="70">
        <f t="shared" si="226"/>
        <v>26</v>
      </c>
      <c r="BW88" s="71">
        <f t="shared" si="227"/>
        <v>61</v>
      </c>
      <c r="BX88" s="72">
        <f t="shared" si="228"/>
        <v>65</v>
      </c>
      <c r="BY88" s="71">
        <f t="shared" si="229"/>
        <v>97</v>
      </c>
      <c r="BZ88" s="72">
        <f t="shared" si="230"/>
        <v>101</v>
      </c>
      <c r="CA88" s="71">
        <f t="shared" si="231"/>
        <v>137</v>
      </c>
      <c r="CB88" s="72">
        <f t="shared" si="232"/>
        <v>145</v>
      </c>
      <c r="CC88" s="71">
        <f t="shared" si="233"/>
        <v>185</v>
      </c>
      <c r="CD88" s="72">
        <f t="shared" si="234"/>
        <v>192</v>
      </c>
      <c r="CE88" s="71">
        <f t="shared" si="235"/>
        <v>396</v>
      </c>
      <c r="CF88" s="72">
        <f t="shared" si="236"/>
        <v>431</v>
      </c>
      <c r="CG88" s="71">
        <f t="shared" si="237"/>
        <v>457</v>
      </c>
      <c r="CH88" s="70">
        <f t="shared" si="238"/>
        <v>60</v>
      </c>
      <c r="CI88" s="71">
        <f t="shared" si="239"/>
        <v>64</v>
      </c>
      <c r="CJ88" s="72">
        <f t="shared" si="240"/>
        <v>95</v>
      </c>
      <c r="CK88" s="72">
        <f t="shared" si="241"/>
        <v>100</v>
      </c>
      <c r="CL88" s="72">
        <f t="shared" si="242"/>
        <v>136</v>
      </c>
      <c r="CM88" s="72">
        <f t="shared" si="243"/>
        <v>144</v>
      </c>
      <c r="CN88" s="72">
        <f t="shared" si="244"/>
        <v>176</v>
      </c>
      <c r="CO88" s="72">
        <f t="shared" si="245"/>
        <v>187</v>
      </c>
      <c r="CP88" s="72">
        <f t="shared" si="246"/>
        <v>220</v>
      </c>
      <c r="CQ88" s="72">
        <f t="shared" si="247"/>
        <v>426</v>
      </c>
      <c r="CR88" s="72">
        <f t="shared" si="248"/>
        <v>456</v>
      </c>
      <c r="CS88" s="72">
        <f t="shared" si="249"/>
        <v>469</v>
      </c>
      <c r="CT88" s="23">
        <f t="shared" si="250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391"/>
        <v>adrb1_melga__wt</v>
      </c>
      <c r="B89" s="3" t="s">
        <v>912</v>
      </c>
      <c r="C89" s="3" t="s">
        <v>100</v>
      </c>
      <c r="D89" s="3" t="str">
        <f>IFERROR(MID(VLOOKUP($B89,Seqs!$A:$B,2,0),E89,1),"")</f>
        <v>A</v>
      </c>
      <c r="E89" s="3">
        <v>33</v>
      </c>
      <c r="F89" s="3" t="str">
        <f>IFERROR(MID(VLOOKUP($B89,Seqs!$A:$B,2,0),G89,1),"")</f>
        <v>T</v>
      </c>
      <c r="G89" s="3">
        <v>69</v>
      </c>
      <c r="H89" s="3" t="str">
        <f>IFERROR(MID(VLOOKUP($B89,Seqs!$A:$B,2,0),I89,1),"")</f>
        <v>Q</v>
      </c>
      <c r="I89" s="23">
        <v>70</v>
      </c>
      <c r="J89" s="3" t="str">
        <f>IFERROR(MID(VLOOKUP($B89,Seqs!$A:$B,2,0),K89,1),"")</f>
        <v>Q</v>
      </c>
      <c r="K89" s="23">
        <v>73</v>
      </c>
      <c r="L89" s="3" t="str">
        <f>IFERROR(MID(VLOOKUP($B89,Seqs!$A:$B,2,0),M89,1),"")</f>
        <v>T</v>
      </c>
      <c r="M89" s="3">
        <v>74</v>
      </c>
      <c r="N89" s="3" t="str">
        <f>IFERROR(MID(VLOOKUP($B89,Seqs!$A:$B,2,0),O89,1),"")</f>
        <v>R</v>
      </c>
      <c r="O89" s="3">
        <v>104</v>
      </c>
      <c r="P89" s="3" t="str">
        <f>IFERROR(MID(VLOOKUP($B89,Seqs!$A:$B,2,0),Q89,1),"")</f>
        <v>T</v>
      </c>
      <c r="Q89" s="3">
        <v>106</v>
      </c>
      <c r="R89" s="3" t="str">
        <f>IFERROR(MID(VLOOKUP($B89,Seqs!$A:$B,2,0),S89,1),"")</f>
        <v>W</v>
      </c>
      <c r="S89" s="3">
        <v>109</v>
      </c>
      <c r="T89" s="3" t="str">
        <f>IFERROR(MID(VLOOKUP($B89,Seqs!$A:$B,2,0),U89,1),"")</f>
        <v>G</v>
      </c>
      <c r="U89" s="3">
        <v>110</v>
      </c>
      <c r="V89" s="3" t="str">
        <f>IFERROR(MID(VLOOKUP($B89,Seqs!$A:$B,2,0),W89,1),"")</f>
        <v>S</v>
      </c>
      <c r="W89" s="3">
        <v>145</v>
      </c>
      <c r="X89" s="3" t="str">
        <f>IFERROR(MID(VLOOKUP($B89,Seqs!$A:$B,2,0),Y89,1),"")</f>
        <v>P</v>
      </c>
      <c r="Y89" s="3">
        <v>146</v>
      </c>
      <c r="Z89" s="3" t="str">
        <f>IFERROR(MID(VLOOKUP($B89,Seqs!$A:$B,2,0),AA89,1),"")</f>
        <v>M</v>
      </c>
      <c r="AA89" s="3">
        <v>153</v>
      </c>
      <c r="AB89" s="3" t="str">
        <f>IFERROR(MID(VLOOKUP($B89,Seqs!$A:$B,2,0),AC89,1),"")</f>
        <v>T</v>
      </c>
      <c r="AC89" s="9">
        <v>154</v>
      </c>
      <c r="AD89" s="3" t="str">
        <f>IFERROR(MID(VLOOKUP($B89,Seqs!$A:$B,2,0),AE89,1),"")</f>
        <v>H</v>
      </c>
      <c r="AE89" s="3">
        <v>180</v>
      </c>
      <c r="AF89" s="3" t="str">
        <f>IFERROR(MID(VLOOKUP($B89,Seqs!$A:$B,2,0),AG89,1),"")</f>
        <v>C</v>
      </c>
      <c r="AG89" s="3">
        <v>199</v>
      </c>
      <c r="AH89" s="3" t="str">
        <f>IFERROR(MID(VLOOKUP($B89,Seqs!$A:$B,2,0),AI89,1),"")</f>
        <v>F</v>
      </c>
      <c r="AI89" s="3">
        <v>201</v>
      </c>
      <c r="AJ89" s="3" t="str">
        <f>IFERROR(MID(VLOOKUP($B89,Seqs!$A:$B,2,0),AK89,1),"")</f>
        <v>N</v>
      </c>
      <c r="AK89" s="3">
        <v>204</v>
      </c>
      <c r="AL89" s="3" t="str">
        <f>IFERROR(MID(VLOOKUP($B89,Seqs!$A:$B,2,0),AM89,1),"")</f>
        <v>E</v>
      </c>
      <c r="AM89" s="3">
        <v>245</v>
      </c>
      <c r="AN89" s="3" t="str">
        <f>IFERROR(MID(VLOOKUP($B89,Seqs!$A:$B,2,0),AO89,1),"")</f>
        <v>R</v>
      </c>
      <c r="AO89" s="3">
        <v>275</v>
      </c>
      <c r="AP89" s="3" t="str">
        <f>IFERROR(MID(VLOOKUP($B89,Seqs!$A:$B,2,0),AQ89,1),"")</f>
        <v>N</v>
      </c>
      <c r="AQ89" s="3">
        <v>316</v>
      </c>
      <c r="AR89" s="3" t="str">
        <f>IFERROR(MID(VLOOKUP($B89,Seqs!$A:$B,2,0),AS89,1),"")</f>
        <v>P</v>
      </c>
      <c r="AS89" s="3">
        <v>321</v>
      </c>
      <c r="AT89" s="3" t="str">
        <f>IFERROR(MID(VLOOKUP($B89,Seqs!$A:$B,2,0),AU89,1),"")</f>
        <v>R</v>
      </c>
      <c r="AU89" s="3">
        <v>345</v>
      </c>
      <c r="AV89" s="3" t="str">
        <f>IFERROR(MID(VLOOKUP($B89,Seqs!$A:$B,2,0),AW89,1),"")</f>
        <v>S</v>
      </c>
      <c r="AW89" s="3">
        <v>346</v>
      </c>
      <c r="AX89" s="3" t="str">
        <f>IFERROR(MID(VLOOKUP($B89,Seqs!$A:$B,2,0),AY89,1),"")</f>
        <v>C</v>
      </c>
      <c r="AY89" s="3">
        <v>358</v>
      </c>
      <c r="AZ89" s="77" t="str">
        <f>VLOOKUP(B89,Classification!A:D,2,0)</f>
        <v>A</v>
      </c>
      <c r="BA89" s="94" t="str">
        <f>VLOOKUP(B89,Classification!A:D,4,0)</f>
        <v>Adrenoceptors</v>
      </c>
      <c r="BB89" s="27" t="b">
        <f t="shared" si="392"/>
        <v>1</v>
      </c>
      <c r="BC89" s="23">
        <f t="shared" si="225"/>
        <v>272</v>
      </c>
      <c r="BD89" s="34" t="s">
        <v>23</v>
      </c>
      <c r="BE89" s="3" t="s">
        <v>23</v>
      </c>
      <c r="BF89" s="119" t="s">
        <v>23</v>
      </c>
      <c r="BG89" s="49" t="s">
        <v>1373</v>
      </c>
      <c r="BH89" s="49" t="s">
        <v>1378</v>
      </c>
      <c r="BI89" s="3" t="s">
        <v>1166</v>
      </c>
      <c r="BJ89" s="70" t="s">
        <v>1288</v>
      </c>
      <c r="BK89" s="57" t="s">
        <v>1288</v>
      </c>
      <c r="BL89" s="57" t="s">
        <v>1288</v>
      </c>
      <c r="BM89" s="57" t="s">
        <v>1288</v>
      </c>
      <c r="BN89" s="57" t="s">
        <v>1288</v>
      </c>
      <c r="BO89" s="57" t="s">
        <v>1288</v>
      </c>
      <c r="BP89" s="57" t="s">
        <v>1288</v>
      </c>
      <c r="BQ89" s="57" t="s">
        <v>1288</v>
      </c>
      <c r="BR89" s="57" t="s">
        <v>1288</v>
      </c>
      <c r="BS89" s="57" t="s">
        <v>1288</v>
      </c>
      <c r="BT89" s="57" t="s">
        <v>1288</v>
      </c>
      <c r="BU89" s="57" t="s">
        <v>1288</v>
      </c>
      <c r="BV89" s="70">
        <f t="shared" si="226"/>
        <v>33</v>
      </c>
      <c r="BW89" s="71">
        <f t="shared" si="227"/>
        <v>70</v>
      </c>
      <c r="BX89" s="72">
        <f t="shared" si="228"/>
        <v>74</v>
      </c>
      <c r="BY89" s="71">
        <f t="shared" si="229"/>
        <v>106</v>
      </c>
      <c r="BZ89" s="72">
        <f t="shared" si="230"/>
        <v>110</v>
      </c>
      <c r="CA89" s="71">
        <f t="shared" si="231"/>
        <v>146</v>
      </c>
      <c r="CB89" s="72">
        <f t="shared" si="232"/>
        <v>154</v>
      </c>
      <c r="CC89" s="71">
        <f t="shared" si="233"/>
        <v>199</v>
      </c>
      <c r="CD89" s="72">
        <f t="shared" si="234"/>
        <v>204</v>
      </c>
      <c r="CE89" s="71">
        <f t="shared" si="235"/>
        <v>275</v>
      </c>
      <c r="CF89" s="72">
        <f t="shared" si="236"/>
        <v>321</v>
      </c>
      <c r="CG89" s="71">
        <f t="shared" si="237"/>
        <v>346</v>
      </c>
      <c r="CH89" s="70">
        <f t="shared" si="238"/>
        <v>69</v>
      </c>
      <c r="CI89" s="71">
        <f t="shared" si="239"/>
        <v>73</v>
      </c>
      <c r="CJ89" s="72">
        <f t="shared" si="240"/>
        <v>104</v>
      </c>
      <c r="CK89" s="72">
        <f t="shared" si="241"/>
        <v>109</v>
      </c>
      <c r="CL89" s="72">
        <f t="shared" si="242"/>
        <v>145</v>
      </c>
      <c r="CM89" s="72">
        <f t="shared" si="243"/>
        <v>153</v>
      </c>
      <c r="CN89" s="72">
        <f t="shared" si="244"/>
        <v>180</v>
      </c>
      <c r="CO89" s="72">
        <f t="shared" si="245"/>
        <v>201</v>
      </c>
      <c r="CP89" s="72">
        <f t="shared" si="246"/>
        <v>245</v>
      </c>
      <c r="CQ89" s="72">
        <f t="shared" si="247"/>
        <v>316</v>
      </c>
      <c r="CR89" s="72">
        <f t="shared" si="248"/>
        <v>345</v>
      </c>
      <c r="CS89" s="72">
        <f t="shared" si="249"/>
        <v>358</v>
      </c>
      <c r="CT89" s="23">
        <f t="shared" si="250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391"/>
        <v>adrb1_melga_2Y00</v>
      </c>
      <c r="B90" s="3" t="s">
        <v>912</v>
      </c>
      <c r="C90" s="3" t="s">
        <v>1023</v>
      </c>
      <c r="D90" s="3" t="str">
        <f>IFERROR(MID(VLOOKUP($B90,Seqs!$A:$B,2,0),E90,1),"")</f>
        <v>A</v>
      </c>
      <c r="E90" s="3">
        <v>33</v>
      </c>
      <c r="F90" s="3" t="str">
        <f>IFERROR(MID(VLOOKUP($B90,Seqs!$A:$B,2,0),G90,1),"")</f>
        <v>T</v>
      </c>
      <c r="G90" s="3">
        <v>69</v>
      </c>
      <c r="H90" s="3" t="str">
        <f>IFERROR(MID(VLOOKUP($B90,Seqs!$A:$B,2,0),I90,1),"")</f>
        <v>Q</v>
      </c>
      <c r="I90" s="23">
        <v>70</v>
      </c>
      <c r="J90" s="3" t="str">
        <f>IFERROR(MID(VLOOKUP($B90,Seqs!$A:$B,2,0),K90,1),"")</f>
        <v>Q</v>
      </c>
      <c r="K90" s="23">
        <v>73</v>
      </c>
      <c r="L90" s="3" t="str">
        <f>IFERROR(MID(VLOOKUP($B90,Seqs!$A:$B,2,0),M90,1),"")</f>
        <v>T</v>
      </c>
      <c r="M90" s="3">
        <v>74</v>
      </c>
      <c r="N90" s="3" t="str">
        <f>IFERROR(MID(VLOOKUP($B90,Seqs!$A:$B,2,0),O90,1),"")</f>
        <v>R</v>
      </c>
      <c r="O90" s="3">
        <v>104</v>
      </c>
      <c r="P90" s="3" t="str">
        <f>IFERROR(MID(VLOOKUP($B90,Seqs!$A:$B,2,0),Q90,1),"")</f>
        <v>T</v>
      </c>
      <c r="Q90" s="3">
        <v>106</v>
      </c>
      <c r="R90" s="3" t="str">
        <f>IFERROR(MID(VLOOKUP($B90,Seqs!$A:$B,2,0),S90,1),"")</f>
        <v>W</v>
      </c>
      <c r="S90" s="3">
        <v>109</v>
      </c>
      <c r="T90" s="3" t="str">
        <f>IFERROR(MID(VLOOKUP($B90,Seqs!$A:$B,2,0),U90,1),"")</f>
        <v>G</v>
      </c>
      <c r="U90" s="3">
        <v>110</v>
      </c>
      <c r="V90" s="3" t="str">
        <f>IFERROR(MID(VLOOKUP($B90,Seqs!$A:$B,2,0),W90,1),"")</f>
        <v>S</v>
      </c>
      <c r="W90" s="3">
        <v>145</v>
      </c>
      <c r="X90" s="3" t="str">
        <f>IFERROR(MID(VLOOKUP($B90,Seqs!$A:$B,2,0),Y90,1),"")</f>
        <v>P</v>
      </c>
      <c r="Y90" s="3">
        <v>146</v>
      </c>
      <c r="Z90" s="3" t="str">
        <f>IFERROR(MID(VLOOKUP($B90,Seqs!$A:$B,2,0),AA90,1),"")</f>
        <v>M</v>
      </c>
      <c r="AA90" s="3">
        <v>153</v>
      </c>
      <c r="AB90" s="3" t="str">
        <f>IFERROR(MID(VLOOKUP($B90,Seqs!$A:$B,2,0),AC90,1),"")</f>
        <v>T</v>
      </c>
      <c r="AC90" s="9">
        <v>154</v>
      </c>
      <c r="AD90" s="3" t="str">
        <f>IFERROR(MID(VLOOKUP($B90,Seqs!$A:$B,2,0),AE90,1),"")</f>
        <v>H</v>
      </c>
      <c r="AE90" s="3">
        <v>180</v>
      </c>
      <c r="AF90" s="3" t="str">
        <f>IFERROR(MID(VLOOKUP($B90,Seqs!$A:$B,2,0),AG90,1),"")</f>
        <v>C</v>
      </c>
      <c r="AG90" s="3">
        <v>199</v>
      </c>
      <c r="AH90" s="3" t="str">
        <f>IFERROR(MID(VLOOKUP($B90,Seqs!$A:$B,2,0),AI90,1),"")</f>
        <v>F</v>
      </c>
      <c r="AI90" s="3">
        <v>201</v>
      </c>
      <c r="AJ90" s="3" t="str">
        <f>IFERROR(MID(VLOOKUP($B90,Seqs!$A:$B,2,0),AK90,1),"")</f>
        <v>N</v>
      </c>
      <c r="AK90" s="3">
        <v>204</v>
      </c>
      <c r="AL90" s="3" t="str">
        <f>IFERROR(MID(VLOOKUP($B90,Seqs!$A:$B,2,0),AM90,1),"")</f>
        <v>I</v>
      </c>
      <c r="AM90" s="3">
        <v>238</v>
      </c>
      <c r="AN90" s="3" t="str">
        <f>IFERROR(MID(VLOOKUP($B90,Seqs!$A:$B,2,0),AO90,1),"")</f>
        <v>R</v>
      </c>
      <c r="AO90" s="3">
        <v>275</v>
      </c>
      <c r="AP90" s="3" t="str">
        <f>IFERROR(MID(VLOOKUP($B90,Seqs!$A:$B,2,0),AQ90,1),"")</f>
        <v>N</v>
      </c>
      <c r="AQ90" s="3">
        <v>316</v>
      </c>
      <c r="AR90" s="3" t="str">
        <f>IFERROR(MID(VLOOKUP($B90,Seqs!$A:$B,2,0),AS90,1),"")</f>
        <v>P</v>
      </c>
      <c r="AS90" s="3">
        <v>321</v>
      </c>
      <c r="AT90" s="3" t="str">
        <f>IFERROR(MID(VLOOKUP($B90,Seqs!$A:$B,2,0),AU90,1),"")</f>
        <v>R</v>
      </c>
      <c r="AU90" s="3">
        <v>345</v>
      </c>
      <c r="AV90" s="3" t="str">
        <f>IFERROR(MID(VLOOKUP($B90,Seqs!$A:$B,2,0),AW90,1),"")</f>
        <v>S</v>
      </c>
      <c r="AW90" s="3">
        <v>346</v>
      </c>
      <c r="AX90" s="3" t="str">
        <f>IFERROR(MID(VLOOKUP($B90,Seqs!$A:$B,2,0),AY90,1),"")</f>
        <v>C</v>
      </c>
      <c r="AY90" s="3">
        <v>358</v>
      </c>
      <c r="AZ90" s="77" t="str">
        <f>VLOOKUP(B90,Classification!A:D,2,0)</f>
        <v>A</v>
      </c>
      <c r="BA90" s="94" t="str">
        <f>VLOOKUP(B90,Classification!A:D,4,0)</f>
        <v>Adrenoceptors</v>
      </c>
      <c r="BB90" s="27" t="b">
        <f t="shared" si="392"/>
        <v>1</v>
      </c>
      <c r="BC90" s="23">
        <f t="shared" si="225"/>
        <v>265</v>
      </c>
      <c r="BD90" s="4" t="s">
        <v>23</v>
      </c>
      <c r="BE90" s="3" t="s">
        <v>1375</v>
      </c>
      <c r="BF90" s="119">
        <v>2.5</v>
      </c>
      <c r="BG90" s="49" t="s">
        <v>1378</v>
      </c>
      <c r="BH90" s="49" t="s">
        <v>1378</v>
      </c>
      <c r="BI90" s="1"/>
      <c r="BJ90" s="70" t="s">
        <v>1288</v>
      </c>
      <c r="BK90" s="57" t="s">
        <v>1288</v>
      </c>
      <c r="BL90" s="57" t="s">
        <v>1288</v>
      </c>
      <c r="BM90" s="57" t="s">
        <v>1288</v>
      </c>
      <c r="BN90" s="57" t="s">
        <v>1288</v>
      </c>
      <c r="BO90" s="57" t="s">
        <v>1288</v>
      </c>
      <c r="BP90" s="57" t="s">
        <v>1288</v>
      </c>
      <c r="BQ90" s="57" t="s">
        <v>1288</v>
      </c>
      <c r="BR90" s="57" t="s">
        <v>1288</v>
      </c>
      <c r="BS90" s="57" t="s">
        <v>1288</v>
      </c>
      <c r="BT90" s="57" t="s">
        <v>1288</v>
      </c>
      <c r="BU90" s="57" t="s">
        <v>1288</v>
      </c>
      <c r="BV90" s="70">
        <f t="shared" si="226"/>
        <v>33</v>
      </c>
      <c r="BW90" s="71">
        <f t="shared" si="227"/>
        <v>70</v>
      </c>
      <c r="BX90" s="72">
        <f t="shared" si="228"/>
        <v>74</v>
      </c>
      <c r="BY90" s="71">
        <f t="shared" si="229"/>
        <v>106</v>
      </c>
      <c r="BZ90" s="72">
        <f t="shared" si="230"/>
        <v>110</v>
      </c>
      <c r="CA90" s="71">
        <f t="shared" si="231"/>
        <v>146</v>
      </c>
      <c r="CB90" s="72">
        <f t="shared" si="232"/>
        <v>154</v>
      </c>
      <c r="CC90" s="71">
        <f t="shared" si="233"/>
        <v>199</v>
      </c>
      <c r="CD90" s="72">
        <f t="shared" si="234"/>
        <v>204</v>
      </c>
      <c r="CE90" s="71">
        <f t="shared" si="235"/>
        <v>275</v>
      </c>
      <c r="CF90" s="72">
        <f t="shared" si="236"/>
        <v>321</v>
      </c>
      <c r="CG90" s="71">
        <f t="shared" si="237"/>
        <v>346</v>
      </c>
      <c r="CH90" s="70">
        <f t="shared" si="238"/>
        <v>69</v>
      </c>
      <c r="CI90" s="71">
        <f t="shared" si="239"/>
        <v>73</v>
      </c>
      <c r="CJ90" s="72">
        <f t="shared" si="240"/>
        <v>104</v>
      </c>
      <c r="CK90" s="72">
        <f t="shared" si="241"/>
        <v>109</v>
      </c>
      <c r="CL90" s="72">
        <f t="shared" si="242"/>
        <v>145</v>
      </c>
      <c r="CM90" s="72">
        <f t="shared" si="243"/>
        <v>153</v>
      </c>
      <c r="CN90" s="72">
        <f t="shared" si="244"/>
        <v>180</v>
      </c>
      <c r="CO90" s="72">
        <f t="shared" si="245"/>
        <v>201</v>
      </c>
      <c r="CP90" s="72">
        <f t="shared" si="246"/>
        <v>238</v>
      </c>
      <c r="CQ90" s="72">
        <f t="shared" si="247"/>
        <v>316</v>
      </c>
      <c r="CR90" s="72">
        <f t="shared" si="248"/>
        <v>345</v>
      </c>
      <c r="CS90" s="72">
        <f t="shared" si="249"/>
        <v>358</v>
      </c>
      <c r="CT90" s="23">
        <f t="shared" si="250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si="391"/>
        <v>adrb1_melga_2Y02</v>
      </c>
      <c r="B91" s="3" t="s">
        <v>912</v>
      </c>
      <c r="C91" s="3" t="s">
        <v>1024</v>
      </c>
      <c r="D91" s="3" t="str">
        <f>IFERROR(MID(VLOOKUP($B91,Seqs!$A:$B,2,0),E91,1),"")</f>
        <v>A</v>
      </c>
      <c r="E91" s="3">
        <v>33</v>
      </c>
      <c r="F91" s="3" t="str">
        <f>IFERROR(MID(VLOOKUP($B91,Seqs!$A:$B,2,0),G91,1),"")</f>
        <v>T</v>
      </c>
      <c r="G91" s="3">
        <v>69</v>
      </c>
      <c r="H91" s="3" t="str">
        <f>IFERROR(MID(VLOOKUP($B91,Seqs!$A:$B,2,0),I91,1),"")</f>
        <v>Q</v>
      </c>
      <c r="I91" s="23">
        <v>70</v>
      </c>
      <c r="J91" s="3" t="str">
        <f>IFERROR(MID(VLOOKUP($B91,Seqs!$A:$B,2,0),K91,1),"")</f>
        <v>Q</v>
      </c>
      <c r="K91" s="23">
        <v>73</v>
      </c>
      <c r="L91" s="3" t="str">
        <f>IFERROR(MID(VLOOKUP($B91,Seqs!$A:$B,2,0),M91,1),"")</f>
        <v>T</v>
      </c>
      <c r="M91" s="3">
        <v>74</v>
      </c>
      <c r="N91" s="3" t="str">
        <f>IFERROR(MID(VLOOKUP($B91,Seqs!$A:$B,2,0),O91,1),"")</f>
        <v>R</v>
      </c>
      <c r="O91" s="3">
        <v>104</v>
      </c>
      <c r="P91" s="3" t="str">
        <f>IFERROR(MID(VLOOKUP($B91,Seqs!$A:$B,2,0),Q91,1),"")</f>
        <v>T</v>
      </c>
      <c r="Q91" s="3">
        <v>106</v>
      </c>
      <c r="R91" s="3" t="str">
        <f>IFERROR(MID(VLOOKUP($B91,Seqs!$A:$B,2,0),S91,1),"")</f>
        <v>W</v>
      </c>
      <c r="S91" s="3">
        <v>109</v>
      </c>
      <c r="T91" s="3" t="str">
        <f>IFERROR(MID(VLOOKUP($B91,Seqs!$A:$B,2,0),U91,1),"")</f>
        <v>G</v>
      </c>
      <c r="U91" s="3">
        <v>110</v>
      </c>
      <c r="V91" s="3" t="str">
        <f>IFERROR(MID(VLOOKUP($B91,Seqs!$A:$B,2,0),W91,1),"")</f>
        <v>S</v>
      </c>
      <c r="W91" s="3">
        <v>145</v>
      </c>
      <c r="X91" s="3" t="str">
        <f>IFERROR(MID(VLOOKUP($B91,Seqs!$A:$B,2,0),Y91,1),"")</f>
        <v>P</v>
      </c>
      <c r="Y91" s="3">
        <v>146</v>
      </c>
      <c r="Z91" s="3" t="str">
        <f>IFERROR(MID(VLOOKUP($B91,Seqs!$A:$B,2,0),AA91,1),"")</f>
        <v>M</v>
      </c>
      <c r="AA91" s="3">
        <v>153</v>
      </c>
      <c r="AB91" s="3" t="str">
        <f>IFERROR(MID(VLOOKUP($B91,Seqs!$A:$B,2,0),AC91,1),"")</f>
        <v>T</v>
      </c>
      <c r="AC91" s="9">
        <v>154</v>
      </c>
      <c r="AD91" s="3" t="str">
        <f>IFERROR(MID(VLOOKUP($B91,Seqs!$A:$B,2,0),AE91,1),"")</f>
        <v>H</v>
      </c>
      <c r="AE91" s="3">
        <v>180</v>
      </c>
      <c r="AF91" s="3" t="str">
        <f>IFERROR(MID(VLOOKUP($B91,Seqs!$A:$B,2,0),AG91,1),"")</f>
        <v>C</v>
      </c>
      <c r="AG91" s="3">
        <v>199</v>
      </c>
      <c r="AH91" s="3" t="str">
        <f>IFERROR(MID(VLOOKUP($B91,Seqs!$A:$B,2,0),AI91,1),"")</f>
        <v>F</v>
      </c>
      <c r="AI91" s="3">
        <v>201</v>
      </c>
      <c r="AJ91" s="3" t="str">
        <f>IFERROR(MID(VLOOKUP($B91,Seqs!$A:$B,2,0),AK91,1),"")</f>
        <v>N</v>
      </c>
      <c r="AK91" s="3">
        <v>204</v>
      </c>
      <c r="AL91" s="3" t="str">
        <f>IFERROR(MID(VLOOKUP($B91,Seqs!$A:$B,2,0),AM91,1),"")</f>
        <v>I</v>
      </c>
      <c r="AM91" s="3">
        <v>238</v>
      </c>
      <c r="AN91" s="3" t="str">
        <f>IFERROR(MID(VLOOKUP($B91,Seqs!$A:$B,2,0),AO91,1),"")</f>
        <v>R</v>
      </c>
      <c r="AO91" s="3">
        <v>275</v>
      </c>
      <c r="AP91" s="3" t="str">
        <f>IFERROR(MID(VLOOKUP($B91,Seqs!$A:$B,2,0),AQ91,1),"")</f>
        <v>N</v>
      </c>
      <c r="AQ91" s="3">
        <v>316</v>
      </c>
      <c r="AR91" s="3" t="str">
        <f>IFERROR(MID(VLOOKUP($B91,Seqs!$A:$B,2,0),AS91,1),"")</f>
        <v>P</v>
      </c>
      <c r="AS91" s="3">
        <v>321</v>
      </c>
      <c r="AT91" s="3" t="str">
        <f>IFERROR(MID(VLOOKUP($B91,Seqs!$A:$B,2,0),AU91,1),"")</f>
        <v>R</v>
      </c>
      <c r="AU91" s="3">
        <v>345</v>
      </c>
      <c r="AV91" s="3" t="str">
        <f>IFERROR(MID(VLOOKUP($B91,Seqs!$A:$B,2,0),AW91,1),"")</f>
        <v>S</v>
      </c>
      <c r="AW91" s="3">
        <v>346</v>
      </c>
      <c r="AX91" s="3" t="str">
        <f>IFERROR(MID(VLOOKUP($B91,Seqs!$A:$B,2,0),AY91,1),"")</f>
        <v>C</v>
      </c>
      <c r="AY91" s="3">
        <v>358</v>
      </c>
      <c r="AZ91" s="77" t="str">
        <f>VLOOKUP(B91,Classification!A:D,2,0)</f>
        <v>A</v>
      </c>
      <c r="BA91" s="94" t="str">
        <f>VLOOKUP(B91,Classification!A:D,4,0)</f>
        <v>Adrenoceptors</v>
      </c>
      <c r="BB91" s="27" t="b">
        <f t="shared" si="392"/>
        <v>1</v>
      </c>
      <c r="BC91" s="23">
        <f t="shared" si="225"/>
        <v>265</v>
      </c>
      <c r="BD91" s="4" t="s">
        <v>23</v>
      </c>
      <c r="BE91" s="3" t="s">
        <v>1375</v>
      </c>
      <c r="BF91" s="119">
        <v>2.6</v>
      </c>
      <c r="BG91" s="49" t="s">
        <v>1378</v>
      </c>
      <c r="BH91" s="49" t="s">
        <v>1378</v>
      </c>
      <c r="BI91" s="1"/>
      <c r="BJ91" s="70" t="s">
        <v>1288</v>
      </c>
      <c r="BK91" s="57" t="s">
        <v>1288</v>
      </c>
      <c r="BL91" s="57" t="s">
        <v>1288</v>
      </c>
      <c r="BM91" s="57" t="s">
        <v>1288</v>
      </c>
      <c r="BN91" s="57" t="s">
        <v>1288</v>
      </c>
      <c r="BO91" s="57" t="s">
        <v>1288</v>
      </c>
      <c r="BP91" s="57" t="s">
        <v>1288</v>
      </c>
      <c r="BQ91" s="57" t="s">
        <v>1288</v>
      </c>
      <c r="BR91" s="57" t="s">
        <v>1288</v>
      </c>
      <c r="BS91" s="57" t="s">
        <v>1288</v>
      </c>
      <c r="BT91" s="57" t="s">
        <v>1288</v>
      </c>
      <c r="BU91" s="57" t="s">
        <v>1288</v>
      </c>
      <c r="BV91" s="70">
        <f t="shared" si="226"/>
        <v>33</v>
      </c>
      <c r="BW91" s="71">
        <f t="shared" si="227"/>
        <v>70</v>
      </c>
      <c r="BX91" s="72">
        <f t="shared" si="228"/>
        <v>74</v>
      </c>
      <c r="BY91" s="71">
        <f t="shared" si="229"/>
        <v>106</v>
      </c>
      <c r="BZ91" s="72">
        <f t="shared" si="230"/>
        <v>110</v>
      </c>
      <c r="CA91" s="71">
        <f t="shared" si="231"/>
        <v>146</v>
      </c>
      <c r="CB91" s="72">
        <f t="shared" si="232"/>
        <v>154</v>
      </c>
      <c r="CC91" s="71">
        <f t="shared" si="233"/>
        <v>199</v>
      </c>
      <c r="CD91" s="72">
        <f t="shared" si="234"/>
        <v>204</v>
      </c>
      <c r="CE91" s="71">
        <f t="shared" si="235"/>
        <v>275</v>
      </c>
      <c r="CF91" s="72">
        <f t="shared" si="236"/>
        <v>321</v>
      </c>
      <c r="CG91" s="71">
        <f t="shared" si="237"/>
        <v>346</v>
      </c>
      <c r="CH91" s="70">
        <f t="shared" si="238"/>
        <v>69</v>
      </c>
      <c r="CI91" s="71">
        <f t="shared" si="239"/>
        <v>73</v>
      </c>
      <c r="CJ91" s="72">
        <f t="shared" si="240"/>
        <v>104</v>
      </c>
      <c r="CK91" s="72">
        <f t="shared" si="241"/>
        <v>109</v>
      </c>
      <c r="CL91" s="72">
        <f t="shared" si="242"/>
        <v>145</v>
      </c>
      <c r="CM91" s="72">
        <f t="shared" si="243"/>
        <v>153</v>
      </c>
      <c r="CN91" s="72">
        <f t="shared" si="244"/>
        <v>180</v>
      </c>
      <c r="CO91" s="72">
        <f t="shared" si="245"/>
        <v>201</v>
      </c>
      <c r="CP91" s="72">
        <f t="shared" si="246"/>
        <v>238</v>
      </c>
      <c r="CQ91" s="72">
        <f t="shared" si="247"/>
        <v>316</v>
      </c>
      <c r="CR91" s="72">
        <f t="shared" si="248"/>
        <v>345</v>
      </c>
      <c r="CS91" s="72">
        <f t="shared" si="249"/>
        <v>358</v>
      </c>
      <c r="CT91" s="23">
        <f t="shared" si="250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391"/>
        <v>adrb1_melga_2Y03</v>
      </c>
      <c r="B92" s="3" t="s">
        <v>912</v>
      </c>
      <c r="C92" s="3" t="s">
        <v>1025</v>
      </c>
      <c r="D92" s="3" t="str">
        <f>IFERROR(MID(VLOOKUP($B92,Seqs!$A:$B,2,0),E92,1),"")</f>
        <v>A</v>
      </c>
      <c r="E92" s="3">
        <v>33</v>
      </c>
      <c r="F92" s="3" t="str">
        <f>IFERROR(MID(VLOOKUP($B92,Seqs!$A:$B,2,0),G92,1),"")</f>
        <v>T</v>
      </c>
      <c r="G92" s="3">
        <v>69</v>
      </c>
      <c r="H92" s="3" t="str">
        <f>IFERROR(MID(VLOOKUP($B92,Seqs!$A:$B,2,0),I92,1),"")</f>
        <v>Q</v>
      </c>
      <c r="I92" s="23">
        <v>70</v>
      </c>
      <c r="J92" s="3" t="str">
        <f>IFERROR(MID(VLOOKUP($B92,Seqs!$A:$B,2,0),K92,1),"")</f>
        <v>Q</v>
      </c>
      <c r="K92" s="23">
        <v>73</v>
      </c>
      <c r="L92" s="3" t="str">
        <f>IFERROR(MID(VLOOKUP($B92,Seqs!$A:$B,2,0),M92,1),"")</f>
        <v>T</v>
      </c>
      <c r="M92" s="3">
        <v>74</v>
      </c>
      <c r="N92" s="3" t="str">
        <f>IFERROR(MID(VLOOKUP($B92,Seqs!$A:$B,2,0),O92,1),"")</f>
        <v>R</v>
      </c>
      <c r="O92" s="3">
        <v>104</v>
      </c>
      <c r="P92" s="3" t="str">
        <f>IFERROR(MID(VLOOKUP($B92,Seqs!$A:$B,2,0),Q92,1),"")</f>
        <v>T</v>
      </c>
      <c r="Q92" s="3">
        <v>106</v>
      </c>
      <c r="R92" s="3" t="str">
        <f>IFERROR(MID(VLOOKUP($B92,Seqs!$A:$B,2,0),S92,1),"")</f>
        <v>W</v>
      </c>
      <c r="S92" s="3">
        <v>109</v>
      </c>
      <c r="T92" s="3" t="str">
        <f>IFERROR(MID(VLOOKUP($B92,Seqs!$A:$B,2,0),U92,1),"")</f>
        <v>G</v>
      </c>
      <c r="U92" s="3">
        <v>110</v>
      </c>
      <c r="V92" s="3" t="str">
        <f>IFERROR(MID(VLOOKUP($B92,Seqs!$A:$B,2,0),W92,1),"")</f>
        <v>S</v>
      </c>
      <c r="W92" s="3">
        <v>145</v>
      </c>
      <c r="X92" s="3" t="str">
        <f>IFERROR(MID(VLOOKUP($B92,Seqs!$A:$B,2,0),Y92,1),"")</f>
        <v>P</v>
      </c>
      <c r="Y92" s="3">
        <v>146</v>
      </c>
      <c r="Z92" s="3" t="str">
        <f>IFERROR(MID(VLOOKUP($B92,Seqs!$A:$B,2,0),AA92,1),"")</f>
        <v>M</v>
      </c>
      <c r="AA92" s="3">
        <v>153</v>
      </c>
      <c r="AB92" s="3" t="str">
        <f>IFERROR(MID(VLOOKUP($B92,Seqs!$A:$B,2,0),AC92,1),"")</f>
        <v>T</v>
      </c>
      <c r="AC92" s="9">
        <v>154</v>
      </c>
      <c r="AD92" s="3" t="str">
        <f>IFERROR(MID(VLOOKUP($B92,Seqs!$A:$B,2,0),AE92,1),"")</f>
        <v>H</v>
      </c>
      <c r="AE92" s="3">
        <v>180</v>
      </c>
      <c r="AF92" s="3" t="str">
        <f>IFERROR(MID(VLOOKUP($B92,Seqs!$A:$B,2,0),AG92,1),"")</f>
        <v>C</v>
      </c>
      <c r="AG92" s="3">
        <v>199</v>
      </c>
      <c r="AH92" s="3" t="str">
        <f>IFERROR(MID(VLOOKUP($B92,Seqs!$A:$B,2,0),AI92,1),"")</f>
        <v>F</v>
      </c>
      <c r="AI92" s="3">
        <v>201</v>
      </c>
      <c r="AJ92" s="3" t="str">
        <f>IFERROR(MID(VLOOKUP($B92,Seqs!$A:$B,2,0),AK92,1),"")</f>
        <v>N</v>
      </c>
      <c r="AK92" s="3">
        <v>204</v>
      </c>
      <c r="AL92" s="3" t="str">
        <f>IFERROR(MID(VLOOKUP($B92,Seqs!$A:$B,2,0),AM92,1),"")</f>
        <v>I</v>
      </c>
      <c r="AM92" s="3">
        <v>238</v>
      </c>
      <c r="AN92" s="3" t="str">
        <f>IFERROR(MID(VLOOKUP($B92,Seqs!$A:$B,2,0),AO92,1),"")</f>
        <v>R</v>
      </c>
      <c r="AO92" s="3">
        <v>275</v>
      </c>
      <c r="AP92" s="3" t="str">
        <f>IFERROR(MID(VLOOKUP($B92,Seqs!$A:$B,2,0),AQ92,1),"")</f>
        <v>N</v>
      </c>
      <c r="AQ92" s="3">
        <v>316</v>
      </c>
      <c r="AR92" s="3" t="str">
        <f>IFERROR(MID(VLOOKUP($B92,Seqs!$A:$B,2,0),AS92,1),"")</f>
        <v>P</v>
      </c>
      <c r="AS92" s="3">
        <v>321</v>
      </c>
      <c r="AT92" s="3" t="str">
        <f>IFERROR(MID(VLOOKUP($B92,Seqs!$A:$B,2,0),AU92,1),"")</f>
        <v>R</v>
      </c>
      <c r="AU92" s="3">
        <v>345</v>
      </c>
      <c r="AV92" s="3" t="str">
        <f>IFERROR(MID(VLOOKUP($B92,Seqs!$A:$B,2,0),AW92,1),"")</f>
        <v>S</v>
      </c>
      <c r="AW92" s="3">
        <v>346</v>
      </c>
      <c r="AX92" s="3" t="str">
        <f>IFERROR(MID(VLOOKUP($B92,Seqs!$A:$B,2,0),AY92,1),"")</f>
        <v>C</v>
      </c>
      <c r="AY92" s="3">
        <v>358</v>
      </c>
      <c r="AZ92" s="77" t="str">
        <f>VLOOKUP(B92,Classification!A:D,2,0)</f>
        <v>A</v>
      </c>
      <c r="BA92" s="94" t="str">
        <f>VLOOKUP(B92,Classification!A:D,4,0)</f>
        <v>Adrenoceptors</v>
      </c>
      <c r="BB92" s="27" t="b">
        <f t="shared" si="392"/>
        <v>1</v>
      </c>
      <c r="BC92" s="23">
        <f t="shared" si="225"/>
        <v>265</v>
      </c>
      <c r="BD92" s="4" t="s">
        <v>23</v>
      </c>
      <c r="BE92" s="3" t="s">
        <v>1375</v>
      </c>
      <c r="BF92" s="119">
        <v>2.85</v>
      </c>
      <c r="BG92" s="49" t="s">
        <v>1378</v>
      </c>
      <c r="BH92" s="49" t="s">
        <v>1378</v>
      </c>
      <c r="BI92" s="1"/>
      <c r="BJ92" s="70" t="s">
        <v>1288</v>
      </c>
      <c r="BK92" s="57" t="s">
        <v>1288</v>
      </c>
      <c r="BL92" s="57" t="s">
        <v>1288</v>
      </c>
      <c r="BM92" s="57" t="s">
        <v>1288</v>
      </c>
      <c r="BN92" s="57" t="s">
        <v>1288</v>
      </c>
      <c r="BO92" s="57" t="s">
        <v>1288</v>
      </c>
      <c r="BP92" s="57" t="s">
        <v>1288</v>
      </c>
      <c r="BQ92" s="57" t="s">
        <v>1288</v>
      </c>
      <c r="BR92" s="57" t="s">
        <v>1288</v>
      </c>
      <c r="BS92" s="57" t="s">
        <v>1288</v>
      </c>
      <c r="BT92" s="57" t="s">
        <v>1288</v>
      </c>
      <c r="BU92" s="57" t="s">
        <v>1288</v>
      </c>
      <c r="BV92" s="70">
        <f t="shared" si="226"/>
        <v>33</v>
      </c>
      <c r="BW92" s="71">
        <f t="shared" si="227"/>
        <v>70</v>
      </c>
      <c r="BX92" s="72">
        <f t="shared" si="228"/>
        <v>74</v>
      </c>
      <c r="BY92" s="71">
        <f t="shared" si="229"/>
        <v>106</v>
      </c>
      <c r="BZ92" s="72">
        <f t="shared" si="230"/>
        <v>110</v>
      </c>
      <c r="CA92" s="71">
        <f t="shared" si="231"/>
        <v>146</v>
      </c>
      <c r="CB92" s="72">
        <f t="shared" si="232"/>
        <v>154</v>
      </c>
      <c r="CC92" s="71">
        <f t="shared" si="233"/>
        <v>199</v>
      </c>
      <c r="CD92" s="72">
        <f t="shared" si="234"/>
        <v>204</v>
      </c>
      <c r="CE92" s="71">
        <f t="shared" si="235"/>
        <v>275</v>
      </c>
      <c r="CF92" s="72">
        <f t="shared" si="236"/>
        <v>321</v>
      </c>
      <c r="CG92" s="71">
        <f t="shared" si="237"/>
        <v>346</v>
      </c>
      <c r="CH92" s="70">
        <f t="shared" si="238"/>
        <v>69</v>
      </c>
      <c r="CI92" s="71">
        <f t="shared" si="239"/>
        <v>73</v>
      </c>
      <c r="CJ92" s="72">
        <f t="shared" si="240"/>
        <v>104</v>
      </c>
      <c r="CK92" s="72">
        <f t="shared" si="241"/>
        <v>109</v>
      </c>
      <c r="CL92" s="72">
        <f t="shared" si="242"/>
        <v>145</v>
      </c>
      <c r="CM92" s="72">
        <f t="shared" si="243"/>
        <v>153</v>
      </c>
      <c r="CN92" s="72">
        <f t="shared" si="244"/>
        <v>180</v>
      </c>
      <c r="CO92" s="72">
        <f t="shared" si="245"/>
        <v>201</v>
      </c>
      <c r="CP92" s="72">
        <f t="shared" si="246"/>
        <v>238</v>
      </c>
      <c r="CQ92" s="72">
        <f t="shared" si="247"/>
        <v>316</v>
      </c>
      <c r="CR92" s="72">
        <f t="shared" si="248"/>
        <v>345</v>
      </c>
      <c r="CS92" s="72">
        <f t="shared" si="249"/>
        <v>358</v>
      </c>
      <c r="CT92" s="23">
        <f t="shared" si="25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391"/>
        <v>adrb1_melga_2Y04</v>
      </c>
      <c r="B93" s="3" t="s">
        <v>912</v>
      </c>
      <c r="C93" s="3" t="s">
        <v>1026</v>
      </c>
      <c r="D93" s="3" t="str">
        <f>IFERROR(MID(VLOOKUP($B93,Seqs!$A:$B,2,0),E93,1),"")</f>
        <v>A</v>
      </c>
      <c r="E93" s="3">
        <v>33</v>
      </c>
      <c r="F93" s="3" t="str">
        <f>IFERROR(MID(VLOOKUP($B93,Seqs!$A:$B,2,0),G93,1),"")</f>
        <v>T</v>
      </c>
      <c r="G93" s="3">
        <v>69</v>
      </c>
      <c r="H93" s="3" t="str">
        <f>IFERROR(MID(VLOOKUP($B93,Seqs!$A:$B,2,0),I93,1),"")</f>
        <v>Q</v>
      </c>
      <c r="I93" s="23">
        <v>70</v>
      </c>
      <c r="J93" s="3" t="str">
        <f>IFERROR(MID(VLOOKUP($B93,Seqs!$A:$B,2,0),K93,1),"")</f>
        <v>Q</v>
      </c>
      <c r="K93" s="23">
        <v>73</v>
      </c>
      <c r="L93" s="3" t="str">
        <f>IFERROR(MID(VLOOKUP($B93,Seqs!$A:$B,2,0),M93,1),"")</f>
        <v>T</v>
      </c>
      <c r="M93" s="3">
        <v>74</v>
      </c>
      <c r="N93" s="3" t="str">
        <f>IFERROR(MID(VLOOKUP($B93,Seqs!$A:$B,2,0),O93,1),"")</f>
        <v>R</v>
      </c>
      <c r="O93" s="3">
        <v>104</v>
      </c>
      <c r="P93" s="3" t="str">
        <f>IFERROR(MID(VLOOKUP($B93,Seqs!$A:$B,2,0),Q93,1),"")</f>
        <v>T</v>
      </c>
      <c r="Q93" s="3">
        <v>106</v>
      </c>
      <c r="R93" s="3" t="str">
        <f>IFERROR(MID(VLOOKUP($B93,Seqs!$A:$B,2,0),S93,1),"")</f>
        <v>W</v>
      </c>
      <c r="S93" s="3">
        <v>109</v>
      </c>
      <c r="T93" s="3" t="str">
        <f>IFERROR(MID(VLOOKUP($B93,Seqs!$A:$B,2,0),U93,1),"")</f>
        <v>G</v>
      </c>
      <c r="U93" s="3">
        <v>110</v>
      </c>
      <c r="V93" s="3" t="str">
        <f>IFERROR(MID(VLOOKUP($B93,Seqs!$A:$B,2,0),W93,1),"")</f>
        <v>S</v>
      </c>
      <c r="W93" s="3">
        <v>145</v>
      </c>
      <c r="X93" s="3" t="str">
        <f>IFERROR(MID(VLOOKUP($B93,Seqs!$A:$B,2,0),Y93,1),"")</f>
        <v>P</v>
      </c>
      <c r="Y93" s="3">
        <v>146</v>
      </c>
      <c r="Z93" s="3" t="str">
        <f>IFERROR(MID(VLOOKUP($B93,Seqs!$A:$B,2,0),AA93,1),"")</f>
        <v>M</v>
      </c>
      <c r="AA93" s="3">
        <v>153</v>
      </c>
      <c r="AB93" s="3" t="str">
        <f>IFERROR(MID(VLOOKUP($B93,Seqs!$A:$B,2,0),AC93,1),"")</f>
        <v>T</v>
      </c>
      <c r="AC93" s="9">
        <v>154</v>
      </c>
      <c r="AD93" s="3" t="str">
        <f>IFERROR(MID(VLOOKUP($B93,Seqs!$A:$B,2,0),AE93,1),"")</f>
        <v>H</v>
      </c>
      <c r="AE93" s="3">
        <v>180</v>
      </c>
      <c r="AF93" s="3" t="str">
        <f>IFERROR(MID(VLOOKUP($B93,Seqs!$A:$B,2,0),AG93,1),"")</f>
        <v>C</v>
      </c>
      <c r="AG93" s="3">
        <v>199</v>
      </c>
      <c r="AH93" s="3" t="str">
        <f>IFERROR(MID(VLOOKUP($B93,Seqs!$A:$B,2,0),AI93,1),"")</f>
        <v>F</v>
      </c>
      <c r="AI93" s="3">
        <v>201</v>
      </c>
      <c r="AJ93" s="3" t="str">
        <f>IFERROR(MID(VLOOKUP($B93,Seqs!$A:$B,2,0),AK93,1),"")</f>
        <v>N</v>
      </c>
      <c r="AK93" s="3">
        <v>204</v>
      </c>
      <c r="AL93" s="3" t="str">
        <f>IFERROR(MID(VLOOKUP($B93,Seqs!$A:$B,2,0),AM93,1),"")</f>
        <v>I</v>
      </c>
      <c r="AM93" s="3">
        <v>238</v>
      </c>
      <c r="AN93" s="3" t="str">
        <f>IFERROR(MID(VLOOKUP($B93,Seqs!$A:$B,2,0),AO93,1),"")</f>
        <v>R</v>
      </c>
      <c r="AO93" s="3">
        <v>275</v>
      </c>
      <c r="AP93" s="3" t="str">
        <f>IFERROR(MID(VLOOKUP($B93,Seqs!$A:$B,2,0),AQ93,1),"")</f>
        <v>N</v>
      </c>
      <c r="AQ93" s="3">
        <v>316</v>
      </c>
      <c r="AR93" s="3" t="str">
        <f>IFERROR(MID(VLOOKUP($B93,Seqs!$A:$B,2,0),AS93,1),"")</f>
        <v>P</v>
      </c>
      <c r="AS93" s="3">
        <v>321</v>
      </c>
      <c r="AT93" s="3" t="str">
        <f>IFERROR(MID(VLOOKUP($B93,Seqs!$A:$B,2,0),AU93,1),"")</f>
        <v>R</v>
      </c>
      <c r="AU93" s="3">
        <v>345</v>
      </c>
      <c r="AV93" s="3" t="str">
        <f>IFERROR(MID(VLOOKUP($B93,Seqs!$A:$B,2,0),AW93,1),"")</f>
        <v>S</v>
      </c>
      <c r="AW93" s="3">
        <v>346</v>
      </c>
      <c r="AX93" s="3" t="str">
        <f>IFERROR(MID(VLOOKUP($B93,Seqs!$A:$B,2,0),AY93,1),"")</f>
        <v>C</v>
      </c>
      <c r="AY93" s="3">
        <v>358</v>
      </c>
      <c r="AZ93" s="77" t="str">
        <f>VLOOKUP(B93,Classification!A:D,2,0)</f>
        <v>A</v>
      </c>
      <c r="BA93" s="94" t="str">
        <f>VLOOKUP(B93,Classification!A:D,4,0)</f>
        <v>Adrenoceptors</v>
      </c>
      <c r="BB93" s="27" t="b">
        <f t="shared" si="392"/>
        <v>1</v>
      </c>
      <c r="BC93" s="23">
        <f t="shared" si="225"/>
        <v>265</v>
      </c>
      <c r="BD93" s="4" t="s">
        <v>23</v>
      </c>
      <c r="BE93" s="3" t="s">
        <v>1375</v>
      </c>
      <c r="BF93" s="119">
        <v>3.05</v>
      </c>
      <c r="BG93" s="49" t="s">
        <v>1378</v>
      </c>
      <c r="BH93" s="49" t="s">
        <v>1378</v>
      </c>
      <c r="BI93" s="1"/>
      <c r="BJ93" s="70" t="s">
        <v>1288</v>
      </c>
      <c r="BK93" s="57" t="s">
        <v>1288</v>
      </c>
      <c r="BL93" s="57" t="s">
        <v>1288</v>
      </c>
      <c r="BM93" s="57" t="s">
        <v>1288</v>
      </c>
      <c r="BN93" s="57" t="s">
        <v>1288</v>
      </c>
      <c r="BO93" s="57" t="s">
        <v>1288</v>
      </c>
      <c r="BP93" s="57" t="s">
        <v>1288</v>
      </c>
      <c r="BQ93" s="57" t="s">
        <v>1288</v>
      </c>
      <c r="BR93" s="57" t="s">
        <v>1288</v>
      </c>
      <c r="BS93" s="57" t="s">
        <v>1288</v>
      </c>
      <c r="BT93" s="57" t="s">
        <v>1288</v>
      </c>
      <c r="BU93" s="57" t="s">
        <v>1288</v>
      </c>
      <c r="BV93" s="70">
        <f t="shared" si="226"/>
        <v>33</v>
      </c>
      <c r="BW93" s="71">
        <f t="shared" si="227"/>
        <v>70</v>
      </c>
      <c r="BX93" s="72">
        <f t="shared" si="228"/>
        <v>74</v>
      </c>
      <c r="BY93" s="71">
        <f t="shared" si="229"/>
        <v>106</v>
      </c>
      <c r="BZ93" s="72">
        <f t="shared" si="230"/>
        <v>110</v>
      </c>
      <c r="CA93" s="71">
        <f t="shared" si="231"/>
        <v>146</v>
      </c>
      <c r="CB93" s="72">
        <f t="shared" si="232"/>
        <v>154</v>
      </c>
      <c r="CC93" s="71">
        <f t="shared" si="233"/>
        <v>199</v>
      </c>
      <c r="CD93" s="72">
        <f t="shared" si="234"/>
        <v>204</v>
      </c>
      <c r="CE93" s="71">
        <f t="shared" si="235"/>
        <v>275</v>
      </c>
      <c r="CF93" s="72">
        <f t="shared" si="236"/>
        <v>321</v>
      </c>
      <c r="CG93" s="71">
        <f t="shared" si="237"/>
        <v>346</v>
      </c>
      <c r="CH93" s="70">
        <f t="shared" si="238"/>
        <v>69</v>
      </c>
      <c r="CI93" s="71">
        <f t="shared" si="239"/>
        <v>73</v>
      </c>
      <c r="CJ93" s="72">
        <f t="shared" si="240"/>
        <v>104</v>
      </c>
      <c r="CK93" s="72">
        <f t="shared" si="241"/>
        <v>109</v>
      </c>
      <c r="CL93" s="72">
        <f t="shared" si="242"/>
        <v>145</v>
      </c>
      <c r="CM93" s="72">
        <f t="shared" si="243"/>
        <v>153</v>
      </c>
      <c r="CN93" s="72">
        <f t="shared" si="244"/>
        <v>180</v>
      </c>
      <c r="CO93" s="72">
        <f t="shared" si="245"/>
        <v>201</v>
      </c>
      <c r="CP93" s="72">
        <f t="shared" si="246"/>
        <v>238</v>
      </c>
      <c r="CQ93" s="72">
        <f t="shared" si="247"/>
        <v>316</v>
      </c>
      <c r="CR93" s="72">
        <f t="shared" si="248"/>
        <v>345</v>
      </c>
      <c r="CS93" s="72">
        <f t="shared" si="249"/>
        <v>358</v>
      </c>
      <c r="CT93" s="23">
        <f t="shared" si="250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x14ac:dyDescent="0.2">
      <c r="A94" s="3" t="str">
        <f t="shared" si="391"/>
        <v>adrb1_melga_2YCW</v>
      </c>
      <c r="B94" s="3" t="s">
        <v>912</v>
      </c>
      <c r="C94" s="3" t="s">
        <v>1027</v>
      </c>
      <c r="D94" s="3" t="str">
        <f>IFERROR(MID(VLOOKUP($B94,Seqs!$A:$B,2,0),E94,1),"")</f>
        <v>S</v>
      </c>
      <c r="E94" s="3">
        <v>37</v>
      </c>
      <c r="F94" s="3" t="str">
        <f>IFERROR(MID(VLOOKUP($B94,Seqs!$A:$B,2,0),G94,1),"")</f>
        <v>T</v>
      </c>
      <c r="G94" s="3">
        <v>69</v>
      </c>
      <c r="H94" s="3" t="str">
        <f>IFERROR(MID(VLOOKUP($B94,Seqs!$A:$B,2,0),I94,1),"")</f>
        <v>Q</v>
      </c>
      <c r="I94" s="23">
        <v>70</v>
      </c>
      <c r="J94" s="3" t="str">
        <f>IFERROR(MID(VLOOKUP($B94,Seqs!$A:$B,2,0),K94,1),"")</f>
        <v>Q</v>
      </c>
      <c r="K94" s="23">
        <v>73</v>
      </c>
      <c r="L94" s="3" t="str">
        <f>IFERROR(MID(VLOOKUP($B94,Seqs!$A:$B,2,0),M94,1),"")</f>
        <v>T</v>
      </c>
      <c r="M94" s="3">
        <v>74</v>
      </c>
      <c r="N94" s="3" t="str">
        <f>IFERROR(MID(VLOOKUP($B94,Seqs!$A:$B,2,0),O94,1),"")</f>
        <v>R</v>
      </c>
      <c r="O94" s="3">
        <v>104</v>
      </c>
      <c r="P94" s="3" t="str">
        <f>IFERROR(MID(VLOOKUP($B94,Seqs!$A:$B,2,0),Q94,1),"")</f>
        <v>T</v>
      </c>
      <c r="Q94" s="3">
        <v>106</v>
      </c>
      <c r="R94" s="3" t="str">
        <f>IFERROR(MID(VLOOKUP($B94,Seqs!$A:$B,2,0),S94,1),"")</f>
        <v>W</v>
      </c>
      <c r="S94" s="3">
        <v>109</v>
      </c>
      <c r="T94" s="3" t="str">
        <f>IFERROR(MID(VLOOKUP($B94,Seqs!$A:$B,2,0),U94,1),"")</f>
        <v>G</v>
      </c>
      <c r="U94" s="3">
        <v>110</v>
      </c>
      <c r="V94" s="3" t="str">
        <f>IFERROR(MID(VLOOKUP($B94,Seqs!$A:$B,2,0),W94,1),"")</f>
        <v>S</v>
      </c>
      <c r="W94" s="3">
        <v>145</v>
      </c>
      <c r="X94" s="3" t="str">
        <f>IFERROR(MID(VLOOKUP($B94,Seqs!$A:$B,2,0),Y94,1),"")</f>
        <v>P</v>
      </c>
      <c r="Y94" s="3">
        <v>146</v>
      </c>
      <c r="Z94" s="3" t="str">
        <f>IFERROR(MID(VLOOKUP($B94,Seqs!$A:$B,2,0),AA94,1),"")</f>
        <v>M</v>
      </c>
      <c r="AA94" s="3">
        <v>153</v>
      </c>
      <c r="AB94" s="3" t="str">
        <f>IFERROR(MID(VLOOKUP($B94,Seqs!$A:$B,2,0),AC94,1),"")</f>
        <v>T</v>
      </c>
      <c r="AC94" s="9">
        <v>154</v>
      </c>
      <c r="AD94" s="3" t="str">
        <f>IFERROR(MID(VLOOKUP($B94,Seqs!$A:$B,2,0),AE94,1),"")</f>
        <v>H</v>
      </c>
      <c r="AE94" s="3">
        <v>180</v>
      </c>
      <c r="AF94" s="3" t="str">
        <f>IFERROR(MID(VLOOKUP($B94,Seqs!$A:$B,2,0),AG94,1),"")</f>
        <v>C</v>
      </c>
      <c r="AG94" s="3">
        <v>199</v>
      </c>
      <c r="AH94" s="3" t="str">
        <f>IFERROR(MID(VLOOKUP($B94,Seqs!$A:$B,2,0),AI94,1),"")</f>
        <v>F</v>
      </c>
      <c r="AI94" s="3">
        <v>201</v>
      </c>
      <c r="AJ94" s="3" t="str">
        <f>IFERROR(MID(VLOOKUP($B94,Seqs!$A:$B,2,0),AK94,1),"")</f>
        <v>N</v>
      </c>
      <c r="AK94" s="3">
        <v>204</v>
      </c>
      <c r="AL94" s="3" t="str">
        <f>IFERROR(MID(VLOOKUP($B94,Seqs!$A:$B,2,0),AM94,1),"")</f>
        <v>K</v>
      </c>
      <c r="AM94" s="3">
        <v>240</v>
      </c>
      <c r="AN94" s="3" t="str">
        <f>IFERROR(MID(VLOOKUP($B94,Seqs!$A:$B,2,0),AO94,1),"")</f>
        <v>L</v>
      </c>
      <c r="AO94" s="3">
        <v>289</v>
      </c>
      <c r="AP94" s="3" t="str">
        <f>IFERROR(MID(VLOOKUP($B94,Seqs!$A:$B,2,0),AQ94,1),"")</f>
        <v>N</v>
      </c>
      <c r="AQ94" s="3">
        <v>316</v>
      </c>
      <c r="AR94" s="3" t="str">
        <f>IFERROR(MID(VLOOKUP($B94,Seqs!$A:$B,2,0),AS94,1),"")</f>
        <v>P</v>
      </c>
      <c r="AS94" s="3">
        <v>321</v>
      </c>
      <c r="AT94" s="3" t="str">
        <f>IFERROR(MID(VLOOKUP($B94,Seqs!$A:$B,2,0),AU94,1),"")</f>
        <v>R</v>
      </c>
      <c r="AU94" s="3">
        <v>345</v>
      </c>
      <c r="AV94" s="3" t="str">
        <f>IFERROR(MID(VLOOKUP($B94,Seqs!$A:$B,2,0),AW94,1),"")</f>
        <v>S</v>
      </c>
      <c r="AW94" s="3">
        <v>346</v>
      </c>
      <c r="AX94" s="3" t="str">
        <f>IFERROR(MID(VLOOKUP($B94,Seqs!$A:$B,2,0),AY94,1),"")</f>
        <v>C</v>
      </c>
      <c r="AY94" s="3">
        <v>358</v>
      </c>
      <c r="AZ94" s="77" t="str">
        <f>VLOOKUP(B94,Classification!A:D,2,0)</f>
        <v>A</v>
      </c>
      <c r="BA94" s="94" t="str">
        <f>VLOOKUP(B94,Classification!A:D,4,0)</f>
        <v>Adrenoceptors</v>
      </c>
      <c r="BB94" s="27" t="b">
        <f t="shared" si="392"/>
        <v>1</v>
      </c>
      <c r="BC94" s="23">
        <f t="shared" si="225"/>
        <v>249</v>
      </c>
      <c r="BD94" s="4" t="s">
        <v>23</v>
      </c>
      <c r="BE94" s="3" t="s">
        <v>1375</v>
      </c>
      <c r="BF94" s="119">
        <v>3</v>
      </c>
      <c r="BG94" s="49" t="s">
        <v>1378</v>
      </c>
      <c r="BH94" s="49" t="s">
        <v>1378</v>
      </c>
      <c r="BI94" s="1"/>
      <c r="BJ94" s="70" t="s">
        <v>1288</v>
      </c>
      <c r="BK94" s="57" t="s">
        <v>1288</v>
      </c>
      <c r="BL94" s="57" t="s">
        <v>1288</v>
      </c>
      <c r="BM94" s="57" t="s">
        <v>1288</v>
      </c>
      <c r="BN94" s="57" t="s">
        <v>1288</v>
      </c>
      <c r="BO94" s="57" t="s">
        <v>1288</v>
      </c>
      <c r="BP94" s="57" t="s">
        <v>1288</v>
      </c>
      <c r="BQ94" s="57" t="s">
        <v>1288</v>
      </c>
      <c r="BR94" s="57" t="s">
        <v>1288</v>
      </c>
      <c r="BS94" s="57" t="s">
        <v>1288</v>
      </c>
      <c r="BT94" s="57" t="s">
        <v>1288</v>
      </c>
      <c r="BU94" s="57" t="s">
        <v>1288</v>
      </c>
      <c r="BV94" s="70">
        <f t="shared" si="226"/>
        <v>37</v>
      </c>
      <c r="BW94" s="71">
        <f t="shared" si="227"/>
        <v>70</v>
      </c>
      <c r="BX94" s="72">
        <f t="shared" si="228"/>
        <v>74</v>
      </c>
      <c r="BY94" s="71">
        <f t="shared" si="229"/>
        <v>106</v>
      </c>
      <c r="BZ94" s="72">
        <f t="shared" si="230"/>
        <v>110</v>
      </c>
      <c r="CA94" s="71">
        <f t="shared" si="231"/>
        <v>146</v>
      </c>
      <c r="CB94" s="72">
        <f t="shared" si="232"/>
        <v>154</v>
      </c>
      <c r="CC94" s="71">
        <f t="shared" si="233"/>
        <v>199</v>
      </c>
      <c r="CD94" s="72">
        <f t="shared" si="234"/>
        <v>204</v>
      </c>
      <c r="CE94" s="71">
        <f t="shared" si="235"/>
        <v>289</v>
      </c>
      <c r="CF94" s="72">
        <f t="shared" si="236"/>
        <v>321</v>
      </c>
      <c r="CG94" s="71">
        <f t="shared" si="237"/>
        <v>346</v>
      </c>
      <c r="CH94" s="70">
        <f t="shared" si="238"/>
        <v>69</v>
      </c>
      <c r="CI94" s="71">
        <f t="shared" si="239"/>
        <v>73</v>
      </c>
      <c r="CJ94" s="72">
        <f t="shared" si="240"/>
        <v>104</v>
      </c>
      <c r="CK94" s="72">
        <f t="shared" si="241"/>
        <v>109</v>
      </c>
      <c r="CL94" s="72">
        <f t="shared" si="242"/>
        <v>145</v>
      </c>
      <c r="CM94" s="72">
        <f t="shared" si="243"/>
        <v>153</v>
      </c>
      <c r="CN94" s="72">
        <f t="shared" si="244"/>
        <v>180</v>
      </c>
      <c r="CO94" s="72">
        <f t="shared" si="245"/>
        <v>201</v>
      </c>
      <c r="CP94" s="72">
        <f t="shared" si="246"/>
        <v>240</v>
      </c>
      <c r="CQ94" s="72">
        <f t="shared" si="247"/>
        <v>316</v>
      </c>
      <c r="CR94" s="72">
        <f t="shared" si="248"/>
        <v>345</v>
      </c>
      <c r="CS94" s="72">
        <f t="shared" si="249"/>
        <v>358</v>
      </c>
      <c r="CT94" s="23">
        <f t="shared" si="250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si="391"/>
        <v>adrb1_melga_2YCZ</v>
      </c>
      <c r="B95" s="3" t="s">
        <v>912</v>
      </c>
      <c r="C95" s="3" t="s">
        <v>1028</v>
      </c>
      <c r="D95" s="3" t="str">
        <f>IFERROR(MID(VLOOKUP($B95,Seqs!$A:$B,2,0),E95,1),"")</f>
        <v>A</v>
      </c>
      <c r="E95" s="3">
        <v>33</v>
      </c>
      <c r="F95" s="3" t="str">
        <f>IFERROR(MID(VLOOKUP($B95,Seqs!$A:$B,2,0),G95,1),"")</f>
        <v>T</v>
      </c>
      <c r="G95" s="3">
        <v>69</v>
      </c>
      <c r="H95" s="3" t="str">
        <f>IFERROR(MID(VLOOKUP($B95,Seqs!$A:$B,2,0),I95,1),"")</f>
        <v>Q</v>
      </c>
      <c r="I95" s="23">
        <v>70</v>
      </c>
      <c r="J95" s="3" t="str">
        <f>IFERROR(MID(VLOOKUP($B95,Seqs!$A:$B,2,0),K95,1),"")</f>
        <v>Q</v>
      </c>
      <c r="K95" s="23">
        <v>73</v>
      </c>
      <c r="L95" s="3" t="str">
        <f>IFERROR(MID(VLOOKUP($B95,Seqs!$A:$B,2,0),M95,1),"")</f>
        <v>T</v>
      </c>
      <c r="M95" s="3">
        <v>74</v>
      </c>
      <c r="N95" s="3" t="str">
        <f>IFERROR(MID(VLOOKUP($B95,Seqs!$A:$B,2,0),O95,1),"")</f>
        <v>R</v>
      </c>
      <c r="O95" s="3">
        <v>104</v>
      </c>
      <c r="P95" s="3" t="str">
        <f>IFERROR(MID(VLOOKUP($B95,Seqs!$A:$B,2,0),Q95,1),"")</f>
        <v>T</v>
      </c>
      <c r="Q95" s="3">
        <v>106</v>
      </c>
      <c r="R95" s="3" t="str">
        <f>IFERROR(MID(VLOOKUP($B95,Seqs!$A:$B,2,0),S95,1),"")</f>
        <v>W</v>
      </c>
      <c r="S95" s="3">
        <v>109</v>
      </c>
      <c r="T95" s="3" t="str">
        <f>IFERROR(MID(VLOOKUP($B95,Seqs!$A:$B,2,0),U95,1),"")</f>
        <v>G</v>
      </c>
      <c r="U95" s="3">
        <v>110</v>
      </c>
      <c r="V95" s="3" t="str">
        <f>IFERROR(MID(VLOOKUP($B95,Seqs!$A:$B,2,0),W95,1),"")</f>
        <v>S</v>
      </c>
      <c r="W95" s="3">
        <v>145</v>
      </c>
      <c r="X95" s="3" t="str">
        <f>IFERROR(MID(VLOOKUP($B95,Seqs!$A:$B,2,0),Y95,1),"")</f>
        <v>P</v>
      </c>
      <c r="Y95" s="3">
        <v>146</v>
      </c>
      <c r="Z95" s="3" t="str">
        <f>IFERROR(MID(VLOOKUP($B95,Seqs!$A:$B,2,0),AA95,1),"")</f>
        <v>M</v>
      </c>
      <c r="AA95" s="3">
        <v>153</v>
      </c>
      <c r="AB95" s="3" t="str">
        <f>IFERROR(MID(VLOOKUP($B95,Seqs!$A:$B,2,0),AC95,1),"")</f>
        <v>T</v>
      </c>
      <c r="AC95" s="9">
        <v>154</v>
      </c>
      <c r="AD95" s="3" t="str">
        <f>IFERROR(MID(VLOOKUP($B95,Seqs!$A:$B,2,0),AE95,1),"")</f>
        <v>H</v>
      </c>
      <c r="AE95" s="3">
        <v>180</v>
      </c>
      <c r="AF95" s="3" t="str">
        <f>IFERROR(MID(VLOOKUP($B95,Seqs!$A:$B,2,0),AG95,1),"")</f>
        <v>C</v>
      </c>
      <c r="AG95" s="3">
        <v>199</v>
      </c>
      <c r="AH95" s="3" t="str">
        <f>IFERROR(MID(VLOOKUP($B95,Seqs!$A:$B,2,0),AI95,1),"")</f>
        <v>F</v>
      </c>
      <c r="AI95" s="3">
        <v>201</v>
      </c>
      <c r="AJ95" s="3" t="str">
        <f>IFERROR(MID(VLOOKUP($B95,Seqs!$A:$B,2,0),AK95,1),"")</f>
        <v>N</v>
      </c>
      <c r="AK95" s="3">
        <v>204</v>
      </c>
      <c r="AL95" s="3" t="str">
        <f>IFERROR(MID(VLOOKUP($B95,Seqs!$A:$B,2,0),AM95,1),"")</f>
        <v>K</v>
      </c>
      <c r="AM95" s="3">
        <v>240</v>
      </c>
      <c r="AN95" s="3" t="str">
        <f>IFERROR(MID(VLOOKUP($B95,Seqs!$A:$B,2,0),AO95,1),"")</f>
        <v>A</v>
      </c>
      <c r="AO95" s="3">
        <v>288</v>
      </c>
      <c r="AP95" s="3" t="str">
        <f>IFERROR(MID(VLOOKUP($B95,Seqs!$A:$B,2,0),AQ95,1),"")</f>
        <v>N</v>
      </c>
      <c r="AQ95" s="3">
        <v>316</v>
      </c>
      <c r="AR95" s="3" t="str">
        <f>IFERROR(MID(VLOOKUP($B95,Seqs!$A:$B,2,0),AS95,1),"")</f>
        <v>P</v>
      </c>
      <c r="AS95" s="3">
        <v>321</v>
      </c>
      <c r="AT95" s="3" t="str">
        <f>IFERROR(MID(VLOOKUP($B95,Seqs!$A:$B,2,0),AU95,1),"")</f>
        <v>R</v>
      </c>
      <c r="AU95" s="3">
        <v>345</v>
      </c>
      <c r="AV95" s="3" t="str">
        <f>IFERROR(MID(VLOOKUP($B95,Seqs!$A:$B,2,0),AW95,1),"")</f>
        <v>S</v>
      </c>
      <c r="AW95" s="3">
        <v>346</v>
      </c>
      <c r="AX95" s="3" t="str">
        <f>IFERROR(MID(VLOOKUP($B95,Seqs!$A:$B,2,0),AY95,1),"")</f>
        <v>C</v>
      </c>
      <c r="AY95" s="3">
        <v>358</v>
      </c>
      <c r="AZ95" s="77" t="str">
        <f>VLOOKUP(B95,Classification!A:D,2,0)</f>
        <v>A</v>
      </c>
      <c r="BA95" s="94" t="str">
        <f>VLOOKUP(B95,Classification!A:D,4,0)</f>
        <v>Adrenoceptors</v>
      </c>
      <c r="BB95" s="27" t="b">
        <f t="shared" si="392"/>
        <v>1</v>
      </c>
      <c r="BC95" s="23">
        <f t="shared" si="225"/>
        <v>254</v>
      </c>
      <c r="BD95" s="16" t="s">
        <v>23</v>
      </c>
      <c r="BE95" s="3" t="s">
        <v>1375</v>
      </c>
      <c r="BF95" s="119">
        <v>3.65</v>
      </c>
      <c r="BG95" s="49" t="s">
        <v>1378</v>
      </c>
      <c r="BH95" s="49" t="s">
        <v>1378</v>
      </c>
      <c r="BI95" s="1"/>
      <c r="BJ95" s="70" t="s">
        <v>1288</v>
      </c>
      <c r="BK95" s="57" t="s">
        <v>1288</v>
      </c>
      <c r="BL95" s="57" t="s">
        <v>1288</v>
      </c>
      <c r="BM95" s="57" t="s">
        <v>1288</v>
      </c>
      <c r="BN95" s="57" t="s">
        <v>1288</v>
      </c>
      <c r="BO95" s="57" t="s">
        <v>1288</v>
      </c>
      <c r="BP95" s="57" t="s">
        <v>1288</v>
      </c>
      <c r="BQ95" s="57" t="s">
        <v>1288</v>
      </c>
      <c r="BR95" s="57" t="s">
        <v>1288</v>
      </c>
      <c r="BS95" s="57" t="s">
        <v>1288</v>
      </c>
      <c r="BT95" s="57" t="s">
        <v>1288</v>
      </c>
      <c r="BU95" s="57" t="s">
        <v>1288</v>
      </c>
      <c r="BV95" s="70">
        <f t="shared" si="226"/>
        <v>33</v>
      </c>
      <c r="BW95" s="71">
        <f t="shared" si="227"/>
        <v>70</v>
      </c>
      <c r="BX95" s="72">
        <f t="shared" si="228"/>
        <v>74</v>
      </c>
      <c r="BY95" s="71">
        <f t="shared" si="229"/>
        <v>106</v>
      </c>
      <c r="BZ95" s="72">
        <f t="shared" si="230"/>
        <v>110</v>
      </c>
      <c r="CA95" s="71">
        <f t="shared" si="231"/>
        <v>146</v>
      </c>
      <c r="CB95" s="72">
        <f t="shared" si="232"/>
        <v>154</v>
      </c>
      <c r="CC95" s="71">
        <f t="shared" si="233"/>
        <v>199</v>
      </c>
      <c r="CD95" s="72">
        <f t="shared" si="234"/>
        <v>204</v>
      </c>
      <c r="CE95" s="71">
        <f t="shared" si="235"/>
        <v>288</v>
      </c>
      <c r="CF95" s="72">
        <f t="shared" si="236"/>
        <v>321</v>
      </c>
      <c r="CG95" s="71">
        <f t="shared" si="237"/>
        <v>346</v>
      </c>
      <c r="CH95" s="70">
        <f t="shared" si="238"/>
        <v>69</v>
      </c>
      <c r="CI95" s="71">
        <f t="shared" si="239"/>
        <v>73</v>
      </c>
      <c r="CJ95" s="72">
        <f t="shared" si="240"/>
        <v>104</v>
      </c>
      <c r="CK95" s="72">
        <f t="shared" si="241"/>
        <v>109</v>
      </c>
      <c r="CL95" s="72">
        <f t="shared" si="242"/>
        <v>145</v>
      </c>
      <c r="CM95" s="72">
        <f t="shared" si="243"/>
        <v>153</v>
      </c>
      <c r="CN95" s="72">
        <f t="shared" si="244"/>
        <v>180</v>
      </c>
      <c r="CO95" s="72">
        <f t="shared" si="245"/>
        <v>201</v>
      </c>
      <c r="CP95" s="72">
        <f t="shared" si="246"/>
        <v>240</v>
      </c>
      <c r="CQ95" s="72">
        <f t="shared" si="247"/>
        <v>316</v>
      </c>
      <c r="CR95" s="72">
        <f t="shared" si="248"/>
        <v>345</v>
      </c>
      <c r="CS95" s="72">
        <f t="shared" si="249"/>
        <v>358</v>
      </c>
      <c r="CT95" s="23">
        <f t="shared" si="250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391"/>
        <v>adrb1_melga_3ZPQ</v>
      </c>
      <c r="B96" s="3" t="s">
        <v>912</v>
      </c>
      <c r="C96" s="3" t="s">
        <v>1038</v>
      </c>
      <c r="D96" s="3" t="str">
        <f>IFERROR(MID(VLOOKUP($B96,Seqs!$A:$B,2,0),E96,1),"")</f>
        <v>A</v>
      </c>
      <c r="E96" s="3">
        <v>33</v>
      </c>
      <c r="F96" s="3" t="str">
        <f>IFERROR(MID(VLOOKUP($B96,Seqs!$A:$B,2,0),G96,1),"")</f>
        <v>T</v>
      </c>
      <c r="G96" s="3">
        <v>69</v>
      </c>
      <c r="H96" s="3" t="str">
        <f>IFERROR(MID(VLOOKUP($B96,Seqs!$A:$B,2,0),I96,1),"")</f>
        <v>Q</v>
      </c>
      <c r="I96" s="23">
        <v>70</v>
      </c>
      <c r="J96" s="3" t="str">
        <f>IFERROR(MID(VLOOKUP($B96,Seqs!$A:$B,2,0),K96,1),"")</f>
        <v>Q</v>
      </c>
      <c r="K96" s="23">
        <v>73</v>
      </c>
      <c r="L96" s="3" t="str">
        <f>IFERROR(MID(VLOOKUP($B96,Seqs!$A:$B,2,0),M96,1),"")</f>
        <v>T</v>
      </c>
      <c r="M96" s="3">
        <v>74</v>
      </c>
      <c r="N96" s="3" t="str">
        <f>IFERROR(MID(VLOOKUP($B96,Seqs!$A:$B,2,0),O96,1),"")</f>
        <v>R</v>
      </c>
      <c r="O96" s="3">
        <v>104</v>
      </c>
      <c r="P96" s="3" t="str">
        <f>IFERROR(MID(VLOOKUP($B96,Seqs!$A:$B,2,0),Q96,1),"")</f>
        <v>T</v>
      </c>
      <c r="Q96" s="3">
        <v>106</v>
      </c>
      <c r="R96" s="3" t="str">
        <f>IFERROR(MID(VLOOKUP($B96,Seqs!$A:$B,2,0),S96,1),"")</f>
        <v>W</v>
      </c>
      <c r="S96" s="3">
        <v>109</v>
      </c>
      <c r="T96" s="3" t="str">
        <f>IFERROR(MID(VLOOKUP($B96,Seqs!$A:$B,2,0),U96,1),"")</f>
        <v>G</v>
      </c>
      <c r="U96" s="3">
        <v>110</v>
      </c>
      <c r="V96" s="3" t="str">
        <f>IFERROR(MID(VLOOKUP($B96,Seqs!$A:$B,2,0),W96,1),"")</f>
        <v>S</v>
      </c>
      <c r="W96" s="3">
        <v>145</v>
      </c>
      <c r="X96" s="3" t="str">
        <f>IFERROR(MID(VLOOKUP($B96,Seqs!$A:$B,2,0),Y96,1),"")</f>
        <v>P</v>
      </c>
      <c r="Y96" s="3">
        <v>146</v>
      </c>
      <c r="Z96" s="3" t="str">
        <f>IFERROR(MID(VLOOKUP($B96,Seqs!$A:$B,2,0),AA96,1),"")</f>
        <v>M</v>
      </c>
      <c r="AA96" s="3">
        <v>153</v>
      </c>
      <c r="AB96" s="3" t="str">
        <f>IFERROR(MID(VLOOKUP($B96,Seqs!$A:$B,2,0),AC96,1),"")</f>
        <v>T</v>
      </c>
      <c r="AC96" s="9">
        <v>154</v>
      </c>
      <c r="AD96" s="3" t="str">
        <f>IFERROR(MID(VLOOKUP($B96,Seqs!$A:$B,2,0),AE96,1),"")</f>
        <v>H</v>
      </c>
      <c r="AE96" s="3">
        <v>180</v>
      </c>
      <c r="AF96" s="3" t="str">
        <f>IFERROR(MID(VLOOKUP($B96,Seqs!$A:$B,2,0),AG96,1),"")</f>
        <v>C</v>
      </c>
      <c r="AG96" s="3">
        <v>199</v>
      </c>
      <c r="AH96" s="3" t="str">
        <f>IFERROR(MID(VLOOKUP($B96,Seqs!$A:$B,2,0),AI96,1),"")</f>
        <v>F</v>
      </c>
      <c r="AI96" s="3">
        <v>201</v>
      </c>
      <c r="AJ96" s="3" t="str">
        <f>IFERROR(MID(VLOOKUP($B96,Seqs!$A:$B,2,0),AK96,1),"")</f>
        <v>N</v>
      </c>
      <c r="AK96" s="3">
        <v>204</v>
      </c>
      <c r="AL96" s="3" t="str">
        <f>IFERROR(MID(VLOOKUP($B96,Seqs!$A:$B,2,0),AM96,1),"")</f>
        <v>I</v>
      </c>
      <c r="AM96" s="3">
        <v>238</v>
      </c>
      <c r="AN96" s="3" t="str">
        <f>IFERROR(MID(VLOOKUP($B96,Seqs!$A:$B,2,0),AO96,1),"")</f>
        <v>R</v>
      </c>
      <c r="AO96" s="3">
        <v>275</v>
      </c>
      <c r="AP96" s="3" t="str">
        <f>IFERROR(MID(VLOOKUP($B96,Seqs!$A:$B,2,0),AQ96,1),"")</f>
        <v>N</v>
      </c>
      <c r="AQ96" s="3">
        <v>316</v>
      </c>
      <c r="AR96" s="3" t="str">
        <f>IFERROR(MID(VLOOKUP($B96,Seqs!$A:$B,2,0),AS96,1),"")</f>
        <v>P</v>
      </c>
      <c r="AS96" s="3">
        <v>321</v>
      </c>
      <c r="AT96" s="3" t="str">
        <f>IFERROR(MID(VLOOKUP($B96,Seqs!$A:$B,2,0),AU96,1),"")</f>
        <v>R</v>
      </c>
      <c r="AU96" s="3">
        <v>345</v>
      </c>
      <c r="AV96" s="3" t="str">
        <f>IFERROR(MID(VLOOKUP($B96,Seqs!$A:$B,2,0),AW96,1),"")</f>
        <v>S</v>
      </c>
      <c r="AW96" s="3">
        <v>346</v>
      </c>
      <c r="AX96" s="3" t="str">
        <f>IFERROR(MID(VLOOKUP($B96,Seqs!$A:$B,2,0),AY96,1),"")</f>
        <v>C</v>
      </c>
      <c r="AY96" s="3">
        <v>358</v>
      </c>
      <c r="AZ96" s="77" t="str">
        <f>VLOOKUP(B96,Classification!A:D,2,0)</f>
        <v>A</v>
      </c>
      <c r="BA96" s="94" t="str">
        <f>VLOOKUP(B96,Classification!A:D,4,0)</f>
        <v>Adrenoceptors</v>
      </c>
      <c r="BB96" s="27" t="b">
        <f t="shared" si="392"/>
        <v>1</v>
      </c>
      <c r="BC96" s="23">
        <f t="shared" si="225"/>
        <v>265</v>
      </c>
      <c r="BD96" s="4" t="s">
        <v>23</v>
      </c>
      <c r="BE96" s="3" t="s">
        <v>1375</v>
      </c>
      <c r="BF96" s="119">
        <v>2.8</v>
      </c>
      <c r="BG96" s="49" t="s">
        <v>1378</v>
      </c>
      <c r="BH96" s="49" t="s">
        <v>1378</v>
      </c>
      <c r="BI96" s="1"/>
      <c r="BJ96" s="70" t="s">
        <v>1288</v>
      </c>
      <c r="BK96" s="57" t="s">
        <v>1288</v>
      </c>
      <c r="BL96" s="57" t="s">
        <v>1288</v>
      </c>
      <c r="BM96" s="57" t="s">
        <v>1288</v>
      </c>
      <c r="BN96" s="57" t="s">
        <v>1288</v>
      </c>
      <c r="BO96" s="57" t="s">
        <v>1288</v>
      </c>
      <c r="BP96" s="57" t="s">
        <v>1288</v>
      </c>
      <c r="BQ96" s="57" t="s">
        <v>1288</v>
      </c>
      <c r="BR96" s="57" t="s">
        <v>1288</v>
      </c>
      <c r="BS96" s="57" t="s">
        <v>1288</v>
      </c>
      <c r="BT96" s="57" t="s">
        <v>1288</v>
      </c>
      <c r="BU96" s="57" t="s">
        <v>1288</v>
      </c>
      <c r="BV96" s="70">
        <f t="shared" si="226"/>
        <v>33</v>
      </c>
      <c r="BW96" s="71">
        <f t="shared" si="227"/>
        <v>70</v>
      </c>
      <c r="BX96" s="72">
        <f t="shared" si="228"/>
        <v>74</v>
      </c>
      <c r="BY96" s="71">
        <f t="shared" si="229"/>
        <v>106</v>
      </c>
      <c r="BZ96" s="72">
        <f t="shared" si="230"/>
        <v>110</v>
      </c>
      <c r="CA96" s="71">
        <f t="shared" si="231"/>
        <v>146</v>
      </c>
      <c r="CB96" s="72">
        <f t="shared" si="232"/>
        <v>154</v>
      </c>
      <c r="CC96" s="71">
        <f t="shared" si="233"/>
        <v>199</v>
      </c>
      <c r="CD96" s="72">
        <f t="shared" si="234"/>
        <v>204</v>
      </c>
      <c r="CE96" s="71">
        <f t="shared" si="235"/>
        <v>275</v>
      </c>
      <c r="CF96" s="72">
        <f t="shared" si="236"/>
        <v>321</v>
      </c>
      <c r="CG96" s="71">
        <f t="shared" si="237"/>
        <v>346</v>
      </c>
      <c r="CH96" s="70">
        <f t="shared" si="238"/>
        <v>69</v>
      </c>
      <c r="CI96" s="71">
        <f t="shared" si="239"/>
        <v>73</v>
      </c>
      <c r="CJ96" s="72">
        <f t="shared" si="240"/>
        <v>104</v>
      </c>
      <c r="CK96" s="72">
        <f t="shared" si="241"/>
        <v>109</v>
      </c>
      <c r="CL96" s="72">
        <f t="shared" si="242"/>
        <v>145</v>
      </c>
      <c r="CM96" s="72">
        <f t="shared" si="243"/>
        <v>153</v>
      </c>
      <c r="CN96" s="72">
        <f t="shared" si="244"/>
        <v>180</v>
      </c>
      <c r="CO96" s="72">
        <f t="shared" si="245"/>
        <v>201</v>
      </c>
      <c r="CP96" s="72">
        <f t="shared" si="246"/>
        <v>238</v>
      </c>
      <c r="CQ96" s="72">
        <f t="shared" si="247"/>
        <v>316</v>
      </c>
      <c r="CR96" s="72">
        <f t="shared" si="248"/>
        <v>345</v>
      </c>
      <c r="CS96" s="72">
        <f t="shared" si="249"/>
        <v>358</v>
      </c>
      <c r="CT96" s="23">
        <f t="shared" si="250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si="391"/>
        <v>adrb1_melga_3ZPR</v>
      </c>
      <c r="B97" s="3" t="s">
        <v>912</v>
      </c>
      <c r="C97" s="3" t="s">
        <v>1039</v>
      </c>
      <c r="D97" s="3" t="str">
        <f>IFERROR(MID(VLOOKUP($B97,Seqs!$A:$B,2,0),E97,1),"")</f>
        <v>A</v>
      </c>
      <c r="E97" s="3">
        <v>33</v>
      </c>
      <c r="F97" s="3" t="str">
        <f>IFERROR(MID(VLOOKUP($B97,Seqs!$A:$B,2,0),G97,1),"")</f>
        <v>T</v>
      </c>
      <c r="G97" s="3">
        <v>69</v>
      </c>
      <c r="H97" s="3" t="str">
        <f>IFERROR(MID(VLOOKUP($B97,Seqs!$A:$B,2,0),I97,1),"")</f>
        <v>Q</v>
      </c>
      <c r="I97" s="23">
        <v>70</v>
      </c>
      <c r="J97" s="3" t="str">
        <f>IFERROR(MID(VLOOKUP($B97,Seqs!$A:$B,2,0),K97,1),"")</f>
        <v>Q</v>
      </c>
      <c r="K97" s="23">
        <v>73</v>
      </c>
      <c r="L97" s="3" t="str">
        <f>IFERROR(MID(VLOOKUP($B97,Seqs!$A:$B,2,0),M97,1),"")</f>
        <v>T</v>
      </c>
      <c r="M97" s="3">
        <v>74</v>
      </c>
      <c r="N97" s="3" t="str">
        <f>IFERROR(MID(VLOOKUP($B97,Seqs!$A:$B,2,0),O97,1),"")</f>
        <v>R</v>
      </c>
      <c r="O97" s="3">
        <v>104</v>
      </c>
      <c r="P97" s="3" t="str">
        <f>IFERROR(MID(VLOOKUP($B97,Seqs!$A:$B,2,0),Q97,1),"")</f>
        <v>T</v>
      </c>
      <c r="Q97" s="3">
        <v>106</v>
      </c>
      <c r="R97" s="3" t="str">
        <f>IFERROR(MID(VLOOKUP($B97,Seqs!$A:$B,2,0),S97,1),"")</f>
        <v>W</v>
      </c>
      <c r="S97" s="3">
        <v>109</v>
      </c>
      <c r="T97" s="3" t="str">
        <f>IFERROR(MID(VLOOKUP($B97,Seqs!$A:$B,2,0),U97,1),"")</f>
        <v>G</v>
      </c>
      <c r="U97" s="3">
        <v>110</v>
      </c>
      <c r="V97" s="3" t="str">
        <f>IFERROR(MID(VLOOKUP($B97,Seqs!$A:$B,2,0),W97,1),"")</f>
        <v>S</v>
      </c>
      <c r="W97" s="3">
        <v>145</v>
      </c>
      <c r="X97" s="3" t="str">
        <f>IFERROR(MID(VLOOKUP($B97,Seqs!$A:$B,2,0),Y97,1),"")</f>
        <v>P</v>
      </c>
      <c r="Y97" s="3">
        <v>146</v>
      </c>
      <c r="Z97" s="3" t="str">
        <f>IFERROR(MID(VLOOKUP($B97,Seqs!$A:$B,2,0),AA97,1),"")</f>
        <v>M</v>
      </c>
      <c r="AA97" s="3">
        <v>153</v>
      </c>
      <c r="AB97" s="3" t="str">
        <f>IFERROR(MID(VLOOKUP($B97,Seqs!$A:$B,2,0),AC97,1),"")</f>
        <v>T</v>
      </c>
      <c r="AC97" s="9">
        <v>154</v>
      </c>
      <c r="AD97" s="3" t="str">
        <f>IFERROR(MID(VLOOKUP($B97,Seqs!$A:$B,2,0),AE97,1),"")</f>
        <v>H</v>
      </c>
      <c r="AE97" s="3">
        <v>180</v>
      </c>
      <c r="AF97" s="3" t="str">
        <f>IFERROR(MID(VLOOKUP($B97,Seqs!$A:$B,2,0),AG97,1),"")</f>
        <v>C</v>
      </c>
      <c r="AG97" s="3">
        <v>199</v>
      </c>
      <c r="AH97" s="3" t="str">
        <f>IFERROR(MID(VLOOKUP($B97,Seqs!$A:$B,2,0),AI97,1),"")</f>
        <v>F</v>
      </c>
      <c r="AI97" s="3">
        <v>201</v>
      </c>
      <c r="AJ97" s="3" t="str">
        <f>IFERROR(MID(VLOOKUP($B97,Seqs!$A:$B,2,0),AK97,1),"")</f>
        <v>N</v>
      </c>
      <c r="AK97" s="3">
        <v>204</v>
      </c>
      <c r="AL97" s="3" t="str">
        <f>IFERROR(MID(VLOOKUP($B97,Seqs!$A:$B,2,0),AM97,1),"")</f>
        <v>I</v>
      </c>
      <c r="AM97" s="3">
        <v>238</v>
      </c>
      <c r="AN97" s="3" t="str">
        <f>IFERROR(MID(VLOOKUP($B97,Seqs!$A:$B,2,0),AO97,1),"")</f>
        <v>R</v>
      </c>
      <c r="AO97" s="3">
        <v>275</v>
      </c>
      <c r="AP97" s="3" t="str">
        <f>IFERROR(MID(VLOOKUP($B97,Seqs!$A:$B,2,0),AQ97,1),"")</f>
        <v>N</v>
      </c>
      <c r="AQ97" s="3">
        <v>316</v>
      </c>
      <c r="AR97" s="3" t="str">
        <f>IFERROR(MID(VLOOKUP($B97,Seqs!$A:$B,2,0),AS97,1),"")</f>
        <v>P</v>
      </c>
      <c r="AS97" s="3">
        <v>321</v>
      </c>
      <c r="AT97" s="3" t="str">
        <f>IFERROR(MID(VLOOKUP($B97,Seqs!$A:$B,2,0),AU97,1),"")</f>
        <v>R</v>
      </c>
      <c r="AU97" s="3">
        <v>345</v>
      </c>
      <c r="AV97" s="3" t="str">
        <f>IFERROR(MID(VLOOKUP($B97,Seqs!$A:$B,2,0),AW97,1),"")</f>
        <v>S</v>
      </c>
      <c r="AW97" s="3">
        <v>346</v>
      </c>
      <c r="AX97" s="3" t="str">
        <f>IFERROR(MID(VLOOKUP($B97,Seqs!$A:$B,2,0),AY97,1),"")</f>
        <v>C</v>
      </c>
      <c r="AY97" s="3">
        <v>358</v>
      </c>
      <c r="AZ97" s="77" t="str">
        <f>VLOOKUP(B97,Classification!A:D,2,0)</f>
        <v>A</v>
      </c>
      <c r="BA97" s="94" t="str">
        <f>VLOOKUP(B97,Classification!A:D,4,0)</f>
        <v>Adrenoceptors</v>
      </c>
      <c r="BB97" s="27" t="b">
        <f t="shared" si="392"/>
        <v>1</v>
      </c>
      <c r="BC97" s="23">
        <f t="shared" si="225"/>
        <v>265</v>
      </c>
      <c r="BD97" s="4" t="s">
        <v>23</v>
      </c>
      <c r="BE97" s="3" t="s">
        <v>1375</v>
      </c>
      <c r="BF97" s="119">
        <v>2.7</v>
      </c>
      <c r="BG97" s="49" t="s">
        <v>1378</v>
      </c>
      <c r="BH97" s="49" t="s">
        <v>1378</v>
      </c>
      <c r="BI97" s="1"/>
      <c r="BJ97" s="70" t="s">
        <v>1288</v>
      </c>
      <c r="BK97" s="57" t="s">
        <v>1288</v>
      </c>
      <c r="BL97" s="57" t="s">
        <v>1288</v>
      </c>
      <c r="BM97" s="57" t="s">
        <v>1288</v>
      </c>
      <c r="BN97" s="57" t="s">
        <v>1288</v>
      </c>
      <c r="BO97" s="57" t="s">
        <v>1288</v>
      </c>
      <c r="BP97" s="57" t="s">
        <v>1288</v>
      </c>
      <c r="BQ97" s="57" t="s">
        <v>1288</v>
      </c>
      <c r="BR97" s="57" t="s">
        <v>1288</v>
      </c>
      <c r="BS97" s="57" t="s">
        <v>1288</v>
      </c>
      <c r="BT97" s="57" t="s">
        <v>1288</v>
      </c>
      <c r="BU97" s="57" t="s">
        <v>1288</v>
      </c>
      <c r="BV97" s="70">
        <f t="shared" si="226"/>
        <v>33</v>
      </c>
      <c r="BW97" s="71">
        <f t="shared" si="227"/>
        <v>70</v>
      </c>
      <c r="BX97" s="72">
        <f t="shared" si="228"/>
        <v>74</v>
      </c>
      <c r="BY97" s="71">
        <f t="shared" si="229"/>
        <v>106</v>
      </c>
      <c r="BZ97" s="72">
        <f t="shared" si="230"/>
        <v>110</v>
      </c>
      <c r="CA97" s="71">
        <f t="shared" si="231"/>
        <v>146</v>
      </c>
      <c r="CB97" s="72">
        <f t="shared" si="232"/>
        <v>154</v>
      </c>
      <c r="CC97" s="71">
        <f t="shared" si="233"/>
        <v>199</v>
      </c>
      <c r="CD97" s="72">
        <f t="shared" si="234"/>
        <v>204</v>
      </c>
      <c r="CE97" s="71">
        <f t="shared" si="235"/>
        <v>275</v>
      </c>
      <c r="CF97" s="72">
        <f t="shared" si="236"/>
        <v>321</v>
      </c>
      <c r="CG97" s="71">
        <f t="shared" si="237"/>
        <v>346</v>
      </c>
      <c r="CH97" s="70">
        <f t="shared" si="238"/>
        <v>69</v>
      </c>
      <c r="CI97" s="71">
        <f t="shared" si="239"/>
        <v>73</v>
      </c>
      <c r="CJ97" s="72">
        <f t="shared" si="240"/>
        <v>104</v>
      </c>
      <c r="CK97" s="72">
        <f t="shared" si="241"/>
        <v>109</v>
      </c>
      <c r="CL97" s="72">
        <f t="shared" si="242"/>
        <v>145</v>
      </c>
      <c r="CM97" s="72">
        <f t="shared" si="243"/>
        <v>153</v>
      </c>
      <c r="CN97" s="72">
        <f t="shared" si="244"/>
        <v>180</v>
      </c>
      <c r="CO97" s="72">
        <f t="shared" si="245"/>
        <v>201</v>
      </c>
      <c r="CP97" s="72">
        <f t="shared" si="246"/>
        <v>238</v>
      </c>
      <c r="CQ97" s="72">
        <f t="shared" si="247"/>
        <v>316</v>
      </c>
      <c r="CR97" s="72">
        <f t="shared" si="248"/>
        <v>345</v>
      </c>
      <c r="CS97" s="72">
        <f t="shared" si="249"/>
        <v>358</v>
      </c>
      <c r="CT97" s="23">
        <f t="shared" si="250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si="391"/>
        <v>adrb1_melga_4AMI</v>
      </c>
      <c r="B98" s="3" t="s">
        <v>912</v>
      </c>
      <c r="C98" s="3" t="s">
        <v>1040</v>
      </c>
      <c r="D98" s="3" t="str">
        <f>IFERROR(MID(VLOOKUP($B98,Seqs!$A:$B,2,0),E98,1),"")</f>
        <v>A</v>
      </c>
      <c r="E98" s="3">
        <v>33</v>
      </c>
      <c r="F98" s="3" t="str">
        <f>IFERROR(MID(VLOOKUP($B98,Seqs!$A:$B,2,0),G98,1),"")</f>
        <v>T</v>
      </c>
      <c r="G98" s="3">
        <v>69</v>
      </c>
      <c r="H98" s="3" t="str">
        <f>IFERROR(MID(VLOOKUP($B98,Seqs!$A:$B,2,0),I98,1),"")</f>
        <v>Q</v>
      </c>
      <c r="I98" s="23">
        <v>70</v>
      </c>
      <c r="J98" s="3" t="str">
        <f>IFERROR(MID(VLOOKUP($B98,Seqs!$A:$B,2,0),K98,1),"")</f>
        <v>Q</v>
      </c>
      <c r="K98" s="23">
        <v>73</v>
      </c>
      <c r="L98" s="3" t="str">
        <f>IFERROR(MID(VLOOKUP($B98,Seqs!$A:$B,2,0),M98,1),"")</f>
        <v>T</v>
      </c>
      <c r="M98" s="3">
        <v>74</v>
      </c>
      <c r="N98" s="3" t="str">
        <f>IFERROR(MID(VLOOKUP($B98,Seqs!$A:$B,2,0),O98,1),"")</f>
        <v>R</v>
      </c>
      <c r="O98" s="3">
        <v>104</v>
      </c>
      <c r="P98" s="3" t="str">
        <f>IFERROR(MID(VLOOKUP($B98,Seqs!$A:$B,2,0),Q98,1),"")</f>
        <v>T</v>
      </c>
      <c r="Q98" s="3">
        <v>106</v>
      </c>
      <c r="R98" s="3" t="str">
        <f>IFERROR(MID(VLOOKUP($B98,Seqs!$A:$B,2,0),S98,1),"")</f>
        <v>W</v>
      </c>
      <c r="S98" s="3">
        <v>109</v>
      </c>
      <c r="T98" s="3" t="str">
        <f>IFERROR(MID(VLOOKUP($B98,Seqs!$A:$B,2,0),U98,1),"")</f>
        <v>G</v>
      </c>
      <c r="U98" s="3">
        <v>110</v>
      </c>
      <c r="V98" s="3" t="str">
        <f>IFERROR(MID(VLOOKUP($B98,Seqs!$A:$B,2,0),W98,1),"")</f>
        <v>S</v>
      </c>
      <c r="W98" s="3">
        <v>145</v>
      </c>
      <c r="X98" s="3" t="str">
        <f>IFERROR(MID(VLOOKUP($B98,Seqs!$A:$B,2,0),Y98,1),"")</f>
        <v>P</v>
      </c>
      <c r="Y98" s="3">
        <v>146</v>
      </c>
      <c r="Z98" s="3" t="str">
        <f>IFERROR(MID(VLOOKUP($B98,Seqs!$A:$B,2,0),AA98,1),"")</f>
        <v>M</v>
      </c>
      <c r="AA98" s="3">
        <v>153</v>
      </c>
      <c r="AB98" s="3" t="str">
        <f>IFERROR(MID(VLOOKUP($B98,Seqs!$A:$B,2,0),AC98,1),"")</f>
        <v>T</v>
      </c>
      <c r="AC98" s="9">
        <v>154</v>
      </c>
      <c r="AD98" s="3" t="str">
        <f>IFERROR(MID(VLOOKUP($B98,Seqs!$A:$B,2,0),AE98,1),"")</f>
        <v>H</v>
      </c>
      <c r="AE98" s="3">
        <v>180</v>
      </c>
      <c r="AF98" s="3" t="str">
        <f>IFERROR(MID(VLOOKUP($B98,Seqs!$A:$B,2,0),AG98,1),"")</f>
        <v>C</v>
      </c>
      <c r="AG98" s="3">
        <v>199</v>
      </c>
      <c r="AH98" s="3" t="str">
        <f>IFERROR(MID(VLOOKUP($B98,Seqs!$A:$B,2,0),AI98,1),"")</f>
        <v>F</v>
      </c>
      <c r="AI98" s="3">
        <v>201</v>
      </c>
      <c r="AJ98" s="3" t="str">
        <f>IFERROR(MID(VLOOKUP($B98,Seqs!$A:$B,2,0),AK98,1),"")</f>
        <v>N</v>
      </c>
      <c r="AK98" s="3">
        <v>204</v>
      </c>
      <c r="AL98" s="3" t="str">
        <f>IFERROR(MID(VLOOKUP($B98,Seqs!$A:$B,2,0),AM98,1),"")</f>
        <v>E</v>
      </c>
      <c r="AM98" s="3">
        <v>236</v>
      </c>
      <c r="AN98" s="3" t="str">
        <f>IFERROR(MID(VLOOKUP($B98,Seqs!$A:$B,2,0),AO98,1),"")</f>
        <v>A</v>
      </c>
      <c r="AO98" s="3">
        <v>288</v>
      </c>
      <c r="AP98" s="3" t="str">
        <f>IFERROR(MID(VLOOKUP($B98,Seqs!$A:$B,2,0),AQ98,1),"")</f>
        <v>N</v>
      </c>
      <c r="AQ98" s="3">
        <v>316</v>
      </c>
      <c r="AR98" s="3" t="str">
        <f>IFERROR(MID(VLOOKUP($B98,Seqs!$A:$B,2,0),AS98,1),"")</f>
        <v>P</v>
      </c>
      <c r="AS98" s="3">
        <v>321</v>
      </c>
      <c r="AT98" s="3" t="str">
        <f>IFERROR(MID(VLOOKUP($B98,Seqs!$A:$B,2,0),AU98,1),"")</f>
        <v>R</v>
      </c>
      <c r="AU98" s="3">
        <v>345</v>
      </c>
      <c r="AV98" s="3" t="str">
        <f>IFERROR(MID(VLOOKUP($B98,Seqs!$A:$B,2,0),AW98,1),"")</f>
        <v>S</v>
      </c>
      <c r="AW98" s="3">
        <v>346</v>
      </c>
      <c r="AX98" s="3" t="str">
        <f>IFERROR(MID(VLOOKUP($B98,Seqs!$A:$B,2,0),AY98,1),"")</f>
        <v>C</v>
      </c>
      <c r="AY98" s="3">
        <v>358</v>
      </c>
      <c r="AZ98" s="77" t="str">
        <f>VLOOKUP(B98,Classification!A:D,2,0)</f>
        <v>A</v>
      </c>
      <c r="BA98" s="94" t="str">
        <f>VLOOKUP(B98,Classification!A:D,4,0)</f>
        <v>Adrenoceptors</v>
      </c>
      <c r="BB98" s="27" t="b">
        <f t="shared" si="392"/>
        <v>1</v>
      </c>
      <c r="BC98" s="23">
        <f t="shared" si="225"/>
        <v>250</v>
      </c>
      <c r="BD98" s="4" t="s">
        <v>23</v>
      </c>
      <c r="BE98" s="3" t="s">
        <v>1375</v>
      </c>
      <c r="BF98" s="119">
        <v>3.2</v>
      </c>
      <c r="BG98" s="49" t="s">
        <v>1378</v>
      </c>
      <c r="BH98" s="49" t="s">
        <v>1378</v>
      </c>
      <c r="BI98" s="1"/>
      <c r="BJ98" s="70" t="s">
        <v>1288</v>
      </c>
      <c r="BK98" s="57" t="s">
        <v>1288</v>
      </c>
      <c r="BL98" s="57" t="s">
        <v>1288</v>
      </c>
      <c r="BM98" s="57" t="s">
        <v>1288</v>
      </c>
      <c r="BN98" s="57" t="s">
        <v>1288</v>
      </c>
      <c r="BO98" s="57" t="s">
        <v>1288</v>
      </c>
      <c r="BP98" s="57" t="s">
        <v>1288</v>
      </c>
      <c r="BQ98" s="57" t="s">
        <v>1288</v>
      </c>
      <c r="BR98" s="57" t="s">
        <v>1288</v>
      </c>
      <c r="BS98" s="57" t="s">
        <v>1288</v>
      </c>
      <c r="BT98" s="57" t="s">
        <v>1288</v>
      </c>
      <c r="BU98" s="57" t="s">
        <v>1288</v>
      </c>
      <c r="BV98" s="70">
        <f t="shared" si="226"/>
        <v>33</v>
      </c>
      <c r="BW98" s="71">
        <f t="shared" si="227"/>
        <v>70</v>
      </c>
      <c r="BX98" s="72">
        <f t="shared" si="228"/>
        <v>74</v>
      </c>
      <c r="BY98" s="71">
        <f t="shared" si="229"/>
        <v>106</v>
      </c>
      <c r="BZ98" s="72">
        <f t="shared" si="230"/>
        <v>110</v>
      </c>
      <c r="CA98" s="71">
        <f t="shared" si="231"/>
        <v>146</v>
      </c>
      <c r="CB98" s="72">
        <f t="shared" si="232"/>
        <v>154</v>
      </c>
      <c r="CC98" s="71">
        <f t="shared" si="233"/>
        <v>199</v>
      </c>
      <c r="CD98" s="72">
        <f t="shared" si="234"/>
        <v>204</v>
      </c>
      <c r="CE98" s="71">
        <f t="shared" si="235"/>
        <v>288</v>
      </c>
      <c r="CF98" s="72">
        <f t="shared" si="236"/>
        <v>321</v>
      </c>
      <c r="CG98" s="71">
        <f t="shared" si="237"/>
        <v>346</v>
      </c>
      <c r="CH98" s="70">
        <f t="shared" si="238"/>
        <v>69</v>
      </c>
      <c r="CI98" s="71">
        <f t="shared" si="239"/>
        <v>73</v>
      </c>
      <c r="CJ98" s="72">
        <f t="shared" si="240"/>
        <v>104</v>
      </c>
      <c r="CK98" s="72">
        <f t="shared" si="241"/>
        <v>109</v>
      </c>
      <c r="CL98" s="72">
        <f t="shared" si="242"/>
        <v>145</v>
      </c>
      <c r="CM98" s="72">
        <f t="shared" si="243"/>
        <v>153</v>
      </c>
      <c r="CN98" s="72">
        <f t="shared" si="244"/>
        <v>180</v>
      </c>
      <c r="CO98" s="72">
        <f t="shared" si="245"/>
        <v>201</v>
      </c>
      <c r="CP98" s="72">
        <f t="shared" si="246"/>
        <v>236</v>
      </c>
      <c r="CQ98" s="72">
        <f t="shared" si="247"/>
        <v>316</v>
      </c>
      <c r="CR98" s="72">
        <f t="shared" si="248"/>
        <v>345</v>
      </c>
      <c r="CS98" s="72">
        <f t="shared" si="249"/>
        <v>358</v>
      </c>
      <c r="CT98" s="23">
        <f t="shared" si="250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si="391"/>
        <v>adrb1_melga_4AMJ</v>
      </c>
      <c r="B99" s="3" t="s">
        <v>912</v>
      </c>
      <c r="C99" s="3" t="s">
        <v>1041</v>
      </c>
      <c r="D99" s="3" t="str">
        <f>IFERROR(MID(VLOOKUP($B99,Seqs!$A:$B,2,0),E99,1),"")</f>
        <v>A</v>
      </c>
      <c r="E99" s="3">
        <v>33</v>
      </c>
      <c r="F99" s="3" t="str">
        <f>IFERROR(MID(VLOOKUP($B99,Seqs!$A:$B,2,0),G99,1),"")</f>
        <v>T</v>
      </c>
      <c r="G99" s="3">
        <v>69</v>
      </c>
      <c r="H99" s="3" t="str">
        <f>IFERROR(MID(VLOOKUP($B99,Seqs!$A:$B,2,0),I99,1),"")</f>
        <v>Q</v>
      </c>
      <c r="I99" s="23">
        <v>70</v>
      </c>
      <c r="J99" s="3" t="str">
        <f>IFERROR(MID(VLOOKUP($B99,Seqs!$A:$B,2,0),K99,1),"")</f>
        <v>Q</v>
      </c>
      <c r="K99" s="23">
        <v>73</v>
      </c>
      <c r="L99" s="3" t="str">
        <f>IFERROR(MID(VLOOKUP($B99,Seqs!$A:$B,2,0),M99,1),"")</f>
        <v>T</v>
      </c>
      <c r="M99" s="3">
        <v>74</v>
      </c>
      <c r="N99" s="3" t="str">
        <f>IFERROR(MID(VLOOKUP($B99,Seqs!$A:$B,2,0),O99,1),"")</f>
        <v>R</v>
      </c>
      <c r="O99" s="3">
        <v>104</v>
      </c>
      <c r="P99" s="3" t="str">
        <f>IFERROR(MID(VLOOKUP($B99,Seqs!$A:$B,2,0),Q99,1),"")</f>
        <v>T</v>
      </c>
      <c r="Q99" s="3">
        <v>106</v>
      </c>
      <c r="R99" s="3" t="str">
        <f>IFERROR(MID(VLOOKUP($B99,Seqs!$A:$B,2,0),S99,1),"")</f>
        <v>W</v>
      </c>
      <c r="S99" s="3">
        <v>109</v>
      </c>
      <c r="T99" s="3" t="str">
        <f>IFERROR(MID(VLOOKUP($B99,Seqs!$A:$B,2,0),U99,1),"")</f>
        <v>G</v>
      </c>
      <c r="U99" s="3">
        <v>110</v>
      </c>
      <c r="V99" s="3" t="str">
        <f>IFERROR(MID(VLOOKUP($B99,Seqs!$A:$B,2,0),W99,1),"")</f>
        <v>S</v>
      </c>
      <c r="W99" s="3">
        <v>145</v>
      </c>
      <c r="X99" s="3" t="str">
        <f>IFERROR(MID(VLOOKUP($B99,Seqs!$A:$B,2,0),Y99,1),"")</f>
        <v>P</v>
      </c>
      <c r="Y99" s="3">
        <v>146</v>
      </c>
      <c r="Z99" s="3" t="str">
        <f>IFERROR(MID(VLOOKUP($B99,Seqs!$A:$B,2,0),AA99,1),"")</f>
        <v>M</v>
      </c>
      <c r="AA99" s="3">
        <v>153</v>
      </c>
      <c r="AB99" s="3" t="str">
        <f>IFERROR(MID(VLOOKUP($B99,Seqs!$A:$B,2,0),AC99,1),"")</f>
        <v>T</v>
      </c>
      <c r="AC99" s="9">
        <v>154</v>
      </c>
      <c r="AD99" s="3" t="str">
        <f>IFERROR(MID(VLOOKUP($B99,Seqs!$A:$B,2,0),AE99,1),"")</f>
        <v>H</v>
      </c>
      <c r="AE99" s="3">
        <v>180</v>
      </c>
      <c r="AF99" s="3" t="str">
        <f>IFERROR(MID(VLOOKUP($B99,Seqs!$A:$B,2,0),AG99,1),"")</f>
        <v>C</v>
      </c>
      <c r="AG99" s="3">
        <v>199</v>
      </c>
      <c r="AH99" s="3" t="str">
        <f>IFERROR(MID(VLOOKUP($B99,Seqs!$A:$B,2,0),AI99,1),"")</f>
        <v>F</v>
      </c>
      <c r="AI99" s="3">
        <v>201</v>
      </c>
      <c r="AJ99" s="3" t="str">
        <f>IFERROR(MID(VLOOKUP($B99,Seqs!$A:$B,2,0),AK99,1),"")</f>
        <v>N</v>
      </c>
      <c r="AK99" s="3">
        <v>204</v>
      </c>
      <c r="AL99" s="3" t="str">
        <f>IFERROR(MID(VLOOKUP($B99,Seqs!$A:$B,2,0),AM99,1),"")</f>
        <v>I</v>
      </c>
      <c r="AM99" s="3">
        <v>238</v>
      </c>
      <c r="AN99" s="3" t="str">
        <f>IFERROR(MID(VLOOKUP($B99,Seqs!$A:$B,2,0),AO99,1),"")</f>
        <v>R</v>
      </c>
      <c r="AO99" s="3">
        <v>275</v>
      </c>
      <c r="AP99" s="3" t="str">
        <f>IFERROR(MID(VLOOKUP($B99,Seqs!$A:$B,2,0),AQ99,1),"")</f>
        <v>N</v>
      </c>
      <c r="AQ99" s="3">
        <v>316</v>
      </c>
      <c r="AR99" s="3" t="str">
        <f>IFERROR(MID(VLOOKUP($B99,Seqs!$A:$B,2,0),AS99,1),"")</f>
        <v>P</v>
      </c>
      <c r="AS99" s="3">
        <v>321</v>
      </c>
      <c r="AT99" s="3" t="str">
        <f>IFERROR(MID(VLOOKUP($B99,Seqs!$A:$B,2,0),AU99,1),"")</f>
        <v>R</v>
      </c>
      <c r="AU99" s="3">
        <v>345</v>
      </c>
      <c r="AV99" s="3" t="str">
        <f>IFERROR(MID(VLOOKUP($B99,Seqs!$A:$B,2,0),AW99,1),"")</f>
        <v>S</v>
      </c>
      <c r="AW99" s="3">
        <v>346</v>
      </c>
      <c r="AX99" s="3" t="str">
        <f>IFERROR(MID(VLOOKUP($B99,Seqs!$A:$B,2,0),AY99,1),"")</f>
        <v>C</v>
      </c>
      <c r="AY99" s="3">
        <v>358</v>
      </c>
      <c r="AZ99" s="77" t="str">
        <f>VLOOKUP(B99,Classification!A:D,2,0)</f>
        <v>A</v>
      </c>
      <c r="BA99" s="94" t="str">
        <f>VLOOKUP(B99,Classification!A:D,4,0)</f>
        <v>Adrenoceptors</v>
      </c>
      <c r="BB99" s="27" t="b">
        <f t="shared" si="392"/>
        <v>1</v>
      </c>
      <c r="BC99" s="23">
        <f t="shared" si="225"/>
        <v>265</v>
      </c>
      <c r="BD99" s="2" t="s">
        <v>1377</v>
      </c>
      <c r="BE99" s="3" t="s">
        <v>1375</v>
      </c>
      <c r="BF99" s="119">
        <v>2.2999999999999998</v>
      </c>
      <c r="BG99" s="49" t="s">
        <v>1378</v>
      </c>
      <c r="BH99" s="49" t="s">
        <v>1378</v>
      </c>
      <c r="BI99" s="1"/>
      <c r="BJ99" s="70" t="s">
        <v>1288</v>
      </c>
      <c r="BK99" s="57" t="s">
        <v>1288</v>
      </c>
      <c r="BL99" s="57" t="s">
        <v>1288</v>
      </c>
      <c r="BM99" s="57" t="s">
        <v>1288</v>
      </c>
      <c r="BN99" s="57" t="s">
        <v>1288</v>
      </c>
      <c r="BO99" s="57" t="s">
        <v>1288</v>
      </c>
      <c r="BP99" s="57" t="s">
        <v>1288</v>
      </c>
      <c r="BQ99" s="57" t="s">
        <v>1288</v>
      </c>
      <c r="BR99" s="57" t="s">
        <v>1288</v>
      </c>
      <c r="BS99" s="57" t="s">
        <v>1288</v>
      </c>
      <c r="BT99" s="57" t="s">
        <v>1288</v>
      </c>
      <c r="BU99" s="57" t="s">
        <v>1288</v>
      </c>
      <c r="BV99" s="70">
        <f t="shared" si="226"/>
        <v>33</v>
      </c>
      <c r="BW99" s="71">
        <f t="shared" si="227"/>
        <v>70</v>
      </c>
      <c r="BX99" s="72">
        <f t="shared" si="228"/>
        <v>74</v>
      </c>
      <c r="BY99" s="71">
        <f t="shared" si="229"/>
        <v>106</v>
      </c>
      <c r="BZ99" s="72">
        <f t="shared" si="230"/>
        <v>110</v>
      </c>
      <c r="CA99" s="71">
        <f t="shared" si="231"/>
        <v>146</v>
      </c>
      <c r="CB99" s="72">
        <f t="shared" si="232"/>
        <v>154</v>
      </c>
      <c r="CC99" s="71">
        <f t="shared" si="233"/>
        <v>199</v>
      </c>
      <c r="CD99" s="72">
        <f t="shared" si="234"/>
        <v>204</v>
      </c>
      <c r="CE99" s="71">
        <f t="shared" si="235"/>
        <v>275</v>
      </c>
      <c r="CF99" s="72">
        <f t="shared" si="236"/>
        <v>321</v>
      </c>
      <c r="CG99" s="71">
        <f t="shared" si="237"/>
        <v>346</v>
      </c>
      <c r="CH99" s="70">
        <f t="shared" si="238"/>
        <v>69</v>
      </c>
      <c r="CI99" s="71">
        <f t="shared" si="239"/>
        <v>73</v>
      </c>
      <c r="CJ99" s="72">
        <f t="shared" si="240"/>
        <v>104</v>
      </c>
      <c r="CK99" s="72">
        <f t="shared" si="241"/>
        <v>109</v>
      </c>
      <c r="CL99" s="72">
        <f t="shared" si="242"/>
        <v>145</v>
      </c>
      <c r="CM99" s="72">
        <f t="shared" si="243"/>
        <v>153</v>
      </c>
      <c r="CN99" s="72">
        <f t="shared" si="244"/>
        <v>180</v>
      </c>
      <c r="CO99" s="72">
        <f t="shared" si="245"/>
        <v>201</v>
      </c>
      <c r="CP99" s="72">
        <f t="shared" si="246"/>
        <v>238</v>
      </c>
      <c r="CQ99" s="72">
        <f t="shared" si="247"/>
        <v>316</v>
      </c>
      <c r="CR99" s="72">
        <f t="shared" si="248"/>
        <v>345</v>
      </c>
      <c r="CS99" s="72">
        <f t="shared" si="249"/>
        <v>358</v>
      </c>
      <c r="CT99" s="23">
        <f t="shared" si="250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x14ac:dyDescent="0.2">
      <c r="A100" s="3" t="str">
        <f t="shared" si="391"/>
        <v>adrb1_melga_4BVN</v>
      </c>
      <c r="B100" s="3" t="s">
        <v>912</v>
      </c>
      <c r="C100" s="3" t="s">
        <v>82</v>
      </c>
      <c r="D100" s="3" t="str">
        <f>IFERROR(MID(VLOOKUP($B100,Seqs!$A:$B,2,0),E100,1),"")</f>
        <v>S</v>
      </c>
      <c r="E100" s="3">
        <v>37</v>
      </c>
      <c r="F100" s="3" t="str">
        <f>IFERROR(MID(VLOOKUP($B100,Seqs!$A:$B,2,0),G100,1),"")</f>
        <v>T</v>
      </c>
      <c r="G100" s="3">
        <v>69</v>
      </c>
      <c r="H100" s="3" t="str">
        <f>IFERROR(MID(VLOOKUP($B100,Seqs!$A:$B,2,0),I100,1),"")</f>
        <v>Q</v>
      </c>
      <c r="I100" s="23">
        <v>70</v>
      </c>
      <c r="J100" s="3" t="str">
        <f>IFERROR(MID(VLOOKUP($B100,Seqs!$A:$B,2,0),K100,1),"")</f>
        <v>Q</v>
      </c>
      <c r="K100" s="23">
        <v>73</v>
      </c>
      <c r="L100" s="3" t="str">
        <f>IFERROR(MID(VLOOKUP($B100,Seqs!$A:$B,2,0),M100,1),"")</f>
        <v>T</v>
      </c>
      <c r="M100" s="3">
        <v>74</v>
      </c>
      <c r="N100" s="3" t="str">
        <f>IFERROR(MID(VLOOKUP($B100,Seqs!$A:$B,2,0),O100,1),"")</f>
        <v>R</v>
      </c>
      <c r="O100" s="3">
        <v>104</v>
      </c>
      <c r="P100" s="3" t="str">
        <f>IFERROR(MID(VLOOKUP($B100,Seqs!$A:$B,2,0),Q100,1),"")</f>
        <v>T</v>
      </c>
      <c r="Q100" s="3">
        <v>106</v>
      </c>
      <c r="R100" s="3" t="str">
        <f>IFERROR(MID(VLOOKUP($B100,Seqs!$A:$B,2,0),S100,1),"")</f>
        <v>W</v>
      </c>
      <c r="S100" s="3">
        <v>109</v>
      </c>
      <c r="T100" s="3" t="str">
        <f>IFERROR(MID(VLOOKUP($B100,Seqs!$A:$B,2,0),U100,1),"")</f>
        <v>G</v>
      </c>
      <c r="U100" s="3">
        <v>110</v>
      </c>
      <c r="V100" s="3" t="str">
        <f>IFERROR(MID(VLOOKUP($B100,Seqs!$A:$B,2,0),W100,1),"")</f>
        <v>S</v>
      </c>
      <c r="W100" s="3">
        <v>145</v>
      </c>
      <c r="X100" s="3" t="str">
        <f>IFERROR(MID(VLOOKUP($B100,Seqs!$A:$B,2,0),Y100,1),"")</f>
        <v>P</v>
      </c>
      <c r="Y100" s="3">
        <v>146</v>
      </c>
      <c r="Z100" s="3" t="str">
        <f>IFERROR(MID(VLOOKUP($B100,Seqs!$A:$B,2,0),AA100,1),"")</f>
        <v>M</v>
      </c>
      <c r="AA100" s="3">
        <v>153</v>
      </c>
      <c r="AB100" s="3" t="str">
        <f>IFERROR(MID(VLOOKUP($B100,Seqs!$A:$B,2,0),AC100,1),"")</f>
        <v>T</v>
      </c>
      <c r="AC100" s="9">
        <v>154</v>
      </c>
      <c r="AD100" s="3" t="str">
        <f>IFERROR(MID(VLOOKUP($B100,Seqs!$A:$B,2,0),AE100,1),"")</f>
        <v>H</v>
      </c>
      <c r="AE100" s="3">
        <v>180</v>
      </c>
      <c r="AF100" s="3" t="str">
        <f>IFERROR(MID(VLOOKUP($B100,Seqs!$A:$B,2,0),AG100,1),"")</f>
        <v>C</v>
      </c>
      <c r="AG100" s="3">
        <v>199</v>
      </c>
      <c r="AH100" s="3" t="str">
        <f>IFERROR(MID(VLOOKUP($B100,Seqs!$A:$B,2,0),AI100,1),"")</f>
        <v>F</v>
      </c>
      <c r="AI100" s="3">
        <v>201</v>
      </c>
      <c r="AJ100" s="3" t="str">
        <f>IFERROR(MID(VLOOKUP($B100,Seqs!$A:$B,2,0),AK100,1),"")</f>
        <v>N</v>
      </c>
      <c r="AK100" s="3">
        <v>204</v>
      </c>
      <c r="AL100" s="3" t="str">
        <f>IFERROR(MID(VLOOKUP($B100,Seqs!$A:$B,2,0),AM100,1),"")</f>
        <v>R</v>
      </c>
      <c r="AM100" s="3">
        <v>239</v>
      </c>
      <c r="AN100" s="3" t="str">
        <f>IFERROR(MID(VLOOKUP($B100,Seqs!$A:$B,2,0),AO100,1),"")</f>
        <v>R</v>
      </c>
      <c r="AO100" s="3">
        <v>279</v>
      </c>
      <c r="AP100" s="3" t="str">
        <f>IFERROR(MID(VLOOKUP($B100,Seqs!$A:$B,2,0),AQ100,1),"")</f>
        <v>N</v>
      </c>
      <c r="AQ100" s="3">
        <v>316</v>
      </c>
      <c r="AR100" s="3" t="str">
        <f>IFERROR(MID(VLOOKUP($B100,Seqs!$A:$B,2,0),AS100,1),"")</f>
        <v>P</v>
      </c>
      <c r="AS100" s="3">
        <v>321</v>
      </c>
      <c r="AT100" s="3" t="str">
        <f>IFERROR(MID(VLOOKUP($B100,Seqs!$A:$B,2,0),AU100,1),"")</f>
        <v>R</v>
      </c>
      <c r="AU100" s="3">
        <v>345</v>
      </c>
      <c r="AV100" s="3" t="str">
        <f>IFERROR(MID(VLOOKUP($B100,Seqs!$A:$B,2,0),AW100,1),"")</f>
        <v>S</v>
      </c>
      <c r="AW100" s="3">
        <v>346</v>
      </c>
      <c r="AX100" s="3" t="str">
        <f>IFERROR(MID(VLOOKUP($B100,Seqs!$A:$B,2,0),AY100,1),"")</f>
        <v>C</v>
      </c>
      <c r="AY100" s="3">
        <v>358</v>
      </c>
      <c r="AZ100" s="77" t="str">
        <f>VLOOKUP(B100,Classification!A:D,2,0)</f>
        <v>A</v>
      </c>
      <c r="BA100" s="94" t="str">
        <f>VLOOKUP(B100,Classification!A:D,4,0)</f>
        <v>Adrenoceptors</v>
      </c>
      <c r="BB100" s="27" t="b">
        <f t="shared" si="392"/>
        <v>1</v>
      </c>
      <c r="BC100" s="23">
        <f t="shared" ref="BC100:BC161" si="589">_xlfn.AGGREGATE(9,6,CH100:CS100)-_xlfn.AGGREGATE(9,6,BV100:CG100)+12</f>
        <v>258</v>
      </c>
      <c r="BD100" s="4" t="s">
        <v>23</v>
      </c>
      <c r="BE100" s="3" t="s">
        <v>1375</v>
      </c>
      <c r="BF100" s="119">
        <v>2.1</v>
      </c>
      <c r="BG100" s="49" t="s">
        <v>1378</v>
      </c>
      <c r="BH100" s="49" t="s">
        <v>1378</v>
      </c>
      <c r="BI100" s="1"/>
      <c r="BJ100" s="70" t="s">
        <v>1288</v>
      </c>
      <c r="BK100" s="57" t="s">
        <v>1288</v>
      </c>
      <c r="BL100" s="57" t="s">
        <v>1288</v>
      </c>
      <c r="BM100" s="57" t="s">
        <v>1288</v>
      </c>
      <c r="BN100" s="57" t="s">
        <v>1288</v>
      </c>
      <c r="BO100" s="57" t="s">
        <v>1288</v>
      </c>
      <c r="BP100" s="57" t="s">
        <v>1288</v>
      </c>
      <c r="BQ100" s="57" t="s">
        <v>1288</v>
      </c>
      <c r="BR100" s="57" t="s">
        <v>1288</v>
      </c>
      <c r="BS100" s="57" t="s">
        <v>1288</v>
      </c>
      <c r="BT100" s="57" t="s">
        <v>1288</v>
      </c>
      <c r="BU100" s="57" t="s">
        <v>1288</v>
      </c>
      <c r="BV100" s="70">
        <f t="shared" ref="BV100:BV161" si="590">E100</f>
        <v>37</v>
      </c>
      <c r="BW100" s="71">
        <f t="shared" ref="BW100:BW161" si="591">I100</f>
        <v>70</v>
      </c>
      <c r="BX100" s="72">
        <f t="shared" ref="BX100:BX161" si="592">M100</f>
        <v>74</v>
      </c>
      <c r="BY100" s="71">
        <f t="shared" ref="BY100:BY161" si="593">Q100</f>
        <v>106</v>
      </c>
      <c r="BZ100" s="72">
        <f t="shared" ref="BZ100:BZ161" si="594">U100</f>
        <v>110</v>
      </c>
      <c r="CA100" s="71">
        <f t="shared" ref="CA100:CA161" si="595">Y100</f>
        <v>146</v>
      </c>
      <c r="CB100" s="72">
        <f t="shared" ref="CB100:CB161" si="596">AC100</f>
        <v>154</v>
      </c>
      <c r="CC100" s="71">
        <f t="shared" ref="CC100:CC161" si="597">AG100</f>
        <v>199</v>
      </c>
      <c r="CD100" s="72">
        <f t="shared" ref="CD100:CD161" si="598">AK100</f>
        <v>204</v>
      </c>
      <c r="CE100" s="71">
        <f t="shared" ref="CE100:CE161" si="599">AO100</f>
        <v>279</v>
      </c>
      <c r="CF100" s="72">
        <f t="shared" ref="CF100:CF161" si="600">AS100</f>
        <v>321</v>
      </c>
      <c r="CG100" s="71">
        <f t="shared" ref="CG100:CG161" si="601">AW100</f>
        <v>346</v>
      </c>
      <c r="CH100" s="70">
        <f t="shared" ref="CH100:CH161" si="602">G100</f>
        <v>69</v>
      </c>
      <c r="CI100" s="71">
        <f t="shared" ref="CI100:CI161" si="603">K100</f>
        <v>73</v>
      </c>
      <c r="CJ100" s="72">
        <f t="shared" ref="CJ100:CJ161" si="604">O100</f>
        <v>104</v>
      </c>
      <c r="CK100" s="72">
        <f t="shared" ref="CK100:CK161" si="605">S100</f>
        <v>109</v>
      </c>
      <c r="CL100" s="72">
        <f t="shared" ref="CL100:CL161" si="606">W100</f>
        <v>145</v>
      </c>
      <c r="CM100" s="72">
        <f t="shared" ref="CM100:CM161" si="607">AA100</f>
        <v>153</v>
      </c>
      <c r="CN100" s="72">
        <f t="shared" ref="CN100:CN161" si="608">AE100</f>
        <v>180</v>
      </c>
      <c r="CO100" s="72">
        <f t="shared" ref="CO100:CO161" si="609">AI100</f>
        <v>201</v>
      </c>
      <c r="CP100" s="72">
        <f t="shared" ref="CP100:CP161" si="610">AM100</f>
        <v>239</v>
      </c>
      <c r="CQ100" s="72">
        <f t="shared" ref="CQ100:CQ161" si="611">AQ100</f>
        <v>316</v>
      </c>
      <c r="CR100" s="72">
        <f t="shared" ref="CR100:CR161" si="612">AU100</f>
        <v>345</v>
      </c>
      <c r="CS100" s="72">
        <f t="shared" ref="CS100:CS161" si="613">AY100</f>
        <v>358</v>
      </c>
      <c r="CT100" s="23">
        <f t="shared" ref="CT100:CT161" si="614">M100-K100</f>
        <v>1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29" x14ac:dyDescent="0.2">
      <c r="A101" s="3" t="str">
        <f t="shared" si="391"/>
        <v>adrb1_melga_4GPO</v>
      </c>
      <c r="B101" s="3" t="s">
        <v>912</v>
      </c>
      <c r="C101" s="3" t="s">
        <v>1042</v>
      </c>
      <c r="D101" s="3" t="str">
        <f>IFERROR(MID(VLOOKUP($B101,Seqs!$A:$B,2,0),E101,1),"")</f>
        <v>S</v>
      </c>
      <c r="E101" s="3">
        <v>37</v>
      </c>
      <c r="F101" s="3" t="str">
        <f>IFERROR(MID(VLOOKUP($B101,Seqs!$A:$B,2,0),G101,1),"")</f>
        <v>T</v>
      </c>
      <c r="G101" s="3">
        <v>69</v>
      </c>
      <c r="H101" s="3" t="str">
        <f>IFERROR(MID(VLOOKUP($B101,Seqs!$A:$B,2,0),I101,1),"")</f>
        <v>Q</v>
      </c>
      <c r="I101" s="23">
        <v>70</v>
      </c>
      <c r="J101" s="3" t="str">
        <f>IFERROR(MID(VLOOKUP($B101,Seqs!$A:$B,2,0),K101,1),"")</f>
        <v>Q</v>
      </c>
      <c r="K101" s="23">
        <v>73</v>
      </c>
      <c r="L101" s="3" t="str">
        <f>IFERROR(MID(VLOOKUP($B101,Seqs!$A:$B,2,0),M101,1),"")</f>
        <v>T</v>
      </c>
      <c r="M101" s="3">
        <v>74</v>
      </c>
      <c r="N101" s="3" t="str">
        <f>IFERROR(MID(VLOOKUP($B101,Seqs!$A:$B,2,0),O101,1),"")</f>
        <v>R</v>
      </c>
      <c r="O101" s="3">
        <v>104</v>
      </c>
      <c r="P101" s="3" t="str">
        <f>IFERROR(MID(VLOOKUP($B101,Seqs!$A:$B,2,0),Q101,1),"")</f>
        <v>T</v>
      </c>
      <c r="Q101" s="3">
        <v>106</v>
      </c>
      <c r="R101" s="3" t="str">
        <f>IFERROR(MID(VLOOKUP($B101,Seqs!$A:$B,2,0),S101,1),"")</f>
        <v>W</v>
      </c>
      <c r="S101" s="3">
        <v>109</v>
      </c>
      <c r="T101" s="3" t="str">
        <f>IFERROR(MID(VLOOKUP($B101,Seqs!$A:$B,2,0),U101,1),"")</f>
        <v>G</v>
      </c>
      <c r="U101" s="3">
        <v>110</v>
      </c>
      <c r="V101" s="3" t="str">
        <f>IFERROR(MID(VLOOKUP($B101,Seqs!$A:$B,2,0),W101,1),"")</f>
        <v>S</v>
      </c>
      <c r="W101" s="3">
        <v>145</v>
      </c>
      <c r="X101" s="3" t="str">
        <f>IFERROR(MID(VLOOKUP($B101,Seqs!$A:$B,2,0),Y101,1),"")</f>
        <v>P</v>
      </c>
      <c r="Y101" s="3">
        <v>146</v>
      </c>
      <c r="Z101" s="3" t="str">
        <f>IFERROR(MID(VLOOKUP($B101,Seqs!$A:$B,2,0),AA101,1),"")</f>
        <v>M</v>
      </c>
      <c r="AA101" s="3">
        <v>153</v>
      </c>
      <c r="AB101" s="3" t="str">
        <f>IFERROR(MID(VLOOKUP($B101,Seqs!$A:$B,2,0),AC101,1),"")</f>
        <v>T</v>
      </c>
      <c r="AC101" s="9">
        <v>154</v>
      </c>
      <c r="AD101" s="3" t="str">
        <f>IFERROR(MID(VLOOKUP($B101,Seqs!$A:$B,2,0),AE101,1),"")</f>
        <v>H</v>
      </c>
      <c r="AE101" s="3">
        <v>180</v>
      </c>
      <c r="AF101" s="3" t="str">
        <f>IFERROR(MID(VLOOKUP($B101,Seqs!$A:$B,2,0),AG101,1),"")</f>
        <v>C</v>
      </c>
      <c r="AG101" s="3">
        <v>199</v>
      </c>
      <c r="AH101" s="3" t="str">
        <f>IFERROR(MID(VLOOKUP($B101,Seqs!$A:$B,2,0),AI101,1),"")</f>
        <v>F</v>
      </c>
      <c r="AI101" s="3">
        <v>201</v>
      </c>
      <c r="AJ101" s="3" t="str">
        <f>IFERROR(MID(VLOOKUP($B101,Seqs!$A:$B,2,0),AK101,1),"")</f>
        <v>N</v>
      </c>
      <c r="AK101" s="3">
        <v>204</v>
      </c>
      <c r="AL101" s="3" t="str">
        <f>IFERROR(MID(VLOOKUP($B101,Seqs!$A:$B,2,0),AM101,1),"")</f>
        <v>E</v>
      </c>
      <c r="AM101" s="3">
        <v>233</v>
      </c>
      <c r="AN101" s="3" t="str">
        <f>IFERROR(MID(VLOOKUP($B101,Seqs!$A:$B,2,0),AO101,1),"")</f>
        <v>M</v>
      </c>
      <c r="AO101" s="3">
        <v>283</v>
      </c>
      <c r="AP101" s="3" t="str">
        <f>IFERROR(MID(VLOOKUP($B101,Seqs!$A:$B,2,0),AQ101,1),"")</f>
        <v>N</v>
      </c>
      <c r="AQ101" s="3">
        <v>316</v>
      </c>
      <c r="AR101" s="3" t="str">
        <f>IFERROR(MID(VLOOKUP($B101,Seqs!$A:$B,2,0),AS101,1),"")</f>
        <v>P</v>
      </c>
      <c r="AS101" s="3">
        <v>321</v>
      </c>
      <c r="AT101" s="3" t="str">
        <f>IFERROR(MID(VLOOKUP($B101,Seqs!$A:$B,2,0),AU101,1),"")</f>
        <v>R</v>
      </c>
      <c r="AU101" s="3">
        <v>345</v>
      </c>
      <c r="AV101" s="3" t="str">
        <f>IFERROR(MID(VLOOKUP($B101,Seqs!$A:$B,2,0),AW101,1),"")</f>
        <v>S</v>
      </c>
      <c r="AW101" s="3">
        <v>346</v>
      </c>
      <c r="AX101" s="3" t="str">
        <f>IFERROR(MID(VLOOKUP($B101,Seqs!$A:$B,2,0),AY101,1),"")</f>
        <v>L</v>
      </c>
      <c r="AY101" s="3">
        <v>356</v>
      </c>
      <c r="AZ101" s="77" t="str">
        <f>VLOOKUP(B101,Classification!A:D,2,0)</f>
        <v>A</v>
      </c>
      <c r="BA101" s="94" t="str">
        <f>VLOOKUP(B101,Classification!A:D,4,0)</f>
        <v>Adrenoceptors</v>
      </c>
      <c r="BB101" s="27" t="b">
        <f t="shared" si="392"/>
        <v>1</v>
      </c>
      <c r="BC101" s="23">
        <f t="shared" si="589"/>
        <v>246</v>
      </c>
      <c r="BD101" s="4" t="s">
        <v>23</v>
      </c>
      <c r="BE101" s="3" t="s">
        <v>1375</v>
      </c>
      <c r="BF101" s="119">
        <v>3.5</v>
      </c>
      <c r="BG101" s="49" t="s">
        <v>1378</v>
      </c>
      <c r="BH101" s="49" t="s">
        <v>1378</v>
      </c>
      <c r="BI101" s="1"/>
      <c r="BJ101" s="70" t="s">
        <v>1288</v>
      </c>
      <c r="BK101" s="57" t="s">
        <v>1288</v>
      </c>
      <c r="BL101" s="57" t="s">
        <v>1288</v>
      </c>
      <c r="BM101" s="57" t="s">
        <v>1288</v>
      </c>
      <c r="BN101" s="57" t="s">
        <v>1288</v>
      </c>
      <c r="BO101" s="57" t="s">
        <v>1288</v>
      </c>
      <c r="BP101" s="57" t="s">
        <v>1288</v>
      </c>
      <c r="BQ101" s="57" t="s">
        <v>1288</v>
      </c>
      <c r="BR101" s="57" t="s">
        <v>1288</v>
      </c>
      <c r="BS101" s="57" t="s">
        <v>1288</v>
      </c>
      <c r="BT101" s="57" t="s">
        <v>1288</v>
      </c>
      <c r="BU101" s="57" t="s">
        <v>1288</v>
      </c>
      <c r="BV101" s="70">
        <f t="shared" si="590"/>
        <v>37</v>
      </c>
      <c r="BW101" s="71">
        <f t="shared" si="591"/>
        <v>70</v>
      </c>
      <c r="BX101" s="72">
        <f t="shared" si="592"/>
        <v>74</v>
      </c>
      <c r="BY101" s="71">
        <f t="shared" si="593"/>
        <v>106</v>
      </c>
      <c r="BZ101" s="72">
        <f t="shared" si="594"/>
        <v>110</v>
      </c>
      <c r="CA101" s="71">
        <f t="shared" si="595"/>
        <v>146</v>
      </c>
      <c r="CB101" s="72">
        <f t="shared" si="596"/>
        <v>154</v>
      </c>
      <c r="CC101" s="71">
        <f t="shared" si="597"/>
        <v>199</v>
      </c>
      <c r="CD101" s="72">
        <f t="shared" si="598"/>
        <v>204</v>
      </c>
      <c r="CE101" s="71">
        <f t="shared" si="599"/>
        <v>283</v>
      </c>
      <c r="CF101" s="72">
        <f t="shared" si="600"/>
        <v>321</v>
      </c>
      <c r="CG101" s="71">
        <f t="shared" si="601"/>
        <v>346</v>
      </c>
      <c r="CH101" s="70">
        <f t="shared" si="602"/>
        <v>69</v>
      </c>
      <c r="CI101" s="71">
        <f t="shared" si="603"/>
        <v>73</v>
      </c>
      <c r="CJ101" s="72">
        <f t="shared" si="604"/>
        <v>104</v>
      </c>
      <c r="CK101" s="72">
        <f t="shared" si="605"/>
        <v>109</v>
      </c>
      <c r="CL101" s="72">
        <f t="shared" si="606"/>
        <v>145</v>
      </c>
      <c r="CM101" s="72">
        <f t="shared" si="607"/>
        <v>153</v>
      </c>
      <c r="CN101" s="72">
        <f t="shared" si="608"/>
        <v>180</v>
      </c>
      <c r="CO101" s="72">
        <f t="shared" si="609"/>
        <v>201</v>
      </c>
      <c r="CP101" s="72">
        <f t="shared" si="610"/>
        <v>233</v>
      </c>
      <c r="CQ101" s="72">
        <f t="shared" si="611"/>
        <v>316</v>
      </c>
      <c r="CR101" s="72">
        <f t="shared" si="612"/>
        <v>345</v>
      </c>
      <c r="CS101" s="72">
        <f t="shared" si="613"/>
        <v>356</v>
      </c>
      <c r="CT101" s="23">
        <f t="shared" si="614"/>
        <v>1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29" x14ac:dyDescent="0.2">
      <c r="A102" s="3" t="str">
        <f t="shared" si="391"/>
        <v>adrb1_melga_5A8E</v>
      </c>
      <c r="B102" s="3" t="s">
        <v>912</v>
      </c>
      <c r="C102" s="3" t="s">
        <v>1059</v>
      </c>
      <c r="D102" s="3" t="str">
        <f>IFERROR(MID(VLOOKUP($B102,Seqs!$A:$B,2,0),E102,1),"")</f>
        <v>S</v>
      </c>
      <c r="E102" s="3">
        <v>37</v>
      </c>
      <c r="F102" s="3" t="str">
        <f>IFERROR(MID(VLOOKUP($B102,Seqs!$A:$B,2,0),G102,1),"")</f>
        <v>T</v>
      </c>
      <c r="G102" s="3">
        <v>69</v>
      </c>
      <c r="H102" s="3" t="str">
        <f>IFERROR(MID(VLOOKUP($B102,Seqs!$A:$B,2,0),I102,1),"")</f>
        <v>Q</v>
      </c>
      <c r="I102" s="23">
        <v>70</v>
      </c>
      <c r="J102" s="3" t="str">
        <f>IFERROR(MID(VLOOKUP($B102,Seqs!$A:$B,2,0),K102,1),"")</f>
        <v>Q</v>
      </c>
      <c r="K102" s="23">
        <v>73</v>
      </c>
      <c r="L102" s="3" t="str">
        <f>IFERROR(MID(VLOOKUP($B102,Seqs!$A:$B,2,0),M102,1),"")</f>
        <v>T</v>
      </c>
      <c r="M102" s="3">
        <v>74</v>
      </c>
      <c r="N102" s="3" t="str">
        <f>IFERROR(MID(VLOOKUP($B102,Seqs!$A:$B,2,0),O102,1),"")</f>
        <v>R</v>
      </c>
      <c r="O102" s="3">
        <v>104</v>
      </c>
      <c r="P102" s="3" t="str">
        <f>IFERROR(MID(VLOOKUP($B102,Seqs!$A:$B,2,0),Q102,1),"")</f>
        <v>T</v>
      </c>
      <c r="Q102" s="3">
        <v>106</v>
      </c>
      <c r="R102" s="3" t="str">
        <f>IFERROR(MID(VLOOKUP($B102,Seqs!$A:$B,2,0),S102,1),"")</f>
        <v>W</v>
      </c>
      <c r="S102" s="3">
        <v>109</v>
      </c>
      <c r="T102" s="3" t="str">
        <f>IFERROR(MID(VLOOKUP($B102,Seqs!$A:$B,2,0),U102,1),"")</f>
        <v>G</v>
      </c>
      <c r="U102" s="3">
        <v>110</v>
      </c>
      <c r="V102" s="3" t="str">
        <f>IFERROR(MID(VLOOKUP($B102,Seqs!$A:$B,2,0),W102,1),"")</f>
        <v>S</v>
      </c>
      <c r="W102" s="3">
        <v>145</v>
      </c>
      <c r="X102" s="3" t="str">
        <f>IFERROR(MID(VLOOKUP($B102,Seqs!$A:$B,2,0),Y102,1),"")</f>
        <v>P</v>
      </c>
      <c r="Y102" s="3">
        <v>146</v>
      </c>
      <c r="Z102" s="3" t="str">
        <f>IFERROR(MID(VLOOKUP($B102,Seqs!$A:$B,2,0),AA102,1),"")</f>
        <v>M</v>
      </c>
      <c r="AA102" s="3">
        <v>153</v>
      </c>
      <c r="AB102" s="3" t="str">
        <f>IFERROR(MID(VLOOKUP($B102,Seqs!$A:$B,2,0),AC102,1),"")</f>
        <v>T</v>
      </c>
      <c r="AC102" s="9">
        <v>154</v>
      </c>
      <c r="AD102" s="3" t="str">
        <f>IFERROR(MID(VLOOKUP($B102,Seqs!$A:$B,2,0),AE102,1),"")</f>
        <v>H</v>
      </c>
      <c r="AE102" s="3">
        <v>180</v>
      </c>
      <c r="AF102" s="3" t="str">
        <f>IFERROR(MID(VLOOKUP($B102,Seqs!$A:$B,2,0),AG102,1),"")</f>
        <v>C</v>
      </c>
      <c r="AG102" s="3">
        <v>199</v>
      </c>
      <c r="AH102" s="3" t="str">
        <f>IFERROR(MID(VLOOKUP($B102,Seqs!$A:$B,2,0),AI102,1),"")</f>
        <v>F</v>
      </c>
      <c r="AI102" s="3">
        <v>201</v>
      </c>
      <c r="AJ102" s="3" t="str">
        <f>IFERROR(MID(VLOOKUP($B102,Seqs!$A:$B,2,0),AK102,1),"")</f>
        <v>N</v>
      </c>
      <c r="AK102" s="3">
        <v>204</v>
      </c>
      <c r="AL102" s="3" t="str">
        <f>IFERROR(MID(VLOOKUP($B102,Seqs!$A:$B,2,0),AM102,1),"")</f>
        <v>R</v>
      </c>
      <c r="AM102" s="3">
        <v>239</v>
      </c>
      <c r="AN102" s="3" t="str">
        <f>IFERROR(MID(VLOOKUP($B102,Seqs!$A:$B,2,0),AO102,1),"")</f>
        <v>R</v>
      </c>
      <c r="AO102" s="3">
        <v>279</v>
      </c>
      <c r="AP102" s="3" t="str">
        <f>IFERROR(MID(VLOOKUP($B102,Seqs!$A:$B,2,0),AQ102,1),"")</f>
        <v>N</v>
      </c>
      <c r="AQ102" s="3">
        <v>316</v>
      </c>
      <c r="AR102" s="3" t="str">
        <f>IFERROR(MID(VLOOKUP($B102,Seqs!$A:$B,2,0),AS102,1),"")</f>
        <v>P</v>
      </c>
      <c r="AS102" s="3">
        <v>321</v>
      </c>
      <c r="AT102" s="3" t="str">
        <f>IFERROR(MID(VLOOKUP($B102,Seqs!$A:$B,2,0),AU102,1),"")</f>
        <v>R</v>
      </c>
      <c r="AU102" s="3">
        <v>345</v>
      </c>
      <c r="AV102" s="3" t="str">
        <f>IFERROR(MID(VLOOKUP($B102,Seqs!$A:$B,2,0),AW102,1),"")</f>
        <v>S</v>
      </c>
      <c r="AW102" s="3">
        <v>346</v>
      </c>
      <c r="AX102" s="3" t="str">
        <f>IFERROR(MID(VLOOKUP($B102,Seqs!$A:$B,2,0),AY102,1),"")</f>
        <v>K</v>
      </c>
      <c r="AY102" s="3">
        <v>354</v>
      </c>
      <c r="AZ102" s="77" t="str">
        <f>VLOOKUP(B102,Classification!A:D,2,0)</f>
        <v>A</v>
      </c>
      <c r="BA102" s="94" t="str">
        <f>VLOOKUP(B102,Classification!A:D,4,0)</f>
        <v>Adrenoceptors</v>
      </c>
      <c r="BB102" s="27" t="b">
        <f t="shared" si="392"/>
        <v>1</v>
      </c>
      <c r="BC102" s="23">
        <f t="shared" si="589"/>
        <v>254</v>
      </c>
      <c r="BD102" s="4" t="s">
        <v>23</v>
      </c>
      <c r="BE102" s="3" t="s">
        <v>1375</v>
      </c>
      <c r="BF102" s="119">
        <v>2.42</v>
      </c>
      <c r="BG102" s="49" t="s">
        <v>1378</v>
      </c>
      <c r="BH102" s="49" t="s">
        <v>1378</v>
      </c>
      <c r="BI102" s="1"/>
      <c r="BJ102" s="70" t="s">
        <v>1288</v>
      </c>
      <c r="BK102" s="57" t="s">
        <v>1288</v>
      </c>
      <c r="BL102" s="57" t="s">
        <v>1288</v>
      </c>
      <c r="BM102" s="57" t="s">
        <v>1288</v>
      </c>
      <c r="BN102" s="57" t="s">
        <v>1288</v>
      </c>
      <c r="BO102" s="57" t="s">
        <v>1288</v>
      </c>
      <c r="BP102" s="57" t="s">
        <v>1288</v>
      </c>
      <c r="BQ102" s="57" t="s">
        <v>1288</v>
      </c>
      <c r="BR102" s="57" t="s">
        <v>1288</v>
      </c>
      <c r="BS102" s="57" t="s">
        <v>1288</v>
      </c>
      <c r="BT102" s="57" t="s">
        <v>1288</v>
      </c>
      <c r="BU102" s="57" t="s">
        <v>1288</v>
      </c>
      <c r="BV102" s="70">
        <f t="shared" si="590"/>
        <v>37</v>
      </c>
      <c r="BW102" s="71">
        <f t="shared" si="591"/>
        <v>70</v>
      </c>
      <c r="BX102" s="72">
        <f t="shared" si="592"/>
        <v>74</v>
      </c>
      <c r="BY102" s="71">
        <f t="shared" si="593"/>
        <v>106</v>
      </c>
      <c r="BZ102" s="72">
        <f t="shared" si="594"/>
        <v>110</v>
      </c>
      <c r="CA102" s="71">
        <f t="shared" si="595"/>
        <v>146</v>
      </c>
      <c r="CB102" s="72">
        <f t="shared" si="596"/>
        <v>154</v>
      </c>
      <c r="CC102" s="71">
        <f t="shared" si="597"/>
        <v>199</v>
      </c>
      <c r="CD102" s="72">
        <f t="shared" si="598"/>
        <v>204</v>
      </c>
      <c r="CE102" s="71">
        <f t="shared" si="599"/>
        <v>279</v>
      </c>
      <c r="CF102" s="72">
        <f t="shared" si="600"/>
        <v>321</v>
      </c>
      <c r="CG102" s="71">
        <f t="shared" si="601"/>
        <v>346</v>
      </c>
      <c r="CH102" s="70">
        <f t="shared" si="602"/>
        <v>69</v>
      </c>
      <c r="CI102" s="71">
        <f t="shared" si="603"/>
        <v>73</v>
      </c>
      <c r="CJ102" s="72">
        <f t="shared" si="604"/>
        <v>104</v>
      </c>
      <c r="CK102" s="72">
        <f t="shared" si="605"/>
        <v>109</v>
      </c>
      <c r="CL102" s="72">
        <f t="shared" si="606"/>
        <v>145</v>
      </c>
      <c r="CM102" s="72">
        <f t="shared" si="607"/>
        <v>153</v>
      </c>
      <c r="CN102" s="72">
        <f t="shared" si="608"/>
        <v>180</v>
      </c>
      <c r="CO102" s="72">
        <f t="shared" si="609"/>
        <v>201</v>
      </c>
      <c r="CP102" s="72">
        <f t="shared" si="610"/>
        <v>239</v>
      </c>
      <c r="CQ102" s="72">
        <f t="shared" si="611"/>
        <v>316</v>
      </c>
      <c r="CR102" s="72">
        <f t="shared" si="612"/>
        <v>345</v>
      </c>
      <c r="CS102" s="72">
        <f t="shared" si="613"/>
        <v>354</v>
      </c>
      <c r="CT102" s="23">
        <f t="shared" si="614"/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29" x14ac:dyDescent="0.2">
      <c r="A103" s="3" t="str">
        <f t="shared" si="391"/>
        <v>adrb1_melga_5F8U</v>
      </c>
      <c r="B103" s="3" t="s">
        <v>912</v>
      </c>
      <c r="C103" s="3" t="s">
        <v>1355</v>
      </c>
      <c r="D103" s="3" t="str">
        <f>IFERROR(MID(VLOOKUP($B103,Seqs!$A:$B,2,0),E103,1),"")</f>
        <v>W</v>
      </c>
      <c r="E103" s="3">
        <v>40</v>
      </c>
      <c r="F103" s="3" t="str">
        <f>IFERROR(MID(VLOOKUP($B103,Seqs!$A:$B,2,0),G103,1),"")</f>
        <v>T</v>
      </c>
      <c r="G103" s="3">
        <v>69</v>
      </c>
      <c r="H103" s="3" t="str">
        <f>IFERROR(MID(VLOOKUP($B103,Seqs!$A:$B,2,0),I103,1),"")</f>
        <v>Q</v>
      </c>
      <c r="I103" s="23">
        <v>70</v>
      </c>
      <c r="J103" s="3" t="str">
        <f>IFERROR(MID(VLOOKUP($B103,Seqs!$A:$B,2,0),K103,1),"")</f>
        <v>Q</v>
      </c>
      <c r="K103" s="23">
        <v>73</v>
      </c>
      <c r="L103" s="3" t="str">
        <f>IFERROR(MID(VLOOKUP($B103,Seqs!$A:$B,2,0),M103,1),"")</f>
        <v>T</v>
      </c>
      <c r="M103" s="3">
        <v>74</v>
      </c>
      <c r="N103" s="3" t="str">
        <f>IFERROR(MID(VLOOKUP($B103,Seqs!$A:$B,2,0),O103,1),"")</f>
        <v>R</v>
      </c>
      <c r="O103" s="3">
        <v>104</v>
      </c>
      <c r="P103" s="3" t="str">
        <f>IFERROR(MID(VLOOKUP($B103,Seqs!$A:$B,2,0),Q103,1),"")</f>
        <v>T</v>
      </c>
      <c r="Q103" s="3">
        <v>106</v>
      </c>
      <c r="R103" s="3" t="str">
        <f>IFERROR(MID(VLOOKUP($B103,Seqs!$A:$B,2,0),S103,1),"")</f>
        <v>W</v>
      </c>
      <c r="S103" s="3">
        <v>109</v>
      </c>
      <c r="T103" s="3" t="str">
        <f>IFERROR(MID(VLOOKUP($B103,Seqs!$A:$B,2,0),U103,1),"")</f>
        <v>G</v>
      </c>
      <c r="U103" s="3">
        <v>110</v>
      </c>
      <c r="V103" s="3" t="str">
        <f>IFERROR(MID(VLOOKUP($B103,Seqs!$A:$B,2,0),W103,1),"")</f>
        <v>S</v>
      </c>
      <c r="W103" s="3">
        <v>145</v>
      </c>
      <c r="X103" s="3" t="str">
        <f>IFERROR(MID(VLOOKUP($B103,Seqs!$A:$B,2,0),Y103,1),"")</f>
        <v>P</v>
      </c>
      <c r="Y103" s="3">
        <v>146</v>
      </c>
      <c r="Z103" s="3" t="str">
        <f>IFERROR(MID(VLOOKUP($B103,Seqs!$A:$B,2,0),AA103,1),"")</f>
        <v>M</v>
      </c>
      <c r="AA103" s="3">
        <v>153</v>
      </c>
      <c r="AB103" s="3" t="str">
        <f>IFERROR(MID(VLOOKUP($B103,Seqs!$A:$B,2,0),AC103,1),"")</f>
        <v>T</v>
      </c>
      <c r="AC103" s="9">
        <v>154</v>
      </c>
      <c r="AD103" s="3" t="str">
        <f>IFERROR(MID(VLOOKUP($B103,Seqs!$A:$B,2,0),AE103,1),"")</f>
        <v>H</v>
      </c>
      <c r="AE103" s="3">
        <v>180</v>
      </c>
      <c r="AF103" s="3" t="str">
        <f>IFERROR(MID(VLOOKUP($B103,Seqs!$A:$B,2,0),AG103,1),"")</f>
        <v>C</v>
      </c>
      <c r="AG103" s="3">
        <v>199</v>
      </c>
      <c r="AH103" s="3" t="str">
        <f>IFERROR(MID(VLOOKUP($B103,Seqs!$A:$B,2,0),AI103,1),"")</f>
        <v>F</v>
      </c>
      <c r="AI103" s="3">
        <v>201</v>
      </c>
      <c r="AJ103" s="3" t="str">
        <f>IFERROR(MID(VLOOKUP($B103,Seqs!$A:$B,2,0),AK103,1),"")</f>
        <v>N</v>
      </c>
      <c r="AK103" s="3">
        <v>204</v>
      </c>
      <c r="AL103" s="3" t="str">
        <f>IFERROR(MID(VLOOKUP($B103,Seqs!$A:$B,2,0),AM103,1),"")</f>
        <v>Q</v>
      </c>
      <c r="AM103" s="3">
        <v>237</v>
      </c>
      <c r="AN103" s="3" t="str">
        <f>IFERROR(MID(VLOOKUP($B103,Seqs!$A:$B,2,0),AO103,1),"")</f>
        <v>R</v>
      </c>
      <c r="AO103" s="3">
        <v>284</v>
      </c>
      <c r="AP103" s="3" t="str">
        <f>IFERROR(MID(VLOOKUP($B103,Seqs!$A:$B,2,0),AQ103,1),"")</f>
        <v>N</v>
      </c>
      <c r="AQ103" s="3">
        <v>316</v>
      </c>
      <c r="AR103" s="3" t="str">
        <f>IFERROR(MID(VLOOKUP($B103,Seqs!$A:$B,2,0),AS103,1),"")</f>
        <v>P</v>
      </c>
      <c r="AS103" s="3">
        <v>321</v>
      </c>
      <c r="AT103" s="3" t="str">
        <f>IFERROR(MID(VLOOKUP($B103,Seqs!$A:$B,2,0),AU103,1),"")</f>
        <v>R</v>
      </c>
      <c r="AU103" s="3">
        <v>345</v>
      </c>
      <c r="AV103" s="3" t="str">
        <f>IFERROR(MID(VLOOKUP($B103,Seqs!$A:$B,2,0),AW103,1),"")</f>
        <v>S</v>
      </c>
      <c r="AW103" s="3">
        <v>346</v>
      </c>
      <c r="AX103" s="3" t="str">
        <f>IFERROR(MID(VLOOKUP($B103,Seqs!$A:$B,2,0),AY103,1),"")</f>
        <v>C</v>
      </c>
      <c r="AY103" s="3">
        <v>358</v>
      </c>
      <c r="AZ103" s="77" t="str">
        <f>VLOOKUP(B103,Classification!A:D,2,0)</f>
        <v>A</v>
      </c>
      <c r="BA103" s="94" t="str">
        <f>VLOOKUP(B103,Classification!A:D,4,0)</f>
        <v>Adrenoceptors</v>
      </c>
      <c r="BB103" s="27" t="b">
        <f t="shared" si="392"/>
        <v>1</v>
      </c>
      <c r="BC103" s="23">
        <f t="shared" si="589"/>
        <v>248</v>
      </c>
      <c r="BD103" s="5" t="s">
        <v>23</v>
      </c>
      <c r="BE103" s="3" t="s">
        <v>1375</v>
      </c>
      <c r="BF103" s="119">
        <v>3.35</v>
      </c>
      <c r="BG103" s="49" t="s">
        <v>1378</v>
      </c>
      <c r="BH103" s="49" t="s">
        <v>1378</v>
      </c>
      <c r="BI103" s="1"/>
      <c r="BJ103" s="70" t="s">
        <v>1288</v>
      </c>
      <c r="BK103" s="57" t="s">
        <v>1288</v>
      </c>
      <c r="BL103" s="57" t="s">
        <v>1288</v>
      </c>
      <c r="BM103" s="57" t="s">
        <v>1288</v>
      </c>
      <c r="BN103" s="57" t="s">
        <v>1288</v>
      </c>
      <c r="BO103" s="57" t="s">
        <v>1288</v>
      </c>
      <c r="BP103" s="57" t="s">
        <v>1288</v>
      </c>
      <c r="BQ103" s="57" t="s">
        <v>1288</v>
      </c>
      <c r="BR103" s="57" t="s">
        <v>1288</v>
      </c>
      <c r="BS103" s="57" t="s">
        <v>1288</v>
      </c>
      <c r="BT103" s="57" t="s">
        <v>1288</v>
      </c>
      <c r="BU103" s="57" t="s">
        <v>1288</v>
      </c>
      <c r="BV103" s="70">
        <f t="shared" si="590"/>
        <v>40</v>
      </c>
      <c r="BW103" s="71">
        <f t="shared" si="591"/>
        <v>70</v>
      </c>
      <c r="BX103" s="72">
        <f t="shared" si="592"/>
        <v>74</v>
      </c>
      <c r="BY103" s="71">
        <f t="shared" si="593"/>
        <v>106</v>
      </c>
      <c r="BZ103" s="72">
        <f t="shared" si="594"/>
        <v>110</v>
      </c>
      <c r="CA103" s="71">
        <f t="shared" si="595"/>
        <v>146</v>
      </c>
      <c r="CB103" s="72">
        <f t="shared" si="596"/>
        <v>154</v>
      </c>
      <c r="CC103" s="71">
        <f t="shared" si="597"/>
        <v>199</v>
      </c>
      <c r="CD103" s="72">
        <f t="shared" si="598"/>
        <v>204</v>
      </c>
      <c r="CE103" s="71">
        <f t="shared" si="599"/>
        <v>284</v>
      </c>
      <c r="CF103" s="72">
        <f t="shared" si="600"/>
        <v>321</v>
      </c>
      <c r="CG103" s="71">
        <f t="shared" si="601"/>
        <v>346</v>
      </c>
      <c r="CH103" s="70">
        <f t="shared" si="602"/>
        <v>69</v>
      </c>
      <c r="CI103" s="71">
        <f t="shared" si="603"/>
        <v>73</v>
      </c>
      <c r="CJ103" s="72">
        <f t="shared" si="604"/>
        <v>104</v>
      </c>
      <c r="CK103" s="72">
        <f t="shared" si="605"/>
        <v>109</v>
      </c>
      <c r="CL103" s="72">
        <f t="shared" si="606"/>
        <v>145</v>
      </c>
      <c r="CM103" s="72">
        <f t="shared" si="607"/>
        <v>153</v>
      </c>
      <c r="CN103" s="72">
        <f t="shared" si="608"/>
        <v>180</v>
      </c>
      <c r="CO103" s="72">
        <f t="shared" si="609"/>
        <v>201</v>
      </c>
      <c r="CP103" s="72">
        <f t="shared" si="610"/>
        <v>237</v>
      </c>
      <c r="CQ103" s="72">
        <f t="shared" si="611"/>
        <v>316</v>
      </c>
      <c r="CR103" s="72">
        <f t="shared" si="612"/>
        <v>345</v>
      </c>
      <c r="CS103" s="72">
        <f t="shared" si="613"/>
        <v>358</v>
      </c>
      <c r="CT103" s="23">
        <f t="shared" si="614"/>
        <v>1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29" s="12" customFormat="1" x14ac:dyDescent="0.2">
      <c r="A104" s="9" t="str">
        <f t="shared" ref="A104" si="615">CONCATENATE(B104,"_",C104)</f>
        <v>adrb1_melga_6H7J</v>
      </c>
      <c r="B104" s="9" t="s">
        <v>912</v>
      </c>
      <c r="C104" s="9" t="s">
        <v>1520</v>
      </c>
      <c r="D104" s="9" t="str">
        <f>IFERROR(MID(VLOOKUP($B104,Seqs!$A:$B,2,0),E104,1),"")</f>
        <v>W</v>
      </c>
      <c r="E104" s="9">
        <v>40</v>
      </c>
      <c r="F104" s="9" t="str">
        <f>IFERROR(MID(VLOOKUP($B104,Seqs!$A:$B,2,0),G104,1),"")</f>
        <v>T</v>
      </c>
      <c r="G104" s="9">
        <v>69</v>
      </c>
      <c r="H104" s="9" t="str">
        <f>IFERROR(MID(VLOOKUP($B104,Seqs!$A:$B,2,0),I104,1),"")</f>
        <v>Q</v>
      </c>
      <c r="I104" s="109">
        <v>70</v>
      </c>
      <c r="J104" s="9" t="str">
        <f>IFERROR(MID(VLOOKUP($B104,Seqs!$A:$B,2,0),K104,1),"")</f>
        <v>Q</v>
      </c>
      <c r="K104" s="109">
        <v>73</v>
      </c>
      <c r="L104" s="9" t="str">
        <f>IFERROR(MID(VLOOKUP($B104,Seqs!$A:$B,2,0),M104,1),"")</f>
        <v>T</v>
      </c>
      <c r="M104" s="9">
        <v>74</v>
      </c>
      <c r="N104" s="9" t="str">
        <f>IFERROR(MID(VLOOKUP($B104,Seqs!$A:$B,2,0),O104,1),"")</f>
        <v>R</v>
      </c>
      <c r="O104" s="9">
        <v>104</v>
      </c>
      <c r="P104" s="9" t="str">
        <f>IFERROR(MID(VLOOKUP($B104,Seqs!$A:$B,2,0),Q104,1),"")</f>
        <v>T</v>
      </c>
      <c r="Q104" s="9">
        <v>106</v>
      </c>
      <c r="R104" s="9" t="str">
        <f>IFERROR(MID(VLOOKUP($B104,Seqs!$A:$B,2,0),S104,1),"")</f>
        <v>W</v>
      </c>
      <c r="S104" s="9">
        <v>109</v>
      </c>
      <c r="T104" s="9" t="str">
        <f>IFERROR(MID(VLOOKUP($B104,Seqs!$A:$B,2,0),U104,1),"")</f>
        <v>G</v>
      </c>
      <c r="U104" s="9">
        <v>110</v>
      </c>
      <c r="V104" s="9" t="str">
        <f>IFERROR(MID(VLOOKUP($B104,Seqs!$A:$B,2,0),W104,1),"")</f>
        <v>S</v>
      </c>
      <c r="W104" s="9">
        <v>145</v>
      </c>
      <c r="X104" s="9" t="str">
        <f>IFERROR(MID(VLOOKUP($B104,Seqs!$A:$B,2,0),Y104,1),"")</f>
        <v>P</v>
      </c>
      <c r="Y104" s="9">
        <v>146</v>
      </c>
      <c r="Z104" s="9" t="str">
        <f>IFERROR(MID(VLOOKUP($B104,Seqs!$A:$B,2,0),AA104,1),"")</f>
        <v>M</v>
      </c>
      <c r="AA104" s="9">
        <v>153</v>
      </c>
      <c r="AB104" s="9" t="str">
        <f>IFERROR(MID(VLOOKUP($B104,Seqs!$A:$B,2,0),AC104,1),"")</f>
        <v>T</v>
      </c>
      <c r="AC104" s="9">
        <v>154</v>
      </c>
      <c r="AD104" s="9" t="str">
        <f>IFERROR(MID(VLOOKUP($B104,Seqs!$A:$B,2,0),AE104,1),"")</f>
        <v>H</v>
      </c>
      <c r="AE104" s="9">
        <v>180</v>
      </c>
      <c r="AF104" s="9" t="str">
        <f>IFERROR(MID(VLOOKUP($B104,Seqs!$A:$B,2,0),AG104,1),"")</f>
        <v>C</v>
      </c>
      <c r="AG104" s="9">
        <v>199</v>
      </c>
      <c r="AH104" s="9" t="str">
        <f>IFERROR(MID(VLOOKUP($B104,Seqs!$A:$B,2,0),AI104,1),"")</f>
        <v>F</v>
      </c>
      <c r="AI104" s="9">
        <v>201</v>
      </c>
      <c r="AJ104" s="9" t="str">
        <f>IFERROR(MID(VLOOKUP($B104,Seqs!$A:$B,2,0),AK104,1),"")</f>
        <v>N</v>
      </c>
      <c r="AK104" s="9">
        <v>204</v>
      </c>
      <c r="AL104" s="9" t="str">
        <f>IFERROR(MID(VLOOKUP($B104,Seqs!$A:$B,2,0),AM104,1),"")</f>
        <v>S</v>
      </c>
      <c r="AM104" s="9">
        <v>273</v>
      </c>
      <c r="AN104" s="9" t="str">
        <f>IFERROR(MID(VLOOKUP($B104,Seqs!$A:$B,2,0),AO104,1),"")</f>
        <v>A</v>
      </c>
      <c r="AO104" s="9">
        <v>282</v>
      </c>
      <c r="AP104" s="9" t="str">
        <f>IFERROR(MID(VLOOKUP($B104,Seqs!$A:$B,2,0),AQ104,1),"")</f>
        <v>N</v>
      </c>
      <c r="AQ104" s="9">
        <v>316</v>
      </c>
      <c r="AR104" s="9" t="str">
        <f>IFERROR(MID(VLOOKUP($B104,Seqs!$A:$B,2,0),AS104,1),"")</f>
        <v>P</v>
      </c>
      <c r="AS104" s="9">
        <v>321</v>
      </c>
      <c r="AT104" s="9" t="str">
        <f>IFERROR(MID(VLOOKUP($B104,Seqs!$A:$B,2,0),AU104,1),"")</f>
        <v>R</v>
      </c>
      <c r="AU104" s="9">
        <v>345</v>
      </c>
      <c r="AV104" s="9" t="str">
        <f>IFERROR(MID(VLOOKUP($B104,Seqs!$A:$B,2,0),AW104,1),"")</f>
        <v>S</v>
      </c>
      <c r="AW104" s="9">
        <v>346</v>
      </c>
      <c r="AX104" s="9" t="str">
        <f>IFERROR(MID(VLOOKUP($B104,Seqs!$A:$B,2,0),AY104,1),"")</f>
        <v>L</v>
      </c>
      <c r="AY104" s="9">
        <v>357</v>
      </c>
      <c r="AZ104" s="110" t="str">
        <f>VLOOKUP(B104,Classification!A:D,2,0)</f>
        <v>A</v>
      </c>
      <c r="BA104" s="98" t="str">
        <f>VLOOKUP(B104,Classification!A:D,4,0)</f>
        <v>Adrenoceptors</v>
      </c>
      <c r="BB104" s="36" t="b">
        <f t="shared" ref="BB104" si="616">AND(E104&lt;G104,OR(G104&lt;I104,I104="-"),OR(I104&lt;K104,I104="-"),OR(K104&lt;M104,K104="-"),M104&lt;O104,OR(O104&lt;Q104,Q104="-"),OR(Q104&lt;S104,Q104="-"),OR(S104&lt;U104,S104="-"),U104&lt;W104,OR(W104&lt;Y104,Y104="-"),OR(Y104&lt;AA104,Y104="-"),OR(AA104&lt;AC104,AA104="-"),AC104&lt;AE104,OR(AE104&lt;AG104,AG104="-"),OR(AG104&lt;AI104,AG104="-"),OR(AI104&lt;AK104,AI104="-"),AK104&lt;AM104,AM104&lt;AO104,AO104&lt;AQ104,AQ104&lt;AS104,AS104&lt;AU104,OR(AU104&lt;AW104,AW104="-"),OR(AW104&lt;AY104,AW104="-"))</f>
        <v>1</v>
      </c>
      <c r="BC104" s="109">
        <f t="shared" ref="BC104" si="617">_xlfn.AGGREGATE(9,6,CH104:CS104)-_xlfn.AGGREGATE(9,6,BV104:CG104)+12</f>
        <v>285</v>
      </c>
      <c r="BD104" s="13" t="s">
        <v>23</v>
      </c>
      <c r="BE104" s="9" t="s">
        <v>1292</v>
      </c>
      <c r="BF104" s="120">
        <v>2.8</v>
      </c>
      <c r="BG104" s="51" t="s">
        <v>1</v>
      </c>
      <c r="BH104" s="51" t="s">
        <v>1</v>
      </c>
      <c r="BJ104" s="111" t="s">
        <v>1288</v>
      </c>
      <c r="BK104" s="112" t="s">
        <v>1288</v>
      </c>
      <c r="BL104" s="112" t="s">
        <v>1288</v>
      </c>
      <c r="BM104" s="112" t="s">
        <v>1288</v>
      </c>
      <c r="BN104" s="112" t="s">
        <v>1288</v>
      </c>
      <c r="BO104" s="112" t="s">
        <v>1288</v>
      </c>
      <c r="BP104" s="112" t="s">
        <v>1288</v>
      </c>
      <c r="BQ104" s="112" t="s">
        <v>1288</v>
      </c>
      <c r="BR104" s="112" t="s">
        <v>1288</v>
      </c>
      <c r="BS104" s="112" t="s">
        <v>1288</v>
      </c>
      <c r="BT104" s="112" t="s">
        <v>1288</v>
      </c>
      <c r="BU104" s="112" t="s">
        <v>1288</v>
      </c>
      <c r="BV104" s="111">
        <f t="shared" ref="BV104" si="618">E104</f>
        <v>40</v>
      </c>
      <c r="BW104" s="113">
        <f t="shared" ref="BW104" si="619">I104</f>
        <v>70</v>
      </c>
      <c r="BX104" s="114">
        <f t="shared" ref="BX104" si="620">M104</f>
        <v>74</v>
      </c>
      <c r="BY104" s="113">
        <f t="shared" ref="BY104" si="621">Q104</f>
        <v>106</v>
      </c>
      <c r="BZ104" s="114">
        <f t="shared" ref="BZ104" si="622">U104</f>
        <v>110</v>
      </c>
      <c r="CA104" s="113">
        <f t="shared" ref="CA104" si="623">Y104</f>
        <v>146</v>
      </c>
      <c r="CB104" s="114">
        <f t="shared" ref="CB104" si="624">AC104</f>
        <v>154</v>
      </c>
      <c r="CC104" s="113">
        <f t="shared" ref="CC104" si="625">AG104</f>
        <v>199</v>
      </c>
      <c r="CD104" s="114">
        <f t="shared" ref="CD104" si="626">AK104</f>
        <v>204</v>
      </c>
      <c r="CE104" s="113">
        <f t="shared" ref="CE104" si="627">AO104</f>
        <v>282</v>
      </c>
      <c r="CF104" s="114">
        <f t="shared" ref="CF104" si="628">AS104</f>
        <v>321</v>
      </c>
      <c r="CG104" s="113">
        <f t="shared" ref="CG104" si="629">AW104</f>
        <v>346</v>
      </c>
      <c r="CH104" s="111">
        <f t="shared" ref="CH104" si="630">G104</f>
        <v>69</v>
      </c>
      <c r="CI104" s="113">
        <f t="shared" ref="CI104" si="631">K104</f>
        <v>73</v>
      </c>
      <c r="CJ104" s="114">
        <f t="shared" ref="CJ104" si="632">O104</f>
        <v>104</v>
      </c>
      <c r="CK104" s="114">
        <f t="shared" ref="CK104" si="633">S104</f>
        <v>109</v>
      </c>
      <c r="CL104" s="114">
        <f t="shared" ref="CL104" si="634">W104</f>
        <v>145</v>
      </c>
      <c r="CM104" s="114">
        <f t="shared" ref="CM104" si="635">AA104</f>
        <v>153</v>
      </c>
      <c r="CN104" s="114">
        <f t="shared" ref="CN104" si="636">AE104</f>
        <v>180</v>
      </c>
      <c r="CO104" s="114">
        <f t="shared" ref="CO104" si="637">AI104</f>
        <v>201</v>
      </c>
      <c r="CP104" s="114">
        <f t="shared" ref="CP104" si="638">AM104</f>
        <v>273</v>
      </c>
      <c r="CQ104" s="114">
        <f t="shared" ref="CQ104" si="639">AQ104</f>
        <v>316</v>
      </c>
      <c r="CR104" s="114">
        <f t="shared" ref="CR104" si="640">AU104</f>
        <v>345</v>
      </c>
      <c r="CS104" s="114">
        <f t="shared" ref="CS104" si="641">AY104</f>
        <v>357</v>
      </c>
      <c r="CT104" s="109">
        <f t="shared" ref="CT104" si="642">M104-K104</f>
        <v>1</v>
      </c>
    </row>
    <row r="105" spans="1:1029" s="12" customFormat="1" x14ac:dyDescent="0.2">
      <c r="A105" s="9" t="str">
        <f t="shared" ref="A105" si="643">CONCATENATE(B105,"_",C105)</f>
        <v>adrb1_melga_6H7L</v>
      </c>
      <c r="B105" s="9" t="s">
        <v>912</v>
      </c>
      <c r="C105" s="9" t="s">
        <v>1521</v>
      </c>
      <c r="D105" s="9" t="str">
        <f>IFERROR(MID(VLOOKUP($B105,Seqs!$A:$B,2,0),E105,1),"")</f>
        <v>W</v>
      </c>
      <c r="E105" s="9">
        <v>40</v>
      </c>
      <c r="F105" s="9" t="str">
        <f>IFERROR(MID(VLOOKUP($B105,Seqs!$A:$B,2,0),G105,1),"")</f>
        <v>T</v>
      </c>
      <c r="G105" s="9">
        <v>69</v>
      </c>
      <c r="H105" s="9" t="str">
        <f>IFERROR(MID(VLOOKUP($B105,Seqs!$A:$B,2,0),I105,1),"")</f>
        <v>Q</v>
      </c>
      <c r="I105" s="109">
        <v>70</v>
      </c>
      <c r="J105" s="9" t="str">
        <f>IFERROR(MID(VLOOKUP($B105,Seqs!$A:$B,2,0),K105,1),"")</f>
        <v>Q</v>
      </c>
      <c r="K105" s="109">
        <v>73</v>
      </c>
      <c r="L105" s="9" t="str">
        <f>IFERROR(MID(VLOOKUP($B105,Seqs!$A:$B,2,0),M105,1),"")</f>
        <v>T</v>
      </c>
      <c r="M105" s="9">
        <v>74</v>
      </c>
      <c r="N105" s="9" t="str">
        <f>IFERROR(MID(VLOOKUP($B105,Seqs!$A:$B,2,0),O105,1),"")</f>
        <v>R</v>
      </c>
      <c r="O105" s="9">
        <v>104</v>
      </c>
      <c r="P105" s="9" t="str">
        <f>IFERROR(MID(VLOOKUP($B105,Seqs!$A:$B,2,0),Q105,1),"")</f>
        <v>T</v>
      </c>
      <c r="Q105" s="9">
        <v>106</v>
      </c>
      <c r="R105" s="9" t="str">
        <f>IFERROR(MID(VLOOKUP($B105,Seqs!$A:$B,2,0),S105,1),"")</f>
        <v>W</v>
      </c>
      <c r="S105" s="9">
        <v>109</v>
      </c>
      <c r="T105" s="9" t="str">
        <f>IFERROR(MID(VLOOKUP($B105,Seqs!$A:$B,2,0),U105,1),"")</f>
        <v>G</v>
      </c>
      <c r="U105" s="9">
        <v>110</v>
      </c>
      <c r="V105" s="9" t="str">
        <f>IFERROR(MID(VLOOKUP($B105,Seqs!$A:$B,2,0),W105,1),"")</f>
        <v>S</v>
      </c>
      <c r="W105" s="9">
        <v>145</v>
      </c>
      <c r="X105" s="9" t="str">
        <f>IFERROR(MID(VLOOKUP($B105,Seqs!$A:$B,2,0),Y105,1),"")</f>
        <v>P</v>
      </c>
      <c r="Y105" s="9">
        <v>146</v>
      </c>
      <c r="Z105" s="9" t="str">
        <f>IFERROR(MID(VLOOKUP($B105,Seqs!$A:$B,2,0),AA105,1),"")</f>
        <v>M</v>
      </c>
      <c r="AA105" s="9">
        <v>153</v>
      </c>
      <c r="AB105" s="9" t="str">
        <f>IFERROR(MID(VLOOKUP($B105,Seqs!$A:$B,2,0),AC105,1),"")</f>
        <v>T</v>
      </c>
      <c r="AC105" s="9">
        <v>154</v>
      </c>
      <c r="AD105" s="9" t="str">
        <f>IFERROR(MID(VLOOKUP($B105,Seqs!$A:$B,2,0),AE105,1),"")</f>
        <v>H</v>
      </c>
      <c r="AE105" s="9">
        <v>180</v>
      </c>
      <c r="AF105" s="9" t="str">
        <f>IFERROR(MID(VLOOKUP($B105,Seqs!$A:$B,2,0),AG105,1),"")</f>
        <v>C</v>
      </c>
      <c r="AG105" s="9">
        <v>199</v>
      </c>
      <c r="AH105" s="9" t="str">
        <f>IFERROR(MID(VLOOKUP($B105,Seqs!$A:$B,2,0),AI105,1),"")</f>
        <v>F</v>
      </c>
      <c r="AI105" s="9">
        <v>201</v>
      </c>
      <c r="AJ105" s="9" t="str">
        <f>IFERROR(MID(VLOOKUP($B105,Seqs!$A:$B,2,0),AK105,1),"")</f>
        <v>N</v>
      </c>
      <c r="AK105" s="9">
        <v>204</v>
      </c>
      <c r="AL105" s="9" t="str">
        <f>IFERROR(MID(VLOOKUP($B105,Seqs!$A:$B,2,0),AM105,1),"")</f>
        <v>S</v>
      </c>
      <c r="AM105" s="9">
        <v>273</v>
      </c>
      <c r="AN105" s="9" t="str">
        <f>IFERROR(MID(VLOOKUP($B105,Seqs!$A:$B,2,0),AO105,1),"")</f>
        <v>A</v>
      </c>
      <c r="AO105" s="9">
        <v>282</v>
      </c>
      <c r="AP105" s="9" t="str">
        <f>IFERROR(MID(VLOOKUP($B105,Seqs!$A:$B,2,0),AQ105,1),"")</f>
        <v>N</v>
      </c>
      <c r="AQ105" s="9">
        <v>316</v>
      </c>
      <c r="AR105" s="9" t="str">
        <f>IFERROR(MID(VLOOKUP($B105,Seqs!$A:$B,2,0),AS105,1),"")</f>
        <v>P</v>
      </c>
      <c r="AS105" s="9">
        <v>321</v>
      </c>
      <c r="AT105" s="9" t="str">
        <f>IFERROR(MID(VLOOKUP($B105,Seqs!$A:$B,2,0),AU105,1),"")</f>
        <v>R</v>
      </c>
      <c r="AU105" s="9">
        <v>345</v>
      </c>
      <c r="AV105" s="9" t="str">
        <f>IFERROR(MID(VLOOKUP($B105,Seqs!$A:$B,2,0),AW105,1),"")</f>
        <v>S</v>
      </c>
      <c r="AW105" s="9">
        <v>346</v>
      </c>
      <c r="AX105" s="9" t="str">
        <f>IFERROR(MID(VLOOKUP($B105,Seqs!$A:$B,2,0),AY105,1),"")</f>
        <v>L</v>
      </c>
      <c r="AY105" s="9">
        <v>357</v>
      </c>
      <c r="AZ105" s="110" t="str">
        <f>VLOOKUP(B105,Classification!A:D,2,0)</f>
        <v>A</v>
      </c>
      <c r="BA105" s="98" t="str">
        <f>VLOOKUP(B105,Classification!A:D,4,0)</f>
        <v>Adrenoceptors</v>
      </c>
      <c r="BB105" s="36" t="b">
        <f t="shared" ref="BB105" si="644"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109">
        <f t="shared" ref="BC105" si="645">_xlfn.AGGREGATE(9,6,CH105:CS105)-_xlfn.AGGREGATE(9,6,BV105:CG105)+12</f>
        <v>285</v>
      </c>
      <c r="BD105" s="13" t="s">
        <v>23</v>
      </c>
      <c r="BE105" s="9" t="s">
        <v>1292</v>
      </c>
      <c r="BF105" s="120">
        <v>2.7</v>
      </c>
      <c r="BG105" s="51" t="s">
        <v>1</v>
      </c>
      <c r="BH105" s="51" t="s">
        <v>1</v>
      </c>
      <c r="BJ105" s="111" t="s">
        <v>1288</v>
      </c>
      <c r="BK105" s="112" t="s">
        <v>1288</v>
      </c>
      <c r="BL105" s="112" t="s">
        <v>1288</v>
      </c>
      <c r="BM105" s="112" t="s">
        <v>1288</v>
      </c>
      <c r="BN105" s="112" t="s">
        <v>1288</v>
      </c>
      <c r="BO105" s="112" t="s">
        <v>1288</v>
      </c>
      <c r="BP105" s="112" t="s">
        <v>1288</v>
      </c>
      <c r="BQ105" s="112" t="s">
        <v>1288</v>
      </c>
      <c r="BR105" s="112" t="s">
        <v>1288</v>
      </c>
      <c r="BS105" s="112" t="s">
        <v>1288</v>
      </c>
      <c r="BT105" s="112" t="s">
        <v>1288</v>
      </c>
      <c r="BU105" s="112" t="s">
        <v>1288</v>
      </c>
      <c r="BV105" s="111">
        <f t="shared" ref="BV105" si="646">E105</f>
        <v>40</v>
      </c>
      <c r="BW105" s="113">
        <f t="shared" ref="BW105" si="647">I105</f>
        <v>70</v>
      </c>
      <c r="BX105" s="114">
        <f t="shared" ref="BX105" si="648">M105</f>
        <v>74</v>
      </c>
      <c r="BY105" s="113">
        <f t="shared" ref="BY105" si="649">Q105</f>
        <v>106</v>
      </c>
      <c r="BZ105" s="114">
        <f t="shared" ref="BZ105" si="650">U105</f>
        <v>110</v>
      </c>
      <c r="CA105" s="113">
        <f t="shared" ref="CA105" si="651">Y105</f>
        <v>146</v>
      </c>
      <c r="CB105" s="114">
        <f t="shared" ref="CB105" si="652">AC105</f>
        <v>154</v>
      </c>
      <c r="CC105" s="113">
        <f t="shared" ref="CC105" si="653">AG105</f>
        <v>199</v>
      </c>
      <c r="CD105" s="114">
        <f t="shared" ref="CD105" si="654">AK105</f>
        <v>204</v>
      </c>
      <c r="CE105" s="113">
        <f t="shared" ref="CE105" si="655">AO105</f>
        <v>282</v>
      </c>
      <c r="CF105" s="114">
        <f t="shared" ref="CF105" si="656">AS105</f>
        <v>321</v>
      </c>
      <c r="CG105" s="113">
        <f t="shared" ref="CG105" si="657">AW105</f>
        <v>346</v>
      </c>
      <c r="CH105" s="111">
        <f t="shared" ref="CH105" si="658">G105</f>
        <v>69</v>
      </c>
      <c r="CI105" s="113">
        <f t="shared" ref="CI105" si="659">K105</f>
        <v>73</v>
      </c>
      <c r="CJ105" s="114">
        <f t="shared" ref="CJ105" si="660">O105</f>
        <v>104</v>
      </c>
      <c r="CK105" s="114">
        <f t="shared" ref="CK105" si="661">S105</f>
        <v>109</v>
      </c>
      <c r="CL105" s="114">
        <f t="shared" ref="CL105" si="662">W105</f>
        <v>145</v>
      </c>
      <c r="CM105" s="114">
        <f t="shared" ref="CM105" si="663">AA105</f>
        <v>153</v>
      </c>
      <c r="CN105" s="114">
        <f t="shared" ref="CN105" si="664">AE105</f>
        <v>180</v>
      </c>
      <c r="CO105" s="114">
        <f t="shared" ref="CO105" si="665">AI105</f>
        <v>201</v>
      </c>
      <c r="CP105" s="114">
        <f t="shared" ref="CP105" si="666">AM105</f>
        <v>273</v>
      </c>
      <c r="CQ105" s="114">
        <f t="shared" ref="CQ105" si="667">AQ105</f>
        <v>316</v>
      </c>
      <c r="CR105" s="114">
        <f t="shared" ref="CR105" si="668">AU105</f>
        <v>345</v>
      </c>
      <c r="CS105" s="114">
        <f t="shared" ref="CS105" si="669">AY105</f>
        <v>357</v>
      </c>
      <c r="CT105" s="109">
        <f t="shared" ref="CT105" si="670">M105-K105</f>
        <v>1</v>
      </c>
    </row>
    <row r="106" spans="1:1029" s="12" customFormat="1" x14ac:dyDescent="0.2">
      <c r="A106" s="9" t="str">
        <f t="shared" ref="A106" si="671">CONCATENATE(B106,"_",C106)</f>
        <v>adrb1_melga_6H7M</v>
      </c>
      <c r="B106" s="9" t="s">
        <v>912</v>
      </c>
      <c r="C106" s="9" t="s">
        <v>1522</v>
      </c>
      <c r="D106" s="9" t="str">
        <f>IFERROR(MID(VLOOKUP($B106,Seqs!$A:$B,2,0),E106,1),"")</f>
        <v>W</v>
      </c>
      <c r="E106" s="9">
        <v>40</v>
      </c>
      <c r="F106" s="9" t="str">
        <f>IFERROR(MID(VLOOKUP($B106,Seqs!$A:$B,2,0),G106,1),"")</f>
        <v>T</v>
      </c>
      <c r="G106" s="9">
        <v>69</v>
      </c>
      <c r="H106" s="9" t="str">
        <f>IFERROR(MID(VLOOKUP($B106,Seqs!$A:$B,2,0),I106,1),"")</f>
        <v>Q</v>
      </c>
      <c r="I106" s="109">
        <v>70</v>
      </c>
      <c r="J106" s="9" t="str">
        <f>IFERROR(MID(VLOOKUP($B106,Seqs!$A:$B,2,0),K106,1),"")</f>
        <v>Q</v>
      </c>
      <c r="K106" s="109">
        <v>73</v>
      </c>
      <c r="L106" s="9" t="str">
        <f>IFERROR(MID(VLOOKUP($B106,Seqs!$A:$B,2,0),M106,1),"")</f>
        <v>T</v>
      </c>
      <c r="M106" s="9">
        <v>74</v>
      </c>
      <c r="N106" s="9" t="str">
        <f>IFERROR(MID(VLOOKUP($B106,Seqs!$A:$B,2,0),O106,1),"")</f>
        <v>R</v>
      </c>
      <c r="O106" s="9">
        <v>104</v>
      </c>
      <c r="P106" s="9" t="str">
        <f>IFERROR(MID(VLOOKUP($B106,Seqs!$A:$B,2,0),Q106,1),"")</f>
        <v>T</v>
      </c>
      <c r="Q106" s="9">
        <v>106</v>
      </c>
      <c r="R106" s="9" t="str">
        <f>IFERROR(MID(VLOOKUP($B106,Seqs!$A:$B,2,0),S106,1),"")</f>
        <v>W</v>
      </c>
      <c r="S106" s="9">
        <v>109</v>
      </c>
      <c r="T106" s="9" t="str">
        <f>IFERROR(MID(VLOOKUP($B106,Seqs!$A:$B,2,0),U106,1),"")</f>
        <v>G</v>
      </c>
      <c r="U106" s="9">
        <v>110</v>
      </c>
      <c r="V106" s="9" t="str">
        <f>IFERROR(MID(VLOOKUP($B106,Seqs!$A:$B,2,0),W106,1),"")</f>
        <v>S</v>
      </c>
      <c r="W106" s="9">
        <v>145</v>
      </c>
      <c r="X106" s="9" t="str">
        <f>IFERROR(MID(VLOOKUP($B106,Seqs!$A:$B,2,0),Y106,1),"")</f>
        <v>P</v>
      </c>
      <c r="Y106" s="9">
        <v>146</v>
      </c>
      <c r="Z106" s="9" t="str">
        <f>IFERROR(MID(VLOOKUP($B106,Seqs!$A:$B,2,0),AA106,1),"")</f>
        <v>M</v>
      </c>
      <c r="AA106" s="9">
        <v>153</v>
      </c>
      <c r="AB106" s="9" t="str">
        <f>IFERROR(MID(VLOOKUP($B106,Seqs!$A:$B,2,0),AC106,1),"")</f>
        <v>T</v>
      </c>
      <c r="AC106" s="9">
        <v>154</v>
      </c>
      <c r="AD106" s="9" t="str">
        <f>IFERROR(MID(VLOOKUP($B106,Seqs!$A:$B,2,0),AE106,1),"")</f>
        <v>H</v>
      </c>
      <c r="AE106" s="9">
        <v>180</v>
      </c>
      <c r="AF106" s="9" t="str">
        <f>IFERROR(MID(VLOOKUP($B106,Seqs!$A:$B,2,0),AG106,1),"")</f>
        <v>C</v>
      </c>
      <c r="AG106" s="9">
        <v>199</v>
      </c>
      <c r="AH106" s="9" t="str">
        <f>IFERROR(MID(VLOOKUP($B106,Seqs!$A:$B,2,0),AI106,1),"")</f>
        <v>F</v>
      </c>
      <c r="AI106" s="9">
        <v>201</v>
      </c>
      <c r="AJ106" s="9" t="str">
        <f>IFERROR(MID(VLOOKUP($B106,Seqs!$A:$B,2,0),AK106,1),"")</f>
        <v>N</v>
      </c>
      <c r="AK106" s="9">
        <v>204</v>
      </c>
      <c r="AL106" s="9" t="str">
        <f>IFERROR(MID(VLOOKUP($B106,Seqs!$A:$B,2,0),AM106,1),"")</f>
        <v>S</v>
      </c>
      <c r="AM106" s="9">
        <v>273</v>
      </c>
      <c r="AN106" s="9" t="str">
        <f>IFERROR(MID(VLOOKUP($B106,Seqs!$A:$B,2,0),AO106,1),"")</f>
        <v>A</v>
      </c>
      <c r="AO106" s="9">
        <v>282</v>
      </c>
      <c r="AP106" s="9" t="str">
        <f>IFERROR(MID(VLOOKUP($B106,Seqs!$A:$B,2,0),AQ106,1),"")</f>
        <v>N</v>
      </c>
      <c r="AQ106" s="9">
        <v>316</v>
      </c>
      <c r="AR106" s="9" t="str">
        <f>IFERROR(MID(VLOOKUP($B106,Seqs!$A:$B,2,0),AS106,1),"")</f>
        <v>P</v>
      </c>
      <c r="AS106" s="9">
        <v>321</v>
      </c>
      <c r="AT106" s="9" t="str">
        <f>IFERROR(MID(VLOOKUP($B106,Seqs!$A:$B,2,0),AU106,1),"")</f>
        <v>R</v>
      </c>
      <c r="AU106" s="9">
        <v>345</v>
      </c>
      <c r="AV106" s="9" t="str">
        <f>IFERROR(MID(VLOOKUP($B106,Seqs!$A:$B,2,0),AW106,1),"")</f>
        <v>S</v>
      </c>
      <c r="AW106" s="9">
        <v>346</v>
      </c>
      <c r="AX106" s="9" t="str">
        <f>IFERROR(MID(VLOOKUP($B106,Seqs!$A:$B,2,0),AY106,1),"")</f>
        <v>L</v>
      </c>
      <c r="AY106" s="9">
        <v>357</v>
      </c>
      <c r="AZ106" s="110" t="str">
        <f>VLOOKUP(B106,Classification!A:D,2,0)</f>
        <v>A</v>
      </c>
      <c r="BA106" s="98" t="str">
        <f>VLOOKUP(B106,Classification!A:D,4,0)</f>
        <v>Adrenoceptors</v>
      </c>
      <c r="BB106" s="36" t="b">
        <f t="shared" ref="BB106" si="672">AND(E106&lt;G106,OR(G106&lt;I106,I106="-"),OR(I106&lt;K106,I106="-"),OR(K106&lt;M106,K106="-"),M106&lt;O106,OR(O106&lt;Q106,Q106="-"),OR(Q106&lt;S106,Q106="-"),OR(S106&lt;U106,S106="-"),U106&lt;W106,OR(W106&lt;Y106,Y106="-"),OR(Y106&lt;AA106,Y106="-"),OR(AA106&lt;AC106,AA106="-"),AC106&lt;AE106,OR(AE106&lt;AG106,AG106="-"),OR(AG106&lt;AI106,AG106="-"),OR(AI106&lt;AK106,AI106="-"),AK106&lt;AM106,AM106&lt;AO106,AO106&lt;AQ106,AQ106&lt;AS106,AS106&lt;AU106,OR(AU106&lt;AW106,AW106="-"),OR(AW106&lt;AY106,AW106="-"))</f>
        <v>1</v>
      </c>
      <c r="BC106" s="109">
        <f t="shared" ref="BC106" si="673">_xlfn.AGGREGATE(9,6,CH106:CS106)-_xlfn.AGGREGATE(9,6,BV106:CG106)+12</f>
        <v>285</v>
      </c>
      <c r="BD106" s="13" t="s">
        <v>23</v>
      </c>
      <c r="BE106" s="9" t="s">
        <v>1292</v>
      </c>
      <c r="BF106" s="120">
        <v>2.76</v>
      </c>
      <c r="BG106" s="51" t="s">
        <v>1</v>
      </c>
      <c r="BH106" s="51" t="s">
        <v>1</v>
      </c>
      <c r="BJ106" s="111" t="s">
        <v>1288</v>
      </c>
      <c r="BK106" s="112" t="s">
        <v>1288</v>
      </c>
      <c r="BL106" s="112" t="s">
        <v>1288</v>
      </c>
      <c r="BM106" s="112" t="s">
        <v>1288</v>
      </c>
      <c r="BN106" s="112" t="s">
        <v>1288</v>
      </c>
      <c r="BO106" s="112" t="s">
        <v>1288</v>
      </c>
      <c r="BP106" s="112" t="s">
        <v>1288</v>
      </c>
      <c r="BQ106" s="112" t="s">
        <v>1288</v>
      </c>
      <c r="BR106" s="112" t="s">
        <v>1288</v>
      </c>
      <c r="BS106" s="112" t="s">
        <v>1288</v>
      </c>
      <c r="BT106" s="112" t="s">
        <v>1288</v>
      </c>
      <c r="BU106" s="112" t="s">
        <v>1288</v>
      </c>
      <c r="BV106" s="111">
        <f t="shared" ref="BV106" si="674">E106</f>
        <v>40</v>
      </c>
      <c r="BW106" s="113">
        <f t="shared" ref="BW106" si="675">I106</f>
        <v>70</v>
      </c>
      <c r="BX106" s="114">
        <f t="shared" ref="BX106" si="676">M106</f>
        <v>74</v>
      </c>
      <c r="BY106" s="113">
        <f t="shared" ref="BY106" si="677">Q106</f>
        <v>106</v>
      </c>
      <c r="BZ106" s="114">
        <f t="shared" ref="BZ106" si="678">U106</f>
        <v>110</v>
      </c>
      <c r="CA106" s="113">
        <f t="shared" ref="CA106" si="679">Y106</f>
        <v>146</v>
      </c>
      <c r="CB106" s="114">
        <f t="shared" ref="CB106" si="680">AC106</f>
        <v>154</v>
      </c>
      <c r="CC106" s="113">
        <f t="shared" ref="CC106" si="681">AG106</f>
        <v>199</v>
      </c>
      <c r="CD106" s="114">
        <f t="shared" ref="CD106" si="682">AK106</f>
        <v>204</v>
      </c>
      <c r="CE106" s="113">
        <f t="shared" ref="CE106" si="683">AO106</f>
        <v>282</v>
      </c>
      <c r="CF106" s="114">
        <f t="shared" ref="CF106" si="684">AS106</f>
        <v>321</v>
      </c>
      <c r="CG106" s="113">
        <f t="shared" ref="CG106" si="685">AW106</f>
        <v>346</v>
      </c>
      <c r="CH106" s="111">
        <f t="shared" ref="CH106" si="686">G106</f>
        <v>69</v>
      </c>
      <c r="CI106" s="113">
        <f t="shared" ref="CI106" si="687">K106</f>
        <v>73</v>
      </c>
      <c r="CJ106" s="114">
        <f t="shared" ref="CJ106" si="688">O106</f>
        <v>104</v>
      </c>
      <c r="CK106" s="114">
        <f t="shared" ref="CK106" si="689">S106</f>
        <v>109</v>
      </c>
      <c r="CL106" s="114">
        <f t="shared" ref="CL106" si="690">W106</f>
        <v>145</v>
      </c>
      <c r="CM106" s="114">
        <f t="shared" ref="CM106" si="691">AA106</f>
        <v>153</v>
      </c>
      <c r="CN106" s="114">
        <f t="shared" ref="CN106" si="692">AE106</f>
        <v>180</v>
      </c>
      <c r="CO106" s="114">
        <f t="shared" ref="CO106" si="693">AI106</f>
        <v>201</v>
      </c>
      <c r="CP106" s="114">
        <f t="shared" ref="CP106" si="694">AM106</f>
        <v>273</v>
      </c>
      <c r="CQ106" s="114">
        <f t="shared" ref="CQ106" si="695">AQ106</f>
        <v>316</v>
      </c>
      <c r="CR106" s="114">
        <f t="shared" ref="CR106" si="696">AU106</f>
        <v>345</v>
      </c>
      <c r="CS106" s="114">
        <f t="shared" ref="CS106" si="697">AY106</f>
        <v>357</v>
      </c>
      <c r="CT106" s="109">
        <f t="shared" ref="CT106" si="698">M106-K106</f>
        <v>1</v>
      </c>
    </row>
    <row r="107" spans="1:1029" s="12" customFormat="1" x14ac:dyDescent="0.2">
      <c r="A107" s="9" t="str">
        <f t="shared" ref="A107" si="699">CONCATENATE(B107,"_",C107)</f>
        <v>adrb1_melga_6H7N</v>
      </c>
      <c r="B107" s="9" t="s">
        <v>912</v>
      </c>
      <c r="C107" s="9" t="s">
        <v>1523</v>
      </c>
      <c r="D107" s="9" t="str">
        <f>IFERROR(MID(VLOOKUP($B107,Seqs!$A:$B,2,0),E107,1),"")</f>
        <v>W</v>
      </c>
      <c r="E107" s="9">
        <v>40</v>
      </c>
      <c r="F107" s="9" t="str">
        <f>IFERROR(MID(VLOOKUP($B107,Seqs!$A:$B,2,0),G107,1),"")</f>
        <v>T</v>
      </c>
      <c r="G107" s="9">
        <v>69</v>
      </c>
      <c r="H107" s="9" t="str">
        <f>IFERROR(MID(VLOOKUP($B107,Seqs!$A:$B,2,0),I107,1),"")</f>
        <v>Q</v>
      </c>
      <c r="I107" s="109">
        <v>70</v>
      </c>
      <c r="J107" s="9" t="str">
        <f>IFERROR(MID(VLOOKUP($B107,Seqs!$A:$B,2,0),K107,1),"")</f>
        <v>Q</v>
      </c>
      <c r="K107" s="109">
        <v>73</v>
      </c>
      <c r="L107" s="9" t="str">
        <f>IFERROR(MID(VLOOKUP($B107,Seqs!$A:$B,2,0),M107,1),"")</f>
        <v>T</v>
      </c>
      <c r="M107" s="9">
        <v>74</v>
      </c>
      <c r="N107" s="9" t="str">
        <f>IFERROR(MID(VLOOKUP($B107,Seqs!$A:$B,2,0),O107,1),"")</f>
        <v>R</v>
      </c>
      <c r="O107" s="9">
        <v>104</v>
      </c>
      <c r="P107" s="9" t="str">
        <f>IFERROR(MID(VLOOKUP($B107,Seqs!$A:$B,2,0),Q107,1),"")</f>
        <v>T</v>
      </c>
      <c r="Q107" s="9">
        <v>106</v>
      </c>
      <c r="R107" s="9" t="str">
        <f>IFERROR(MID(VLOOKUP($B107,Seqs!$A:$B,2,0),S107,1),"")</f>
        <v>W</v>
      </c>
      <c r="S107" s="9">
        <v>109</v>
      </c>
      <c r="T107" s="9" t="str">
        <f>IFERROR(MID(VLOOKUP($B107,Seqs!$A:$B,2,0),U107,1),"")</f>
        <v>G</v>
      </c>
      <c r="U107" s="9">
        <v>110</v>
      </c>
      <c r="V107" s="9" t="str">
        <f>IFERROR(MID(VLOOKUP($B107,Seqs!$A:$B,2,0),W107,1),"")</f>
        <v>S</v>
      </c>
      <c r="W107" s="9">
        <v>145</v>
      </c>
      <c r="X107" s="9" t="str">
        <f>IFERROR(MID(VLOOKUP($B107,Seqs!$A:$B,2,0),Y107,1),"")</f>
        <v>P</v>
      </c>
      <c r="Y107" s="9">
        <v>146</v>
      </c>
      <c r="Z107" s="9" t="str">
        <f>IFERROR(MID(VLOOKUP($B107,Seqs!$A:$B,2,0),AA107,1),"")</f>
        <v>M</v>
      </c>
      <c r="AA107" s="9">
        <v>153</v>
      </c>
      <c r="AB107" s="9" t="str">
        <f>IFERROR(MID(VLOOKUP($B107,Seqs!$A:$B,2,0),AC107,1),"")</f>
        <v>T</v>
      </c>
      <c r="AC107" s="9">
        <v>154</v>
      </c>
      <c r="AD107" s="9" t="str">
        <f>IFERROR(MID(VLOOKUP($B107,Seqs!$A:$B,2,0),AE107,1),"")</f>
        <v>H</v>
      </c>
      <c r="AE107" s="9">
        <v>180</v>
      </c>
      <c r="AF107" s="9" t="str">
        <f>IFERROR(MID(VLOOKUP($B107,Seqs!$A:$B,2,0),AG107,1),"")</f>
        <v>C</v>
      </c>
      <c r="AG107" s="9">
        <v>199</v>
      </c>
      <c r="AH107" s="9" t="str">
        <f>IFERROR(MID(VLOOKUP($B107,Seqs!$A:$B,2,0),AI107,1),"")</f>
        <v>F</v>
      </c>
      <c r="AI107" s="9">
        <v>201</v>
      </c>
      <c r="AJ107" s="9" t="str">
        <f>IFERROR(MID(VLOOKUP($B107,Seqs!$A:$B,2,0),AK107,1),"")</f>
        <v>N</v>
      </c>
      <c r="AK107" s="9">
        <v>204</v>
      </c>
      <c r="AL107" s="9" t="str">
        <f>IFERROR(MID(VLOOKUP($B107,Seqs!$A:$B,2,0),AM107,1),"")</f>
        <v>S</v>
      </c>
      <c r="AM107" s="9">
        <v>273</v>
      </c>
      <c r="AN107" s="9" t="str">
        <f>IFERROR(MID(VLOOKUP($B107,Seqs!$A:$B,2,0),AO107,1),"")</f>
        <v>A</v>
      </c>
      <c r="AO107" s="9">
        <v>282</v>
      </c>
      <c r="AP107" s="9" t="str">
        <f>IFERROR(MID(VLOOKUP($B107,Seqs!$A:$B,2,0),AQ107,1),"")</f>
        <v>N</v>
      </c>
      <c r="AQ107" s="9">
        <v>316</v>
      </c>
      <c r="AR107" s="9" t="str">
        <f>IFERROR(MID(VLOOKUP($B107,Seqs!$A:$B,2,0),AS107,1),"")</f>
        <v>P</v>
      </c>
      <c r="AS107" s="9">
        <v>321</v>
      </c>
      <c r="AT107" s="9" t="str">
        <f>IFERROR(MID(VLOOKUP($B107,Seqs!$A:$B,2,0),AU107,1),"")</f>
        <v>R</v>
      </c>
      <c r="AU107" s="9">
        <v>345</v>
      </c>
      <c r="AV107" s="9" t="str">
        <f>IFERROR(MID(VLOOKUP($B107,Seqs!$A:$B,2,0),AW107,1),"")</f>
        <v>S</v>
      </c>
      <c r="AW107" s="9">
        <v>346</v>
      </c>
      <c r="AX107" s="9" t="str">
        <f>IFERROR(MID(VLOOKUP($B107,Seqs!$A:$B,2,0),AY107,1),"")</f>
        <v>L</v>
      </c>
      <c r="AY107" s="9">
        <v>357</v>
      </c>
      <c r="AZ107" s="110" t="str">
        <f>VLOOKUP(B107,Classification!A:D,2,0)</f>
        <v>A</v>
      </c>
      <c r="BA107" s="98" t="str">
        <f>VLOOKUP(B107,Classification!A:D,4,0)</f>
        <v>Adrenoceptors</v>
      </c>
      <c r="BB107" s="36" t="b">
        <f t="shared" ref="BB107" si="700">AND(E107&lt;G107,OR(G107&lt;I107,I107="-"),OR(I107&lt;K107,I107="-"),OR(K107&lt;M107,K107="-"),M107&lt;O107,OR(O107&lt;Q107,Q107="-"),OR(Q107&lt;S107,Q107="-"),OR(S107&lt;U107,S107="-"),U107&lt;W107,OR(W107&lt;Y107,Y107="-"),OR(Y107&lt;AA107,Y107="-"),OR(AA107&lt;AC107,AA107="-"),AC107&lt;AE107,OR(AE107&lt;AG107,AG107="-"),OR(AG107&lt;AI107,AG107="-"),OR(AI107&lt;AK107,AI107="-"),AK107&lt;AM107,AM107&lt;AO107,AO107&lt;AQ107,AQ107&lt;AS107,AS107&lt;AU107,OR(AU107&lt;AW107,AW107="-"),OR(AW107&lt;AY107,AW107="-"))</f>
        <v>1</v>
      </c>
      <c r="BC107" s="109">
        <f t="shared" ref="BC107" si="701">_xlfn.AGGREGATE(9,6,CH107:CS107)-_xlfn.AGGREGATE(9,6,BV107:CG107)+12</f>
        <v>285</v>
      </c>
      <c r="BD107" s="13" t="s">
        <v>1376</v>
      </c>
      <c r="BE107" s="9" t="s">
        <v>1292</v>
      </c>
      <c r="BF107" s="120">
        <v>2.5</v>
      </c>
      <c r="BG107" s="51" t="s">
        <v>1</v>
      </c>
      <c r="BH107" s="51" t="s">
        <v>1</v>
      </c>
      <c r="BJ107" s="111" t="s">
        <v>1288</v>
      </c>
      <c r="BK107" s="112" t="s">
        <v>1288</v>
      </c>
      <c r="BL107" s="112" t="s">
        <v>1288</v>
      </c>
      <c r="BM107" s="112" t="s">
        <v>1288</v>
      </c>
      <c r="BN107" s="112" t="s">
        <v>1288</v>
      </c>
      <c r="BO107" s="112" t="s">
        <v>1288</v>
      </c>
      <c r="BP107" s="112" t="s">
        <v>1288</v>
      </c>
      <c r="BQ107" s="112" t="s">
        <v>1288</v>
      </c>
      <c r="BR107" s="112" t="s">
        <v>1288</v>
      </c>
      <c r="BS107" s="112" t="s">
        <v>1288</v>
      </c>
      <c r="BT107" s="112" t="s">
        <v>1288</v>
      </c>
      <c r="BU107" s="112" t="s">
        <v>1288</v>
      </c>
      <c r="BV107" s="111">
        <f t="shared" ref="BV107" si="702">E107</f>
        <v>40</v>
      </c>
      <c r="BW107" s="113">
        <f t="shared" ref="BW107" si="703">I107</f>
        <v>70</v>
      </c>
      <c r="BX107" s="114">
        <f t="shared" ref="BX107" si="704">M107</f>
        <v>74</v>
      </c>
      <c r="BY107" s="113">
        <f t="shared" ref="BY107" si="705">Q107</f>
        <v>106</v>
      </c>
      <c r="BZ107" s="114">
        <f t="shared" ref="BZ107" si="706">U107</f>
        <v>110</v>
      </c>
      <c r="CA107" s="113">
        <f t="shared" ref="CA107" si="707">Y107</f>
        <v>146</v>
      </c>
      <c r="CB107" s="114">
        <f t="shared" ref="CB107" si="708">AC107</f>
        <v>154</v>
      </c>
      <c r="CC107" s="113">
        <f t="shared" ref="CC107" si="709">AG107</f>
        <v>199</v>
      </c>
      <c r="CD107" s="114">
        <f t="shared" ref="CD107" si="710">AK107</f>
        <v>204</v>
      </c>
      <c r="CE107" s="113">
        <f t="shared" ref="CE107" si="711">AO107</f>
        <v>282</v>
      </c>
      <c r="CF107" s="114">
        <f t="shared" ref="CF107" si="712">AS107</f>
        <v>321</v>
      </c>
      <c r="CG107" s="113">
        <f t="shared" ref="CG107" si="713">AW107</f>
        <v>346</v>
      </c>
      <c r="CH107" s="111">
        <f t="shared" ref="CH107" si="714">G107</f>
        <v>69</v>
      </c>
      <c r="CI107" s="113">
        <f t="shared" ref="CI107" si="715">K107</f>
        <v>73</v>
      </c>
      <c r="CJ107" s="114">
        <f t="shared" ref="CJ107" si="716">O107</f>
        <v>104</v>
      </c>
      <c r="CK107" s="114">
        <f t="shared" ref="CK107" si="717">S107</f>
        <v>109</v>
      </c>
      <c r="CL107" s="114">
        <f t="shared" ref="CL107" si="718">W107</f>
        <v>145</v>
      </c>
      <c r="CM107" s="114">
        <f t="shared" ref="CM107" si="719">AA107</f>
        <v>153</v>
      </c>
      <c r="CN107" s="114">
        <f t="shared" ref="CN107" si="720">AE107</f>
        <v>180</v>
      </c>
      <c r="CO107" s="114">
        <f t="shared" ref="CO107" si="721">AI107</f>
        <v>201</v>
      </c>
      <c r="CP107" s="114">
        <f t="shared" ref="CP107" si="722">AM107</f>
        <v>273</v>
      </c>
      <c r="CQ107" s="114">
        <f t="shared" ref="CQ107" si="723">AQ107</f>
        <v>316</v>
      </c>
      <c r="CR107" s="114">
        <f t="shared" ref="CR107" si="724">AU107</f>
        <v>345</v>
      </c>
      <c r="CS107" s="114">
        <f t="shared" ref="CS107" si="725">AY107</f>
        <v>357</v>
      </c>
      <c r="CT107" s="109">
        <f t="shared" ref="CT107" si="726">M107-K107</f>
        <v>1</v>
      </c>
    </row>
    <row r="108" spans="1:1029" s="12" customFormat="1" x14ac:dyDescent="0.2">
      <c r="A108" s="9" t="str">
        <f t="shared" ref="A108" si="727">CONCATENATE(B108,"_",C108)</f>
        <v>adrb1_melga_6H7O</v>
      </c>
      <c r="B108" s="9" t="s">
        <v>912</v>
      </c>
      <c r="C108" s="9" t="s">
        <v>1524</v>
      </c>
      <c r="D108" s="9" t="str">
        <f>IFERROR(MID(VLOOKUP($B108,Seqs!$A:$B,2,0),E108,1),"")</f>
        <v>W</v>
      </c>
      <c r="E108" s="9">
        <v>40</v>
      </c>
      <c r="F108" s="9" t="str">
        <f>IFERROR(MID(VLOOKUP($B108,Seqs!$A:$B,2,0),G108,1),"")</f>
        <v>T</v>
      </c>
      <c r="G108" s="9">
        <v>69</v>
      </c>
      <c r="H108" s="9" t="str">
        <f>IFERROR(MID(VLOOKUP($B108,Seqs!$A:$B,2,0),I108,1),"")</f>
        <v>Q</v>
      </c>
      <c r="I108" s="109">
        <v>70</v>
      </c>
      <c r="J108" s="9" t="str">
        <f>IFERROR(MID(VLOOKUP($B108,Seqs!$A:$B,2,0),K108,1),"")</f>
        <v>Q</v>
      </c>
      <c r="K108" s="109">
        <v>73</v>
      </c>
      <c r="L108" s="9" t="str">
        <f>IFERROR(MID(VLOOKUP($B108,Seqs!$A:$B,2,0),M108,1),"")</f>
        <v>T</v>
      </c>
      <c r="M108" s="9">
        <v>74</v>
      </c>
      <c r="N108" s="9" t="str">
        <f>IFERROR(MID(VLOOKUP($B108,Seqs!$A:$B,2,0),O108,1),"")</f>
        <v>R</v>
      </c>
      <c r="O108" s="9">
        <v>104</v>
      </c>
      <c r="P108" s="9" t="str">
        <f>IFERROR(MID(VLOOKUP($B108,Seqs!$A:$B,2,0),Q108,1),"")</f>
        <v>T</v>
      </c>
      <c r="Q108" s="9">
        <v>106</v>
      </c>
      <c r="R108" s="9" t="str">
        <f>IFERROR(MID(VLOOKUP($B108,Seqs!$A:$B,2,0),S108,1),"")</f>
        <v>W</v>
      </c>
      <c r="S108" s="9">
        <v>109</v>
      </c>
      <c r="T108" s="9" t="str">
        <f>IFERROR(MID(VLOOKUP($B108,Seqs!$A:$B,2,0),U108,1),"")</f>
        <v>G</v>
      </c>
      <c r="U108" s="9">
        <v>110</v>
      </c>
      <c r="V108" s="9" t="str">
        <f>IFERROR(MID(VLOOKUP($B108,Seqs!$A:$B,2,0),W108,1),"")</f>
        <v>S</v>
      </c>
      <c r="W108" s="9">
        <v>145</v>
      </c>
      <c r="X108" s="9" t="str">
        <f>IFERROR(MID(VLOOKUP($B108,Seqs!$A:$B,2,0),Y108,1),"")</f>
        <v>P</v>
      </c>
      <c r="Y108" s="9">
        <v>146</v>
      </c>
      <c r="Z108" s="9" t="str">
        <f>IFERROR(MID(VLOOKUP($B108,Seqs!$A:$B,2,0),AA108,1),"")</f>
        <v>M</v>
      </c>
      <c r="AA108" s="9">
        <v>153</v>
      </c>
      <c r="AB108" s="9" t="str">
        <f>IFERROR(MID(VLOOKUP($B108,Seqs!$A:$B,2,0),AC108,1),"")</f>
        <v>T</v>
      </c>
      <c r="AC108" s="9">
        <v>154</v>
      </c>
      <c r="AD108" s="9" t="str">
        <f>IFERROR(MID(VLOOKUP($B108,Seqs!$A:$B,2,0),AE108,1),"")</f>
        <v>H</v>
      </c>
      <c r="AE108" s="9">
        <v>180</v>
      </c>
      <c r="AF108" s="9" t="str">
        <f>IFERROR(MID(VLOOKUP($B108,Seqs!$A:$B,2,0),AG108,1),"")</f>
        <v>C</v>
      </c>
      <c r="AG108" s="9">
        <v>199</v>
      </c>
      <c r="AH108" s="9" t="str">
        <f>IFERROR(MID(VLOOKUP($B108,Seqs!$A:$B,2,0),AI108,1),"")</f>
        <v>F</v>
      </c>
      <c r="AI108" s="9">
        <v>201</v>
      </c>
      <c r="AJ108" s="9" t="str">
        <f>IFERROR(MID(VLOOKUP($B108,Seqs!$A:$B,2,0),AK108,1),"")</f>
        <v>N</v>
      </c>
      <c r="AK108" s="9">
        <v>204</v>
      </c>
      <c r="AL108" s="9" t="str">
        <f>IFERROR(MID(VLOOKUP($B108,Seqs!$A:$B,2,0),AM108,1),"")</f>
        <v>S</v>
      </c>
      <c r="AM108" s="9">
        <v>273</v>
      </c>
      <c r="AN108" s="9" t="str">
        <f>IFERROR(MID(VLOOKUP($B108,Seqs!$A:$B,2,0),AO108,1),"")</f>
        <v>A</v>
      </c>
      <c r="AO108" s="9">
        <v>282</v>
      </c>
      <c r="AP108" s="9" t="str">
        <f>IFERROR(MID(VLOOKUP($B108,Seqs!$A:$B,2,0),AQ108,1),"")</f>
        <v>N</v>
      </c>
      <c r="AQ108" s="9">
        <v>316</v>
      </c>
      <c r="AR108" s="9" t="str">
        <f>IFERROR(MID(VLOOKUP($B108,Seqs!$A:$B,2,0),AS108,1),"")</f>
        <v>P</v>
      </c>
      <c r="AS108" s="9">
        <v>321</v>
      </c>
      <c r="AT108" s="9" t="str">
        <f>IFERROR(MID(VLOOKUP($B108,Seqs!$A:$B,2,0),AU108,1),"")</f>
        <v>R</v>
      </c>
      <c r="AU108" s="9">
        <v>345</v>
      </c>
      <c r="AV108" s="9" t="str">
        <f>IFERROR(MID(VLOOKUP($B108,Seqs!$A:$B,2,0),AW108,1),"")</f>
        <v>S</v>
      </c>
      <c r="AW108" s="9">
        <v>346</v>
      </c>
      <c r="AX108" s="9" t="str">
        <f>IFERROR(MID(VLOOKUP($B108,Seqs!$A:$B,2,0),AY108,1),"")</f>
        <v>L</v>
      </c>
      <c r="AY108" s="9">
        <v>357</v>
      </c>
      <c r="AZ108" s="110" t="str">
        <f>VLOOKUP(B108,Classification!A:D,2,0)</f>
        <v>A</v>
      </c>
      <c r="BA108" s="98" t="str">
        <f>VLOOKUP(B108,Classification!A:D,4,0)</f>
        <v>Adrenoceptors</v>
      </c>
      <c r="BB108" s="36" t="b">
        <f t="shared" ref="BB108" si="728">AND(E108&lt;G108,OR(G108&lt;I108,I108="-"),OR(I108&lt;K108,I108="-"),OR(K108&lt;M108,K108="-"),M108&lt;O108,OR(O108&lt;Q108,Q108="-"),OR(Q108&lt;S108,Q108="-"),OR(S108&lt;U108,S108="-"),U108&lt;W108,OR(W108&lt;Y108,Y108="-"),OR(Y108&lt;AA108,Y108="-"),OR(AA108&lt;AC108,AA108="-"),AC108&lt;AE108,OR(AE108&lt;AG108,AG108="-"),OR(AG108&lt;AI108,AG108="-"),OR(AI108&lt;AK108,AI108="-"),AK108&lt;AM108,AM108&lt;AO108,AO108&lt;AQ108,AQ108&lt;AS108,AS108&lt;AU108,OR(AU108&lt;AW108,AW108="-"),OR(AW108&lt;AY108,AW108="-"))</f>
        <v>1</v>
      </c>
      <c r="BC108" s="109">
        <f t="shared" ref="BC108" si="729">_xlfn.AGGREGATE(9,6,CH108:CS108)-_xlfn.AGGREGATE(9,6,BV108:CG108)+12</f>
        <v>285</v>
      </c>
      <c r="BD108" s="13" t="s">
        <v>23</v>
      </c>
      <c r="BE108" s="9" t="s">
        <v>1292</v>
      </c>
      <c r="BF108" s="120">
        <v>2.8</v>
      </c>
      <c r="BG108" s="51" t="s">
        <v>1</v>
      </c>
      <c r="BH108" s="51" t="s">
        <v>1</v>
      </c>
      <c r="BJ108" s="111" t="s">
        <v>1288</v>
      </c>
      <c r="BK108" s="112" t="s">
        <v>1288</v>
      </c>
      <c r="BL108" s="112" t="s">
        <v>1288</v>
      </c>
      <c r="BM108" s="112" t="s">
        <v>1288</v>
      </c>
      <c r="BN108" s="112" t="s">
        <v>1288</v>
      </c>
      <c r="BO108" s="112" t="s">
        <v>1288</v>
      </c>
      <c r="BP108" s="112" t="s">
        <v>1288</v>
      </c>
      <c r="BQ108" s="112" t="s">
        <v>1288</v>
      </c>
      <c r="BR108" s="112" t="s">
        <v>1288</v>
      </c>
      <c r="BS108" s="112" t="s">
        <v>1288</v>
      </c>
      <c r="BT108" s="112" t="s">
        <v>1288</v>
      </c>
      <c r="BU108" s="112" t="s">
        <v>1288</v>
      </c>
      <c r="BV108" s="111">
        <f t="shared" ref="BV108" si="730">E108</f>
        <v>40</v>
      </c>
      <c r="BW108" s="113">
        <f t="shared" ref="BW108" si="731">I108</f>
        <v>70</v>
      </c>
      <c r="BX108" s="114">
        <f t="shared" ref="BX108" si="732">M108</f>
        <v>74</v>
      </c>
      <c r="BY108" s="113">
        <f t="shared" ref="BY108" si="733">Q108</f>
        <v>106</v>
      </c>
      <c r="BZ108" s="114">
        <f t="shared" ref="BZ108" si="734">U108</f>
        <v>110</v>
      </c>
      <c r="CA108" s="113">
        <f t="shared" ref="CA108" si="735">Y108</f>
        <v>146</v>
      </c>
      <c r="CB108" s="114">
        <f t="shared" ref="CB108" si="736">AC108</f>
        <v>154</v>
      </c>
      <c r="CC108" s="113">
        <f t="shared" ref="CC108" si="737">AG108</f>
        <v>199</v>
      </c>
      <c r="CD108" s="114">
        <f t="shared" ref="CD108" si="738">AK108</f>
        <v>204</v>
      </c>
      <c r="CE108" s="113">
        <f t="shared" ref="CE108" si="739">AO108</f>
        <v>282</v>
      </c>
      <c r="CF108" s="114">
        <f t="shared" ref="CF108" si="740">AS108</f>
        <v>321</v>
      </c>
      <c r="CG108" s="113">
        <f t="shared" ref="CG108" si="741">AW108</f>
        <v>346</v>
      </c>
      <c r="CH108" s="111">
        <f t="shared" ref="CH108" si="742">G108</f>
        <v>69</v>
      </c>
      <c r="CI108" s="113">
        <f t="shared" ref="CI108" si="743">K108</f>
        <v>73</v>
      </c>
      <c r="CJ108" s="114">
        <f t="shared" ref="CJ108" si="744">O108</f>
        <v>104</v>
      </c>
      <c r="CK108" s="114">
        <f t="shared" ref="CK108" si="745">S108</f>
        <v>109</v>
      </c>
      <c r="CL108" s="114">
        <f t="shared" ref="CL108" si="746">W108</f>
        <v>145</v>
      </c>
      <c r="CM108" s="114">
        <f t="shared" ref="CM108" si="747">AA108</f>
        <v>153</v>
      </c>
      <c r="CN108" s="114">
        <f t="shared" ref="CN108" si="748">AE108</f>
        <v>180</v>
      </c>
      <c r="CO108" s="114">
        <f t="shared" ref="CO108" si="749">AI108</f>
        <v>201</v>
      </c>
      <c r="CP108" s="114">
        <f t="shared" ref="CP108" si="750">AM108</f>
        <v>273</v>
      </c>
      <c r="CQ108" s="114">
        <f t="shared" ref="CQ108" si="751">AQ108</f>
        <v>316</v>
      </c>
      <c r="CR108" s="114">
        <f t="shared" ref="CR108" si="752">AU108</f>
        <v>345</v>
      </c>
      <c r="CS108" s="114">
        <f t="shared" ref="CS108" si="753">AY108</f>
        <v>357</v>
      </c>
      <c r="CT108" s="109">
        <f t="shared" ref="CT108" si="754">M108-K108</f>
        <v>1</v>
      </c>
    </row>
    <row r="109" spans="1:1029" s="12" customFormat="1" x14ac:dyDescent="0.2">
      <c r="A109" s="9" t="str">
        <f t="shared" ref="A109" si="755">CONCATENATE(B109,"_",C109)</f>
        <v>adrb1_melga_6IBL</v>
      </c>
      <c r="B109" s="9" t="s">
        <v>912</v>
      </c>
      <c r="C109" s="9" t="s">
        <v>1551</v>
      </c>
      <c r="D109" s="9" t="str">
        <f>IFERROR(MID(VLOOKUP($B109,Seqs!$A:$B,2,0),E109,1),"")</f>
        <v>E</v>
      </c>
      <c r="E109" s="9">
        <v>41</v>
      </c>
      <c r="F109" s="9" t="str">
        <f>IFERROR(MID(VLOOKUP($B109,Seqs!$A:$B,2,0),G109,1),"")</f>
        <v>T</v>
      </c>
      <c r="G109" s="9">
        <v>69</v>
      </c>
      <c r="H109" s="9" t="str">
        <f>IFERROR(MID(VLOOKUP($B109,Seqs!$A:$B,2,0),I109,1),"")</f>
        <v>Q</v>
      </c>
      <c r="I109" s="109">
        <v>70</v>
      </c>
      <c r="J109" s="9" t="str">
        <f>IFERROR(MID(VLOOKUP($B109,Seqs!$A:$B,2,0),K109,1),"")</f>
        <v>Q</v>
      </c>
      <c r="K109" s="109">
        <v>73</v>
      </c>
      <c r="L109" s="9" t="str">
        <f>IFERROR(MID(VLOOKUP($B109,Seqs!$A:$B,2,0),M109,1),"")</f>
        <v>T</v>
      </c>
      <c r="M109" s="9">
        <v>74</v>
      </c>
      <c r="N109" s="9" t="str">
        <f>IFERROR(MID(VLOOKUP($B109,Seqs!$A:$B,2,0),O109,1),"")</f>
        <v>R</v>
      </c>
      <c r="O109" s="9">
        <v>104</v>
      </c>
      <c r="P109" s="9" t="str">
        <f>IFERROR(MID(VLOOKUP($B109,Seqs!$A:$B,2,0),Q109,1),"")</f>
        <v>T</v>
      </c>
      <c r="Q109" s="9">
        <v>106</v>
      </c>
      <c r="R109" s="9" t="str">
        <f>IFERROR(MID(VLOOKUP($B109,Seqs!$A:$B,2,0),S109,1),"")</f>
        <v>W</v>
      </c>
      <c r="S109" s="9">
        <v>109</v>
      </c>
      <c r="T109" s="9" t="str">
        <f>IFERROR(MID(VLOOKUP($B109,Seqs!$A:$B,2,0),U109,1),"")</f>
        <v>G</v>
      </c>
      <c r="U109" s="9">
        <v>110</v>
      </c>
      <c r="V109" s="9" t="str">
        <f>IFERROR(MID(VLOOKUP($B109,Seqs!$A:$B,2,0),W109,1),"")</f>
        <v>S</v>
      </c>
      <c r="W109" s="9">
        <v>145</v>
      </c>
      <c r="X109" s="9" t="str">
        <f>IFERROR(MID(VLOOKUP($B109,Seqs!$A:$B,2,0),Y109,1),"")</f>
        <v>P</v>
      </c>
      <c r="Y109" s="9">
        <v>146</v>
      </c>
      <c r="Z109" s="9" t="str">
        <f>IFERROR(MID(VLOOKUP($B109,Seqs!$A:$B,2,0),AA109,1),"")</f>
        <v>M</v>
      </c>
      <c r="AA109" s="9">
        <v>153</v>
      </c>
      <c r="AB109" s="9" t="str">
        <f>IFERROR(MID(VLOOKUP($B109,Seqs!$A:$B,2,0),AC109,1),"")</f>
        <v>T</v>
      </c>
      <c r="AC109" s="9">
        <v>154</v>
      </c>
      <c r="AD109" s="9" t="str">
        <f>IFERROR(MID(VLOOKUP($B109,Seqs!$A:$B,2,0),AE109,1),"")</f>
        <v>H</v>
      </c>
      <c r="AE109" s="9">
        <v>180</v>
      </c>
      <c r="AF109" s="9" t="str">
        <f>IFERROR(MID(VLOOKUP($B109,Seqs!$A:$B,2,0),AG109,1),"")</f>
        <v>C</v>
      </c>
      <c r="AG109" s="9">
        <v>199</v>
      </c>
      <c r="AH109" s="9" t="str">
        <f>IFERROR(MID(VLOOKUP($B109,Seqs!$A:$B,2,0),AI109,1),"")</f>
        <v>F</v>
      </c>
      <c r="AI109" s="9">
        <v>201</v>
      </c>
      <c r="AJ109" s="9" t="str">
        <f>IFERROR(MID(VLOOKUP($B109,Seqs!$A:$B,2,0),AK109,1),"")</f>
        <v>N</v>
      </c>
      <c r="AK109" s="9">
        <v>204</v>
      </c>
      <c r="AL109" s="9" t="str">
        <f>IFERROR(MID(VLOOKUP($B109,Seqs!$A:$B,2,0),AM109,1),"")</f>
        <v>S</v>
      </c>
      <c r="AM109" s="9">
        <v>273</v>
      </c>
      <c r="AN109" s="9" t="str">
        <f>IFERROR(MID(VLOOKUP($B109,Seqs!$A:$B,2,0),AO109,1),"")</f>
        <v>A</v>
      </c>
      <c r="AO109" s="9">
        <v>282</v>
      </c>
      <c r="AP109" s="9" t="str">
        <f>IFERROR(MID(VLOOKUP($B109,Seqs!$A:$B,2,0),AQ109,1),"")</f>
        <v>N</v>
      </c>
      <c r="AQ109" s="9">
        <v>316</v>
      </c>
      <c r="AR109" s="9" t="str">
        <f>IFERROR(MID(VLOOKUP($B109,Seqs!$A:$B,2,0),AS109,1),"")</f>
        <v>P</v>
      </c>
      <c r="AS109" s="9">
        <v>321</v>
      </c>
      <c r="AT109" s="9" t="str">
        <f>IFERROR(MID(VLOOKUP($B109,Seqs!$A:$B,2,0),AU109,1),"")</f>
        <v>C</v>
      </c>
      <c r="AU109" s="9">
        <v>344</v>
      </c>
      <c r="AV109" s="9" t="str">
        <f>IFERROR(MID(VLOOKUP($B109,Seqs!$A:$B,2,0),AW109,1),"")</f>
        <v>S</v>
      </c>
      <c r="AW109" s="9">
        <v>346</v>
      </c>
      <c r="AX109" s="9" t="str">
        <f>IFERROR(MID(VLOOKUP($B109,Seqs!$A:$B,2,0),AY109,1),"")</f>
        <v>L</v>
      </c>
      <c r="AY109" s="9">
        <v>357</v>
      </c>
      <c r="AZ109" s="110" t="str">
        <f>VLOOKUP(B109,Classification!A:D,2,0)</f>
        <v>A</v>
      </c>
      <c r="BA109" s="98" t="str">
        <f>VLOOKUP(B109,Classification!A:D,4,0)</f>
        <v>Adrenoceptors</v>
      </c>
      <c r="BB109" s="36" t="b">
        <f t="shared" ref="BB109" si="756">AND(E109&lt;G109,OR(G109&lt;I109,I109="-"),OR(I109&lt;K109,I109="-"),OR(K109&lt;M109,K109="-"),M109&lt;O109,OR(O109&lt;Q109,Q109="-"),OR(Q109&lt;S109,Q109="-"),OR(S109&lt;U109,S109="-"),U109&lt;W109,OR(W109&lt;Y109,Y109="-"),OR(Y109&lt;AA109,Y109="-"),OR(AA109&lt;AC109,AA109="-"),AC109&lt;AE109,OR(AE109&lt;AG109,AG109="-"),OR(AG109&lt;AI109,AG109="-"),OR(AI109&lt;AK109,AI109="-"),AK109&lt;AM109,AM109&lt;AO109,AO109&lt;AQ109,AQ109&lt;AS109,AS109&lt;AU109,OR(AU109&lt;AW109,AW109="-"),OR(AW109&lt;AY109,AW109="-"))</f>
        <v>1</v>
      </c>
      <c r="BC109" s="109">
        <f t="shared" ref="BC109" si="757">_xlfn.AGGREGATE(9,6,CH109:CS109)-_xlfn.AGGREGATE(9,6,BV109:CG109)+12</f>
        <v>283</v>
      </c>
      <c r="BD109" s="13" t="s">
        <v>23</v>
      </c>
      <c r="BE109" s="9" t="s">
        <v>1292</v>
      </c>
      <c r="BF109" s="120">
        <v>2.7</v>
      </c>
      <c r="BG109" s="51" t="s">
        <v>1</v>
      </c>
      <c r="BH109" s="51" t="s">
        <v>1</v>
      </c>
      <c r="BJ109" s="111" t="s">
        <v>1288</v>
      </c>
      <c r="BK109" s="112" t="s">
        <v>1288</v>
      </c>
      <c r="BL109" s="112" t="s">
        <v>1288</v>
      </c>
      <c r="BM109" s="112" t="s">
        <v>1288</v>
      </c>
      <c r="BN109" s="112" t="s">
        <v>1288</v>
      </c>
      <c r="BO109" s="112" t="s">
        <v>1288</v>
      </c>
      <c r="BP109" s="112" t="s">
        <v>1288</v>
      </c>
      <c r="BQ109" s="112" t="s">
        <v>1288</v>
      </c>
      <c r="BR109" s="112" t="s">
        <v>1288</v>
      </c>
      <c r="BS109" s="112" t="s">
        <v>1288</v>
      </c>
      <c r="BT109" s="112" t="s">
        <v>1288</v>
      </c>
      <c r="BU109" s="112" t="s">
        <v>1288</v>
      </c>
      <c r="BV109" s="111">
        <f t="shared" ref="BV109" si="758">E109</f>
        <v>41</v>
      </c>
      <c r="BW109" s="113">
        <f t="shared" ref="BW109" si="759">I109</f>
        <v>70</v>
      </c>
      <c r="BX109" s="114">
        <f t="shared" ref="BX109" si="760">M109</f>
        <v>74</v>
      </c>
      <c r="BY109" s="113">
        <f t="shared" ref="BY109" si="761">Q109</f>
        <v>106</v>
      </c>
      <c r="BZ109" s="114">
        <f t="shared" ref="BZ109" si="762">U109</f>
        <v>110</v>
      </c>
      <c r="CA109" s="113">
        <f t="shared" ref="CA109" si="763">Y109</f>
        <v>146</v>
      </c>
      <c r="CB109" s="114">
        <f t="shared" ref="CB109" si="764">AC109</f>
        <v>154</v>
      </c>
      <c r="CC109" s="113">
        <f t="shared" ref="CC109" si="765">AG109</f>
        <v>199</v>
      </c>
      <c r="CD109" s="114">
        <f t="shared" ref="CD109" si="766">AK109</f>
        <v>204</v>
      </c>
      <c r="CE109" s="113">
        <f t="shared" ref="CE109" si="767">AO109</f>
        <v>282</v>
      </c>
      <c r="CF109" s="114">
        <f t="shared" ref="CF109" si="768">AS109</f>
        <v>321</v>
      </c>
      <c r="CG109" s="113">
        <f t="shared" ref="CG109" si="769">AW109</f>
        <v>346</v>
      </c>
      <c r="CH109" s="111">
        <f t="shared" ref="CH109" si="770">G109</f>
        <v>69</v>
      </c>
      <c r="CI109" s="113">
        <f t="shared" ref="CI109" si="771">K109</f>
        <v>73</v>
      </c>
      <c r="CJ109" s="114">
        <f t="shared" ref="CJ109" si="772">O109</f>
        <v>104</v>
      </c>
      <c r="CK109" s="114">
        <f t="shared" ref="CK109" si="773">S109</f>
        <v>109</v>
      </c>
      <c r="CL109" s="114">
        <f t="shared" ref="CL109" si="774">W109</f>
        <v>145</v>
      </c>
      <c r="CM109" s="114">
        <f t="shared" ref="CM109" si="775">AA109</f>
        <v>153</v>
      </c>
      <c r="CN109" s="114">
        <f t="shared" ref="CN109" si="776">AE109</f>
        <v>180</v>
      </c>
      <c r="CO109" s="114">
        <f t="shared" ref="CO109" si="777">AI109</f>
        <v>201</v>
      </c>
      <c r="CP109" s="114">
        <f t="shared" ref="CP109" si="778">AM109</f>
        <v>273</v>
      </c>
      <c r="CQ109" s="114">
        <f t="shared" ref="CQ109" si="779">AQ109</f>
        <v>316</v>
      </c>
      <c r="CR109" s="114">
        <f t="shared" ref="CR109" si="780">AU109</f>
        <v>344</v>
      </c>
      <c r="CS109" s="114">
        <f t="shared" ref="CS109" si="781">AY109</f>
        <v>357</v>
      </c>
      <c r="CT109" s="109">
        <f t="shared" ref="CT109" si="782">M109-K109</f>
        <v>1</v>
      </c>
    </row>
    <row r="110" spans="1:1029" x14ac:dyDescent="0.2">
      <c r="A110" s="3" t="str">
        <f t="shared" si="391"/>
        <v>adrb2_human__wt</v>
      </c>
      <c r="B110" s="3" t="s">
        <v>126</v>
      </c>
      <c r="C110" s="3" t="s">
        <v>100</v>
      </c>
      <c r="D110" s="3" t="str">
        <f>IFERROR(MID(VLOOKUP($B110,Seqs!$A:$B,2,0),E110,1),"")</f>
        <v>Q</v>
      </c>
      <c r="E110" s="3">
        <v>26</v>
      </c>
      <c r="F110" s="3" t="str">
        <f>IFERROR(MID(VLOOKUP($B110,Seqs!$A:$B,2,0),G110,1),"")</f>
        <v>F</v>
      </c>
      <c r="G110" s="3">
        <v>61</v>
      </c>
      <c r="H110" s="3" t="str">
        <f>IFERROR(MID(VLOOKUP($B110,Seqs!$A:$B,2,0),I110,1),"")</f>
        <v>E</v>
      </c>
      <c r="I110" s="23">
        <v>62</v>
      </c>
      <c r="J110" s="3" t="str">
        <f>IFERROR(MID(VLOOKUP($B110,Seqs!$A:$B,2,0),K110,1),"")</f>
        <v>Q</v>
      </c>
      <c r="K110" s="23">
        <v>65</v>
      </c>
      <c r="L110" s="3" t="str">
        <f>IFERROR(MID(VLOOKUP($B110,Seqs!$A:$B,2,0),M110,1),"")</f>
        <v>T</v>
      </c>
      <c r="M110" s="3">
        <v>66</v>
      </c>
      <c r="N110" s="3" t="str">
        <f>IFERROR(MID(VLOOKUP($B110,Seqs!$A:$B,2,0),O110,1),"")</f>
        <v>M</v>
      </c>
      <c r="O110" s="3">
        <v>96</v>
      </c>
      <c r="P110" s="3" t="str">
        <f>IFERROR(MID(VLOOKUP($B110,Seqs!$A:$B,2,0),Q110,1),"")</f>
        <v>M</v>
      </c>
      <c r="Q110" s="3">
        <v>98</v>
      </c>
      <c r="R110" s="3" t="str">
        <f>IFERROR(MID(VLOOKUP($B110,Seqs!$A:$B,2,0),S110,1),"")</f>
        <v>F</v>
      </c>
      <c r="S110" s="3">
        <v>101</v>
      </c>
      <c r="T110" s="3" t="str">
        <f>IFERROR(MID(VLOOKUP($B110,Seqs!$A:$B,2,0),U110,1),"")</f>
        <v>G</v>
      </c>
      <c r="U110" s="3">
        <v>102</v>
      </c>
      <c r="V110" s="3" t="str">
        <f>IFERROR(MID(VLOOKUP($B110,Seqs!$A:$B,2,0),W110,1),"")</f>
        <v>S</v>
      </c>
      <c r="W110" s="3">
        <v>137</v>
      </c>
      <c r="X110" s="3" t="str">
        <f>IFERROR(MID(VLOOKUP($B110,Seqs!$A:$B,2,0),Y110,1),"")</f>
        <v>P</v>
      </c>
      <c r="Y110" s="3">
        <v>138</v>
      </c>
      <c r="Z110" s="3" t="str">
        <f>IFERROR(MID(VLOOKUP($B110,Seqs!$A:$B,2,0),AA110,1),"")</f>
        <v>L</v>
      </c>
      <c r="AA110" s="3">
        <v>145</v>
      </c>
      <c r="AB110" s="3" t="str">
        <f>IFERROR(MID(VLOOKUP($B110,Seqs!$A:$B,2,0),AC110,1),"")</f>
        <v>T</v>
      </c>
      <c r="AC110" s="9">
        <v>146</v>
      </c>
      <c r="AD110" s="3" t="str">
        <f>IFERROR(MID(VLOOKUP($B110,Seqs!$A:$B,2,0),AE110,1),"")</f>
        <v>H</v>
      </c>
      <c r="AE110" s="3">
        <v>172</v>
      </c>
      <c r="AF110" s="3" t="str">
        <f>IFERROR(MID(VLOOKUP($B110,Seqs!$A:$B,2,0),AG110,1),"")</f>
        <v>C</v>
      </c>
      <c r="AG110" s="3">
        <v>191</v>
      </c>
      <c r="AH110" s="3" t="str">
        <f>IFERROR(MID(VLOOKUP($B110,Seqs!$A:$B,2,0),AI110,1),"")</f>
        <v>F</v>
      </c>
      <c r="AI110" s="3">
        <v>193</v>
      </c>
      <c r="AJ110" s="3" t="str">
        <f>IFERROR(MID(VLOOKUP($B110,Seqs!$A:$B,2,0),AK110,1),"")</f>
        <v>N</v>
      </c>
      <c r="AK110" s="3">
        <v>196</v>
      </c>
      <c r="AL110" s="3" t="str">
        <f>IFERROR(MID(VLOOKUP($B110,Seqs!$A:$B,2,0),AM110,1),"")</f>
        <v>E</v>
      </c>
      <c r="AM110" s="3">
        <v>237</v>
      </c>
      <c r="AN110" s="3" t="str">
        <f>IFERROR(MID(VLOOKUP($B110,Seqs!$A:$B,2,0),AO110,1),"")</f>
        <v>S</v>
      </c>
      <c r="AO110" s="3">
        <v>262</v>
      </c>
      <c r="AP110" s="3" t="str">
        <f>IFERROR(MID(VLOOKUP($B110,Seqs!$A:$B,2,0),AQ110,1),"")</f>
        <v>Q</v>
      </c>
      <c r="AQ110" s="3">
        <v>299</v>
      </c>
      <c r="AR110" s="3" t="str">
        <f>IFERROR(MID(VLOOKUP($B110,Seqs!$A:$B,2,0),AS110,1),"")</f>
        <v>R</v>
      </c>
      <c r="AS110" s="3">
        <v>304</v>
      </c>
      <c r="AT110" s="3" t="str">
        <f>IFERROR(MID(VLOOKUP($B110,Seqs!$A:$B,2,0),AU110,1),"")</f>
        <v>R</v>
      </c>
      <c r="AU110" s="3">
        <v>328</v>
      </c>
      <c r="AV110" s="3" t="str">
        <f>IFERROR(MID(VLOOKUP($B110,Seqs!$A:$B,2,0),AW110,1),"")</f>
        <v>S</v>
      </c>
      <c r="AW110" s="3">
        <v>329</v>
      </c>
      <c r="AX110" s="3" t="str">
        <f>IFERROR(MID(VLOOKUP($B110,Seqs!$A:$B,2,0),AY110,1),"")</f>
        <v>C</v>
      </c>
      <c r="AY110" s="3">
        <v>341</v>
      </c>
      <c r="AZ110" s="77" t="str">
        <f>VLOOKUP(B110,Classification!A:D,2,0)</f>
        <v>A</v>
      </c>
      <c r="BA110" s="94" t="str">
        <f>VLOOKUP(B110,Classification!A:D,4,0)</f>
        <v>Adrenoceptors</v>
      </c>
      <c r="BB110" s="27" t="b">
        <f t="shared" si="392"/>
        <v>1</v>
      </c>
      <c r="BC110" s="23">
        <f t="shared" si="589"/>
        <v>267</v>
      </c>
      <c r="BD110" s="56" t="s">
        <v>23</v>
      </c>
      <c r="BE110" s="3" t="s">
        <v>23</v>
      </c>
      <c r="BF110" s="119" t="s">
        <v>23</v>
      </c>
      <c r="BG110" s="49" t="s">
        <v>1373</v>
      </c>
      <c r="BH110" s="49" t="s">
        <v>1378</v>
      </c>
      <c r="BI110" s="3" t="s">
        <v>1166</v>
      </c>
      <c r="BJ110" s="70" t="s">
        <v>1288</v>
      </c>
      <c r="BK110" s="57" t="s">
        <v>1288</v>
      </c>
      <c r="BL110" s="57" t="s">
        <v>1288</v>
      </c>
      <c r="BM110" s="57" t="s">
        <v>1288</v>
      </c>
      <c r="BN110" s="57" t="s">
        <v>1288</v>
      </c>
      <c r="BO110" s="57" t="s">
        <v>1288</v>
      </c>
      <c r="BP110" s="57" t="s">
        <v>1288</v>
      </c>
      <c r="BQ110" s="57" t="s">
        <v>1288</v>
      </c>
      <c r="BR110" s="57" t="s">
        <v>1288</v>
      </c>
      <c r="BS110" s="57" t="s">
        <v>1288</v>
      </c>
      <c r="BT110" s="57" t="s">
        <v>1288</v>
      </c>
      <c r="BU110" s="57" t="s">
        <v>1288</v>
      </c>
      <c r="BV110" s="70">
        <f t="shared" si="590"/>
        <v>26</v>
      </c>
      <c r="BW110" s="71">
        <f t="shared" si="591"/>
        <v>62</v>
      </c>
      <c r="BX110" s="72">
        <f t="shared" si="592"/>
        <v>66</v>
      </c>
      <c r="BY110" s="71">
        <f t="shared" si="593"/>
        <v>98</v>
      </c>
      <c r="BZ110" s="72">
        <f t="shared" si="594"/>
        <v>102</v>
      </c>
      <c r="CA110" s="71">
        <f t="shared" si="595"/>
        <v>138</v>
      </c>
      <c r="CB110" s="72">
        <f t="shared" si="596"/>
        <v>146</v>
      </c>
      <c r="CC110" s="71">
        <f t="shared" si="597"/>
        <v>191</v>
      </c>
      <c r="CD110" s="72">
        <f t="shared" si="598"/>
        <v>196</v>
      </c>
      <c r="CE110" s="71">
        <f t="shared" si="599"/>
        <v>262</v>
      </c>
      <c r="CF110" s="72">
        <f t="shared" si="600"/>
        <v>304</v>
      </c>
      <c r="CG110" s="71">
        <f t="shared" si="601"/>
        <v>329</v>
      </c>
      <c r="CH110" s="70">
        <f t="shared" si="602"/>
        <v>61</v>
      </c>
      <c r="CI110" s="71">
        <f t="shared" si="603"/>
        <v>65</v>
      </c>
      <c r="CJ110" s="72">
        <f t="shared" si="604"/>
        <v>96</v>
      </c>
      <c r="CK110" s="72">
        <f t="shared" si="605"/>
        <v>101</v>
      </c>
      <c r="CL110" s="72">
        <f t="shared" si="606"/>
        <v>137</v>
      </c>
      <c r="CM110" s="72">
        <f t="shared" si="607"/>
        <v>145</v>
      </c>
      <c r="CN110" s="72">
        <f t="shared" si="608"/>
        <v>172</v>
      </c>
      <c r="CO110" s="72">
        <f t="shared" si="609"/>
        <v>193</v>
      </c>
      <c r="CP110" s="72">
        <f t="shared" si="610"/>
        <v>237</v>
      </c>
      <c r="CQ110" s="72">
        <f t="shared" si="611"/>
        <v>299</v>
      </c>
      <c r="CR110" s="72">
        <f t="shared" si="612"/>
        <v>328</v>
      </c>
      <c r="CS110" s="72">
        <f t="shared" si="613"/>
        <v>341</v>
      </c>
      <c r="CT110" s="23">
        <f t="shared" si="614"/>
        <v>1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29" x14ac:dyDescent="0.2">
      <c r="A111" s="3" t="str">
        <f t="shared" si="391"/>
        <v>adrb2_human_2RH1</v>
      </c>
      <c r="B111" s="3" t="s">
        <v>126</v>
      </c>
      <c r="C111" s="3" t="s">
        <v>75</v>
      </c>
      <c r="D111" s="3" t="str">
        <f>IFERROR(MID(VLOOKUP($B111,Seqs!$A:$B,2,0),E111,1),"")</f>
        <v>D</v>
      </c>
      <c r="E111" s="3">
        <v>29</v>
      </c>
      <c r="F111" s="3" t="str">
        <f>IFERROR(MID(VLOOKUP($B111,Seqs!$A:$B,2,0),G111,1),"")</f>
        <v>F</v>
      </c>
      <c r="G111" s="3">
        <v>61</v>
      </c>
      <c r="H111" s="3" t="str">
        <f>IFERROR(MID(VLOOKUP($B111,Seqs!$A:$B,2,0),I111,1),"")</f>
        <v>E</v>
      </c>
      <c r="I111" s="23">
        <v>62</v>
      </c>
      <c r="J111" s="3" t="str">
        <f>IFERROR(MID(VLOOKUP($B111,Seqs!$A:$B,2,0),K111,1),"")</f>
        <v>Q</v>
      </c>
      <c r="K111" s="23">
        <v>65</v>
      </c>
      <c r="L111" s="3" t="str">
        <f>IFERROR(MID(VLOOKUP($B111,Seqs!$A:$B,2,0),M111,1),"")</f>
        <v>T</v>
      </c>
      <c r="M111" s="3">
        <v>66</v>
      </c>
      <c r="N111" s="3" t="str">
        <f>IFERROR(MID(VLOOKUP($B111,Seqs!$A:$B,2,0),O111,1),"")</f>
        <v>M</v>
      </c>
      <c r="O111" s="3">
        <v>96</v>
      </c>
      <c r="P111" s="3" t="str">
        <f>IFERROR(MID(VLOOKUP($B111,Seqs!$A:$B,2,0),Q111,1),"")</f>
        <v>M</v>
      </c>
      <c r="Q111" s="3">
        <v>98</v>
      </c>
      <c r="R111" s="3" t="str">
        <f>IFERROR(MID(VLOOKUP($B111,Seqs!$A:$B,2,0),S111,1),"")</f>
        <v>F</v>
      </c>
      <c r="S111" s="3">
        <v>101</v>
      </c>
      <c r="T111" s="3" t="str">
        <f>IFERROR(MID(VLOOKUP($B111,Seqs!$A:$B,2,0),U111,1),"")</f>
        <v>G</v>
      </c>
      <c r="U111" s="3">
        <v>102</v>
      </c>
      <c r="V111" s="3" t="str">
        <f>IFERROR(MID(VLOOKUP($B111,Seqs!$A:$B,2,0),W111,1),"")</f>
        <v>S</v>
      </c>
      <c r="W111" s="3">
        <v>137</v>
      </c>
      <c r="X111" s="3" t="str">
        <f>IFERROR(MID(VLOOKUP($B111,Seqs!$A:$B,2,0),Y111,1),"")</f>
        <v/>
      </c>
      <c r="Y111" s="3" t="s">
        <v>23</v>
      </c>
      <c r="Z111" s="3" t="str">
        <f>IFERROR(MID(VLOOKUP($B111,Seqs!$A:$B,2,0),AA111,1),"")</f>
        <v/>
      </c>
      <c r="AA111" s="3" t="s">
        <v>23</v>
      </c>
      <c r="AB111" s="3" t="str">
        <f>IFERROR(MID(VLOOKUP($B111,Seqs!$A:$B,2,0),AC111,1),"")</f>
        <v>T</v>
      </c>
      <c r="AC111" s="9">
        <v>146</v>
      </c>
      <c r="AD111" s="3" t="str">
        <f>IFERROR(MID(VLOOKUP($B111,Seqs!$A:$B,2,0),AE111,1),"")</f>
        <v>H</v>
      </c>
      <c r="AE111" s="3">
        <v>172</v>
      </c>
      <c r="AF111" s="3" t="str">
        <f>IFERROR(MID(VLOOKUP($B111,Seqs!$A:$B,2,0),AG111,1),"")</f>
        <v>C</v>
      </c>
      <c r="AG111" s="3">
        <v>191</v>
      </c>
      <c r="AH111" s="3" t="str">
        <f>IFERROR(MID(VLOOKUP($B111,Seqs!$A:$B,2,0),AI111,1),"")</f>
        <v>F</v>
      </c>
      <c r="AI111" s="3">
        <v>193</v>
      </c>
      <c r="AJ111" s="3" t="str">
        <f>IFERROR(MID(VLOOKUP($B111,Seqs!$A:$B,2,0),AK111,1),"")</f>
        <v>N</v>
      </c>
      <c r="AK111" s="3">
        <v>196</v>
      </c>
      <c r="AL111" s="3" t="str">
        <f>IFERROR(MID(VLOOKUP($B111,Seqs!$A:$B,2,0),AM111,1),"")</f>
        <v>Q</v>
      </c>
      <c r="AM111" s="3">
        <v>229</v>
      </c>
      <c r="AN111" s="3" t="str">
        <f>IFERROR(MID(VLOOKUP($B111,Seqs!$A:$B,2,0),AO111,1),"")</f>
        <v>K</v>
      </c>
      <c r="AO111" s="3">
        <v>267</v>
      </c>
      <c r="AP111" s="3" t="str">
        <f>IFERROR(MID(VLOOKUP($B111,Seqs!$A:$B,2,0),AQ111,1),"")</f>
        <v>Q</v>
      </c>
      <c r="AQ111" s="3">
        <v>299</v>
      </c>
      <c r="AR111" s="3" t="str">
        <f>IFERROR(MID(VLOOKUP($B111,Seqs!$A:$B,2,0),AS111,1),"")</f>
        <v>R</v>
      </c>
      <c r="AS111" s="3">
        <v>304</v>
      </c>
      <c r="AT111" s="3" t="str">
        <f>IFERROR(MID(VLOOKUP($B111,Seqs!$A:$B,2,0),AU111,1),"")</f>
        <v>R</v>
      </c>
      <c r="AU111" s="3">
        <v>328</v>
      </c>
      <c r="AV111" s="3" t="str">
        <f>IFERROR(MID(VLOOKUP($B111,Seqs!$A:$B,2,0),AW111,1),"")</f>
        <v>S</v>
      </c>
      <c r="AW111" s="3">
        <v>329</v>
      </c>
      <c r="AX111" s="3" t="str">
        <f>IFERROR(MID(VLOOKUP($B111,Seqs!$A:$B,2,0),AY111,1),"")</f>
        <v>C</v>
      </c>
      <c r="AY111" s="3">
        <v>341</v>
      </c>
      <c r="AZ111" s="77" t="str">
        <f>VLOOKUP(B111,Classification!A:D,2,0)</f>
        <v>A</v>
      </c>
      <c r="BA111" s="94" t="str">
        <f>VLOOKUP(B111,Classification!A:D,4,0)</f>
        <v>Adrenoceptors</v>
      </c>
      <c r="BB111" s="27" t="b">
        <f t="shared" si="392"/>
        <v>1</v>
      </c>
      <c r="BC111" s="23">
        <f t="shared" si="589"/>
        <v>244</v>
      </c>
      <c r="BD111" s="4" t="s">
        <v>23</v>
      </c>
      <c r="BE111" s="3" t="s">
        <v>1375</v>
      </c>
      <c r="BF111" s="119">
        <v>2.4</v>
      </c>
      <c r="BG111" s="49" t="s">
        <v>1378</v>
      </c>
      <c r="BH111" s="49" t="s">
        <v>1378</v>
      </c>
      <c r="BI111" s="1"/>
      <c r="BJ111" s="70" t="s">
        <v>1288</v>
      </c>
      <c r="BK111" s="57" t="s">
        <v>1288</v>
      </c>
      <c r="BL111" s="57" t="s">
        <v>1288</v>
      </c>
      <c r="BM111" s="57" t="s">
        <v>1288</v>
      </c>
      <c r="BN111" s="57" t="s">
        <v>1288</v>
      </c>
      <c r="BO111" s="57" t="s">
        <v>1288</v>
      </c>
      <c r="BP111" s="57" t="s">
        <v>1288</v>
      </c>
      <c r="BQ111" s="57" t="s">
        <v>1288</v>
      </c>
      <c r="BR111" s="57" t="s">
        <v>1288</v>
      </c>
      <c r="BS111" s="57" t="s">
        <v>1288</v>
      </c>
      <c r="BT111" s="57" t="s">
        <v>1288</v>
      </c>
      <c r="BU111" s="57" t="s">
        <v>1288</v>
      </c>
      <c r="BV111" s="70">
        <f t="shared" si="590"/>
        <v>29</v>
      </c>
      <c r="BW111" s="71">
        <f t="shared" si="591"/>
        <v>62</v>
      </c>
      <c r="BX111" s="72">
        <f t="shared" si="592"/>
        <v>66</v>
      </c>
      <c r="BY111" s="71">
        <f t="shared" si="593"/>
        <v>98</v>
      </c>
      <c r="BZ111" s="72">
        <f t="shared" si="594"/>
        <v>102</v>
      </c>
      <c r="CA111" s="71" t="str">
        <f t="shared" si="595"/>
        <v>-</v>
      </c>
      <c r="CB111" s="72">
        <f t="shared" si="596"/>
        <v>146</v>
      </c>
      <c r="CC111" s="71">
        <f t="shared" si="597"/>
        <v>191</v>
      </c>
      <c r="CD111" s="72">
        <f t="shared" si="598"/>
        <v>196</v>
      </c>
      <c r="CE111" s="71">
        <f t="shared" si="599"/>
        <v>267</v>
      </c>
      <c r="CF111" s="72">
        <f t="shared" si="600"/>
        <v>304</v>
      </c>
      <c r="CG111" s="71">
        <f t="shared" si="601"/>
        <v>329</v>
      </c>
      <c r="CH111" s="70">
        <f t="shared" si="602"/>
        <v>61</v>
      </c>
      <c r="CI111" s="71">
        <f t="shared" si="603"/>
        <v>65</v>
      </c>
      <c r="CJ111" s="72">
        <f t="shared" si="604"/>
        <v>96</v>
      </c>
      <c r="CK111" s="72">
        <f t="shared" si="605"/>
        <v>101</v>
      </c>
      <c r="CL111" s="72">
        <f t="shared" si="606"/>
        <v>137</v>
      </c>
      <c r="CM111" s="72" t="str">
        <f t="shared" si="607"/>
        <v>-</v>
      </c>
      <c r="CN111" s="72">
        <f t="shared" si="608"/>
        <v>172</v>
      </c>
      <c r="CO111" s="72">
        <f t="shared" si="609"/>
        <v>193</v>
      </c>
      <c r="CP111" s="72">
        <f t="shared" si="610"/>
        <v>229</v>
      </c>
      <c r="CQ111" s="72">
        <f t="shared" si="611"/>
        <v>299</v>
      </c>
      <c r="CR111" s="72">
        <f t="shared" si="612"/>
        <v>328</v>
      </c>
      <c r="CS111" s="72">
        <f t="shared" si="613"/>
        <v>341</v>
      </c>
      <c r="CT111" s="23">
        <f t="shared" si="614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29" x14ac:dyDescent="0.2">
      <c r="A112" s="3" t="str">
        <f t="shared" si="391"/>
        <v>adrb2_human_3D4S</v>
      </c>
      <c r="B112" s="3" t="s">
        <v>126</v>
      </c>
      <c r="C112" s="3" t="s">
        <v>76</v>
      </c>
      <c r="D112" s="3" t="str">
        <f>IFERROR(MID(VLOOKUP($B112,Seqs!$A:$B,2,0),E112,1),"")</f>
        <v>W</v>
      </c>
      <c r="E112" s="3">
        <v>32</v>
      </c>
      <c r="F112" s="3" t="str">
        <f>IFERROR(MID(VLOOKUP($B112,Seqs!$A:$B,2,0),G112,1),"")</f>
        <v>F</v>
      </c>
      <c r="G112" s="3">
        <v>61</v>
      </c>
      <c r="H112" s="3" t="str">
        <f>IFERROR(MID(VLOOKUP($B112,Seqs!$A:$B,2,0),I112,1),"")</f>
        <v>E</v>
      </c>
      <c r="I112" s="23">
        <v>62</v>
      </c>
      <c r="J112" s="3" t="str">
        <f>IFERROR(MID(VLOOKUP($B112,Seqs!$A:$B,2,0),K112,1),"")</f>
        <v>Q</v>
      </c>
      <c r="K112" s="23">
        <v>65</v>
      </c>
      <c r="L112" s="3" t="str">
        <f>IFERROR(MID(VLOOKUP($B112,Seqs!$A:$B,2,0),M112,1),"")</f>
        <v>T</v>
      </c>
      <c r="M112" s="3">
        <v>66</v>
      </c>
      <c r="N112" s="3" t="str">
        <f>IFERROR(MID(VLOOKUP($B112,Seqs!$A:$B,2,0),O112,1),"")</f>
        <v>M</v>
      </c>
      <c r="O112" s="3">
        <v>96</v>
      </c>
      <c r="P112" s="3" t="str">
        <f>IFERROR(MID(VLOOKUP($B112,Seqs!$A:$B,2,0),Q112,1),"")</f>
        <v>M</v>
      </c>
      <c r="Q112" s="3">
        <v>98</v>
      </c>
      <c r="R112" s="3" t="str">
        <f>IFERROR(MID(VLOOKUP($B112,Seqs!$A:$B,2,0),S112,1),"")</f>
        <v>F</v>
      </c>
      <c r="S112" s="3">
        <v>101</v>
      </c>
      <c r="T112" s="3" t="str">
        <f>IFERROR(MID(VLOOKUP($B112,Seqs!$A:$B,2,0),U112,1),"")</f>
        <v>G</v>
      </c>
      <c r="U112" s="3">
        <v>102</v>
      </c>
      <c r="V112" s="3" t="str">
        <f>IFERROR(MID(VLOOKUP($B112,Seqs!$A:$B,2,0),W112,1),"")</f>
        <v>S</v>
      </c>
      <c r="W112" s="3">
        <v>137</v>
      </c>
      <c r="X112" s="3" t="str">
        <f>IFERROR(MID(VLOOKUP($B112,Seqs!$A:$B,2,0),Y112,1),"")</f>
        <v/>
      </c>
      <c r="Y112" s="3" t="s">
        <v>23</v>
      </c>
      <c r="Z112" s="3" t="str">
        <f>IFERROR(MID(VLOOKUP($B112,Seqs!$A:$B,2,0),AA112,1),"")</f>
        <v/>
      </c>
      <c r="AA112" s="3" t="s">
        <v>23</v>
      </c>
      <c r="AB112" s="3" t="str">
        <f>IFERROR(MID(VLOOKUP($B112,Seqs!$A:$B,2,0),AC112,1),"")</f>
        <v>T</v>
      </c>
      <c r="AC112" s="9">
        <v>146</v>
      </c>
      <c r="AD112" s="3" t="str">
        <f>IFERROR(MID(VLOOKUP($B112,Seqs!$A:$B,2,0),AE112,1),"")</f>
        <v>H</v>
      </c>
      <c r="AE112" s="3">
        <v>172</v>
      </c>
      <c r="AF112" s="3" t="str">
        <f>IFERROR(MID(VLOOKUP($B112,Seqs!$A:$B,2,0),AG112,1),"")</f>
        <v>C</v>
      </c>
      <c r="AG112" s="3">
        <v>191</v>
      </c>
      <c r="AH112" s="3" t="str">
        <f>IFERROR(MID(VLOOKUP($B112,Seqs!$A:$B,2,0),AI112,1),"")</f>
        <v>F</v>
      </c>
      <c r="AI112" s="3">
        <v>193</v>
      </c>
      <c r="AJ112" s="3" t="str">
        <f>IFERROR(MID(VLOOKUP($B112,Seqs!$A:$B,2,0),AK112,1),"")</f>
        <v>N</v>
      </c>
      <c r="AK112" s="3">
        <v>196</v>
      </c>
      <c r="AL112" s="3" t="str">
        <f>IFERROR(MID(VLOOKUP($B112,Seqs!$A:$B,2,0),AM112,1),"")</f>
        <v>Q</v>
      </c>
      <c r="AM112" s="3">
        <v>229</v>
      </c>
      <c r="AN112" s="3" t="str">
        <f>IFERROR(MID(VLOOKUP($B112,Seqs!$A:$B,2,0),AO112,1),"")</f>
        <v>K</v>
      </c>
      <c r="AO112" s="3">
        <v>267</v>
      </c>
      <c r="AP112" s="3" t="str">
        <f>IFERROR(MID(VLOOKUP($B112,Seqs!$A:$B,2,0),AQ112,1),"")</f>
        <v>Q</v>
      </c>
      <c r="AQ112" s="3">
        <v>299</v>
      </c>
      <c r="AR112" s="3" t="str">
        <f>IFERROR(MID(VLOOKUP($B112,Seqs!$A:$B,2,0),AS112,1),"")</f>
        <v>R</v>
      </c>
      <c r="AS112" s="3">
        <v>304</v>
      </c>
      <c r="AT112" s="3" t="str">
        <f>IFERROR(MID(VLOOKUP($B112,Seqs!$A:$B,2,0),AU112,1),"")</f>
        <v>R</v>
      </c>
      <c r="AU112" s="3">
        <v>328</v>
      </c>
      <c r="AV112" s="3" t="str">
        <f>IFERROR(MID(VLOOKUP($B112,Seqs!$A:$B,2,0),AW112,1),"")</f>
        <v>S</v>
      </c>
      <c r="AW112" s="3">
        <v>329</v>
      </c>
      <c r="AX112" s="3" t="str">
        <f>IFERROR(MID(VLOOKUP($B112,Seqs!$A:$B,2,0),AY112,1),"")</f>
        <v>C</v>
      </c>
      <c r="AY112" s="3">
        <v>341</v>
      </c>
      <c r="AZ112" s="77" t="str">
        <f>VLOOKUP(B112,Classification!A:D,2,0)</f>
        <v>A</v>
      </c>
      <c r="BA112" s="94" t="str">
        <f>VLOOKUP(B112,Classification!A:D,4,0)</f>
        <v>Adrenoceptors</v>
      </c>
      <c r="BB112" s="27" t="b">
        <f t="shared" si="392"/>
        <v>1</v>
      </c>
      <c r="BC112" s="23">
        <f t="shared" si="589"/>
        <v>241</v>
      </c>
      <c r="BD112" s="4" t="s">
        <v>23</v>
      </c>
      <c r="BE112" s="3" t="s">
        <v>1375</v>
      </c>
      <c r="BF112" s="119">
        <v>2.8</v>
      </c>
      <c r="BG112" s="49" t="s">
        <v>1378</v>
      </c>
      <c r="BH112" s="49" t="s">
        <v>1378</v>
      </c>
      <c r="BI112" s="1"/>
      <c r="BJ112" s="70" t="s">
        <v>1288</v>
      </c>
      <c r="BK112" s="57" t="s">
        <v>1288</v>
      </c>
      <c r="BL112" s="57" t="s">
        <v>1288</v>
      </c>
      <c r="BM112" s="57" t="s">
        <v>1288</v>
      </c>
      <c r="BN112" s="57" t="s">
        <v>1288</v>
      </c>
      <c r="BO112" s="57" t="s">
        <v>1288</v>
      </c>
      <c r="BP112" s="57" t="s">
        <v>1288</v>
      </c>
      <c r="BQ112" s="57" t="s">
        <v>1288</v>
      </c>
      <c r="BR112" s="57" t="s">
        <v>1288</v>
      </c>
      <c r="BS112" s="57" t="s">
        <v>1288</v>
      </c>
      <c r="BT112" s="57" t="s">
        <v>1288</v>
      </c>
      <c r="BU112" s="57" t="s">
        <v>1288</v>
      </c>
      <c r="BV112" s="70">
        <f t="shared" si="590"/>
        <v>32</v>
      </c>
      <c r="BW112" s="71">
        <f t="shared" si="591"/>
        <v>62</v>
      </c>
      <c r="BX112" s="72">
        <f t="shared" si="592"/>
        <v>66</v>
      </c>
      <c r="BY112" s="71">
        <f t="shared" si="593"/>
        <v>98</v>
      </c>
      <c r="BZ112" s="72">
        <f t="shared" si="594"/>
        <v>102</v>
      </c>
      <c r="CA112" s="71" t="str">
        <f t="shared" si="595"/>
        <v>-</v>
      </c>
      <c r="CB112" s="72">
        <f t="shared" si="596"/>
        <v>146</v>
      </c>
      <c r="CC112" s="71">
        <f t="shared" si="597"/>
        <v>191</v>
      </c>
      <c r="CD112" s="72">
        <f t="shared" si="598"/>
        <v>196</v>
      </c>
      <c r="CE112" s="71">
        <f t="shared" si="599"/>
        <v>267</v>
      </c>
      <c r="CF112" s="72">
        <f t="shared" si="600"/>
        <v>304</v>
      </c>
      <c r="CG112" s="71">
        <f t="shared" si="601"/>
        <v>329</v>
      </c>
      <c r="CH112" s="70">
        <f t="shared" si="602"/>
        <v>61</v>
      </c>
      <c r="CI112" s="71">
        <f t="shared" si="603"/>
        <v>65</v>
      </c>
      <c r="CJ112" s="72">
        <f t="shared" si="604"/>
        <v>96</v>
      </c>
      <c r="CK112" s="72">
        <f t="shared" si="605"/>
        <v>101</v>
      </c>
      <c r="CL112" s="72">
        <f t="shared" si="606"/>
        <v>137</v>
      </c>
      <c r="CM112" s="72" t="str">
        <f t="shared" si="607"/>
        <v>-</v>
      </c>
      <c r="CN112" s="72">
        <f t="shared" si="608"/>
        <v>172</v>
      </c>
      <c r="CO112" s="72">
        <f t="shared" si="609"/>
        <v>193</v>
      </c>
      <c r="CP112" s="72">
        <f t="shared" si="610"/>
        <v>229</v>
      </c>
      <c r="CQ112" s="72">
        <f t="shared" si="611"/>
        <v>299</v>
      </c>
      <c r="CR112" s="72">
        <f t="shared" si="612"/>
        <v>328</v>
      </c>
      <c r="CS112" s="72">
        <f t="shared" si="613"/>
        <v>341</v>
      </c>
      <c r="CT112" s="23">
        <f t="shared" si="614"/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x14ac:dyDescent="0.2">
      <c r="A113" s="3" t="str">
        <f t="shared" si="391"/>
        <v>adrb2_human_3NY8</v>
      </c>
      <c r="B113" s="3" t="s">
        <v>126</v>
      </c>
      <c r="C113" s="3" t="s">
        <v>1334</v>
      </c>
      <c r="D113" s="3" t="str">
        <f>IFERROR(MID(VLOOKUP($B113,Seqs!$A:$B,2,0),E113,1),"")</f>
        <v>W</v>
      </c>
      <c r="E113" s="3">
        <v>32</v>
      </c>
      <c r="F113" s="3" t="str">
        <f>IFERROR(MID(VLOOKUP($B113,Seqs!$A:$B,2,0),G113,1),"")</f>
        <v>F</v>
      </c>
      <c r="G113" s="3">
        <v>61</v>
      </c>
      <c r="H113" s="3" t="str">
        <f>IFERROR(MID(VLOOKUP($B113,Seqs!$A:$B,2,0),I113,1),"")</f>
        <v>E</v>
      </c>
      <c r="I113" s="23">
        <v>62</v>
      </c>
      <c r="J113" s="3" t="str">
        <f>IFERROR(MID(VLOOKUP($B113,Seqs!$A:$B,2,0),K113,1),"")</f>
        <v>Q</v>
      </c>
      <c r="K113" s="23">
        <v>65</v>
      </c>
      <c r="L113" s="3" t="str">
        <f>IFERROR(MID(VLOOKUP($B113,Seqs!$A:$B,2,0),M113,1),"")</f>
        <v>T</v>
      </c>
      <c r="M113" s="3">
        <v>66</v>
      </c>
      <c r="N113" s="3" t="str">
        <f>IFERROR(MID(VLOOKUP($B113,Seqs!$A:$B,2,0),O113,1),"")</f>
        <v>M</v>
      </c>
      <c r="O113" s="3">
        <v>96</v>
      </c>
      <c r="P113" s="3" t="str">
        <f>IFERROR(MID(VLOOKUP($B113,Seqs!$A:$B,2,0),Q113,1),"")</f>
        <v>M</v>
      </c>
      <c r="Q113" s="3">
        <v>98</v>
      </c>
      <c r="R113" s="3" t="str">
        <f>IFERROR(MID(VLOOKUP($B113,Seqs!$A:$B,2,0),S113,1),"")</f>
        <v>F</v>
      </c>
      <c r="S113" s="3">
        <v>101</v>
      </c>
      <c r="T113" s="3" t="str">
        <f>IFERROR(MID(VLOOKUP($B113,Seqs!$A:$B,2,0),U113,1),"")</f>
        <v>G</v>
      </c>
      <c r="U113" s="3">
        <v>102</v>
      </c>
      <c r="V113" s="3" t="str">
        <f>IFERROR(MID(VLOOKUP($B113,Seqs!$A:$B,2,0),W113,1),"")</f>
        <v>S</v>
      </c>
      <c r="W113" s="3">
        <v>137</v>
      </c>
      <c r="X113" s="3" t="str">
        <f>IFERROR(MID(VLOOKUP($B113,Seqs!$A:$B,2,0),Y113,1),"")</f>
        <v/>
      </c>
      <c r="Y113" s="3" t="s">
        <v>23</v>
      </c>
      <c r="Z113" s="3" t="str">
        <f>IFERROR(MID(VLOOKUP($B113,Seqs!$A:$B,2,0),AA113,1),"")</f>
        <v/>
      </c>
      <c r="AA113" s="3" t="s">
        <v>23</v>
      </c>
      <c r="AB113" s="3" t="str">
        <f>IFERROR(MID(VLOOKUP($B113,Seqs!$A:$B,2,0),AC113,1),"")</f>
        <v>T</v>
      </c>
      <c r="AC113" s="9">
        <v>146</v>
      </c>
      <c r="AD113" s="3" t="str">
        <f>IFERROR(MID(VLOOKUP($B113,Seqs!$A:$B,2,0),AE113,1),"")</f>
        <v>H</v>
      </c>
      <c r="AE113" s="3">
        <v>172</v>
      </c>
      <c r="AF113" s="3" t="str">
        <f>IFERROR(MID(VLOOKUP($B113,Seqs!$A:$B,2,0),AG113,1),"")</f>
        <v>C</v>
      </c>
      <c r="AG113" s="3">
        <v>191</v>
      </c>
      <c r="AH113" s="3" t="str">
        <f>IFERROR(MID(VLOOKUP($B113,Seqs!$A:$B,2,0),AI113,1),"")</f>
        <v>F</v>
      </c>
      <c r="AI113" s="3">
        <v>193</v>
      </c>
      <c r="AJ113" s="3" t="str">
        <f>IFERROR(MID(VLOOKUP($B113,Seqs!$A:$B,2,0),AK113,1),"")</f>
        <v>N</v>
      </c>
      <c r="AK113" s="3">
        <v>196</v>
      </c>
      <c r="AL113" s="3" t="str">
        <f>IFERROR(MID(VLOOKUP($B113,Seqs!$A:$B,2,0),AM113,1),"")</f>
        <v>Q</v>
      </c>
      <c r="AM113" s="3">
        <v>229</v>
      </c>
      <c r="AN113" s="3" t="str">
        <f>IFERROR(MID(VLOOKUP($B113,Seqs!$A:$B,2,0),AO113,1),"")</f>
        <v>K</v>
      </c>
      <c r="AO113" s="3">
        <v>267</v>
      </c>
      <c r="AP113" s="3" t="str">
        <f>IFERROR(MID(VLOOKUP($B113,Seqs!$A:$B,2,0),AQ113,1),"")</f>
        <v>Q</v>
      </c>
      <c r="AQ113" s="3">
        <v>299</v>
      </c>
      <c r="AR113" s="3" t="str">
        <f>IFERROR(MID(VLOOKUP($B113,Seqs!$A:$B,2,0),AS113,1),"")</f>
        <v>R</v>
      </c>
      <c r="AS113" s="3">
        <v>304</v>
      </c>
      <c r="AT113" s="3" t="str">
        <f>IFERROR(MID(VLOOKUP($B113,Seqs!$A:$B,2,0),AU113,1),"")</f>
        <v>R</v>
      </c>
      <c r="AU113" s="3">
        <v>328</v>
      </c>
      <c r="AV113" s="3" t="str">
        <f>IFERROR(MID(VLOOKUP($B113,Seqs!$A:$B,2,0),AW113,1),"")</f>
        <v>S</v>
      </c>
      <c r="AW113" s="3">
        <v>329</v>
      </c>
      <c r="AX113" s="3" t="str">
        <f>IFERROR(MID(VLOOKUP($B113,Seqs!$A:$B,2,0),AY113,1),"")</f>
        <v>C</v>
      </c>
      <c r="AY113" s="3">
        <v>341</v>
      </c>
      <c r="AZ113" s="77" t="str">
        <f>VLOOKUP(B113,Classification!A:D,2,0)</f>
        <v>A</v>
      </c>
      <c r="BA113" s="94" t="str">
        <f>VLOOKUP(B113,Classification!A:D,4,0)</f>
        <v>Adrenoceptors</v>
      </c>
      <c r="BB113" s="27" t="b">
        <f t="shared" si="392"/>
        <v>1</v>
      </c>
      <c r="BC113" s="23">
        <f t="shared" si="589"/>
        <v>241</v>
      </c>
      <c r="BD113" s="4" t="s">
        <v>23</v>
      </c>
      <c r="BE113" s="3" t="s">
        <v>1375</v>
      </c>
      <c r="BF113" s="119">
        <v>2.84</v>
      </c>
      <c r="BG113" s="49" t="s">
        <v>1378</v>
      </c>
      <c r="BH113" s="49" t="s">
        <v>1378</v>
      </c>
      <c r="BI113" s="1"/>
      <c r="BJ113" s="70" t="s">
        <v>1288</v>
      </c>
      <c r="BK113" s="57" t="s">
        <v>1288</v>
      </c>
      <c r="BL113" s="57" t="s">
        <v>1288</v>
      </c>
      <c r="BM113" s="57" t="s">
        <v>1288</v>
      </c>
      <c r="BN113" s="57" t="s">
        <v>1288</v>
      </c>
      <c r="BO113" s="57" t="s">
        <v>1288</v>
      </c>
      <c r="BP113" s="57" t="s">
        <v>1288</v>
      </c>
      <c r="BQ113" s="57" t="s">
        <v>1288</v>
      </c>
      <c r="BR113" s="57" t="s">
        <v>1288</v>
      </c>
      <c r="BS113" s="57" t="s">
        <v>1288</v>
      </c>
      <c r="BT113" s="57" t="s">
        <v>1288</v>
      </c>
      <c r="BU113" s="57" t="s">
        <v>1288</v>
      </c>
      <c r="BV113" s="70">
        <f t="shared" si="590"/>
        <v>32</v>
      </c>
      <c r="BW113" s="71">
        <f t="shared" si="591"/>
        <v>62</v>
      </c>
      <c r="BX113" s="72">
        <f t="shared" si="592"/>
        <v>66</v>
      </c>
      <c r="BY113" s="71">
        <f t="shared" si="593"/>
        <v>98</v>
      </c>
      <c r="BZ113" s="72">
        <f t="shared" si="594"/>
        <v>102</v>
      </c>
      <c r="CA113" s="71" t="str">
        <f t="shared" si="595"/>
        <v>-</v>
      </c>
      <c r="CB113" s="72">
        <f t="shared" si="596"/>
        <v>146</v>
      </c>
      <c r="CC113" s="71">
        <f t="shared" si="597"/>
        <v>191</v>
      </c>
      <c r="CD113" s="72">
        <f t="shared" si="598"/>
        <v>196</v>
      </c>
      <c r="CE113" s="71">
        <f t="shared" si="599"/>
        <v>267</v>
      </c>
      <c r="CF113" s="72">
        <f t="shared" si="600"/>
        <v>304</v>
      </c>
      <c r="CG113" s="71">
        <f t="shared" si="601"/>
        <v>329</v>
      </c>
      <c r="CH113" s="70">
        <f t="shared" si="602"/>
        <v>61</v>
      </c>
      <c r="CI113" s="71">
        <f t="shared" si="603"/>
        <v>65</v>
      </c>
      <c r="CJ113" s="72">
        <f t="shared" si="604"/>
        <v>96</v>
      </c>
      <c r="CK113" s="72">
        <f t="shared" si="605"/>
        <v>101</v>
      </c>
      <c r="CL113" s="72">
        <f t="shared" si="606"/>
        <v>137</v>
      </c>
      <c r="CM113" s="72" t="str">
        <f t="shared" si="607"/>
        <v>-</v>
      </c>
      <c r="CN113" s="72">
        <f t="shared" si="608"/>
        <v>172</v>
      </c>
      <c r="CO113" s="72">
        <f t="shared" si="609"/>
        <v>193</v>
      </c>
      <c r="CP113" s="72">
        <f t="shared" si="610"/>
        <v>229</v>
      </c>
      <c r="CQ113" s="72">
        <f t="shared" si="611"/>
        <v>299</v>
      </c>
      <c r="CR113" s="72">
        <f t="shared" si="612"/>
        <v>328</v>
      </c>
      <c r="CS113" s="72">
        <f t="shared" si="613"/>
        <v>341</v>
      </c>
      <c r="CT113" s="23">
        <f t="shared" si="614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x14ac:dyDescent="0.2">
      <c r="A114" s="3" t="str">
        <f t="shared" si="391"/>
        <v>adrb2_human_3NY9</v>
      </c>
      <c r="B114" s="3" t="s">
        <v>126</v>
      </c>
      <c r="C114" s="3" t="s">
        <v>1030</v>
      </c>
      <c r="D114" s="3" t="str">
        <f>IFERROR(MID(VLOOKUP($B114,Seqs!$A:$B,2,0),E114,1),"")</f>
        <v>W</v>
      </c>
      <c r="E114" s="3">
        <v>32</v>
      </c>
      <c r="F114" s="3" t="str">
        <f>IFERROR(MID(VLOOKUP($B114,Seqs!$A:$B,2,0),G114,1),"")</f>
        <v>F</v>
      </c>
      <c r="G114" s="3">
        <v>61</v>
      </c>
      <c r="H114" s="3" t="str">
        <f>IFERROR(MID(VLOOKUP($B114,Seqs!$A:$B,2,0),I114,1),"")</f>
        <v>E</v>
      </c>
      <c r="I114" s="23">
        <v>62</v>
      </c>
      <c r="J114" s="3" t="str">
        <f>IFERROR(MID(VLOOKUP($B114,Seqs!$A:$B,2,0),K114,1),"")</f>
        <v>Q</v>
      </c>
      <c r="K114" s="23">
        <v>65</v>
      </c>
      <c r="L114" s="3" t="str">
        <f>IFERROR(MID(VLOOKUP($B114,Seqs!$A:$B,2,0),M114,1),"")</f>
        <v>T</v>
      </c>
      <c r="M114" s="3">
        <v>66</v>
      </c>
      <c r="N114" s="3" t="str">
        <f>IFERROR(MID(VLOOKUP($B114,Seqs!$A:$B,2,0),O114,1),"")</f>
        <v>M</v>
      </c>
      <c r="O114" s="3">
        <v>96</v>
      </c>
      <c r="P114" s="3" t="str">
        <f>IFERROR(MID(VLOOKUP($B114,Seqs!$A:$B,2,0),Q114,1),"")</f>
        <v>M</v>
      </c>
      <c r="Q114" s="3">
        <v>98</v>
      </c>
      <c r="R114" s="3" t="str">
        <f>IFERROR(MID(VLOOKUP($B114,Seqs!$A:$B,2,0),S114,1),"")</f>
        <v>F</v>
      </c>
      <c r="S114" s="3">
        <v>101</v>
      </c>
      <c r="T114" s="3" t="str">
        <f>IFERROR(MID(VLOOKUP($B114,Seqs!$A:$B,2,0),U114,1),"")</f>
        <v>G</v>
      </c>
      <c r="U114" s="3">
        <v>102</v>
      </c>
      <c r="V114" s="3" t="str">
        <f>IFERROR(MID(VLOOKUP($B114,Seqs!$A:$B,2,0),W114,1),"")</f>
        <v>S</v>
      </c>
      <c r="W114" s="3">
        <v>137</v>
      </c>
      <c r="X114" s="3" t="str">
        <f>IFERROR(MID(VLOOKUP($B114,Seqs!$A:$B,2,0),Y114,1),"")</f>
        <v/>
      </c>
      <c r="Y114" s="3" t="s">
        <v>23</v>
      </c>
      <c r="Z114" s="3" t="str">
        <f>IFERROR(MID(VLOOKUP($B114,Seqs!$A:$B,2,0),AA114,1),"")</f>
        <v/>
      </c>
      <c r="AA114" s="3" t="s">
        <v>23</v>
      </c>
      <c r="AB114" s="3" t="str">
        <f>IFERROR(MID(VLOOKUP($B114,Seqs!$A:$B,2,0),AC114,1),"")</f>
        <v>T</v>
      </c>
      <c r="AC114" s="9">
        <v>146</v>
      </c>
      <c r="AD114" s="3" t="str">
        <f>IFERROR(MID(VLOOKUP($B114,Seqs!$A:$B,2,0),AE114,1),"")</f>
        <v>H</v>
      </c>
      <c r="AE114" s="3">
        <v>172</v>
      </c>
      <c r="AF114" s="3" t="str">
        <f>IFERROR(MID(VLOOKUP($B114,Seqs!$A:$B,2,0),AG114,1),"")</f>
        <v>C</v>
      </c>
      <c r="AG114" s="3">
        <v>191</v>
      </c>
      <c r="AH114" s="3" t="str">
        <f>IFERROR(MID(VLOOKUP($B114,Seqs!$A:$B,2,0),AI114,1),"")</f>
        <v>F</v>
      </c>
      <c r="AI114" s="3">
        <v>193</v>
      </c>
      <c r="AJ114" s="3" t="str">
        <f>IFERROR(MID(VLOOKUP($B114,Seqs!$A:$B,2,0),AK114,1),"")</f>
        <v>N</v>
      </c>
      <c r="AK114" s="3">
        <v>196</v>
      </c>
      <c r="AL114" s="3" t="str">
        <f>IFERROR(MID(VLOOKUP($B114,Seqs!$A:$B,2,0),AM114,1),"")</f>
        <v>Q</v>
      </c>
      <c r="AM114" s="3">
        <v>229</v>
      </c>
      <c r="AN114" s="3" t="str">
        <f>IFERROR(MID(VLOOKUP($B114,Seqs!$A:$B,2,0),AO114,1),"")</f>
        <v>K</v>
      </c>
      <c r="AO114" s="3">
        <v>267</v>
      </c>
      <c r="AP114" s="3" t="str">
        <f>IFERROR(MID(VLOOKUP($B114,Seqs!$A:$B,2,0),AQ114,1),"")</f>
        <v>Q</v>
      </c>
      <c r="AQ114" s="3">
        <v>299</v>
      </c>
      <c r="AR114" s="3" t="str">
        <f>IFERROR(MID(VLOOKUP($B114,Seqs!$A:$B,2,0),AS114,1),"")</f>
        <v>R</v>
      </c>
      <c r="AS114" s="3">
        <v>304</v>
      </c>
      <c r="AT114" s="3" t="str">
        <f>IFERROR(MID(VLOOKUP($B114,Seqs!$A:$B,2,0),AU114,1),"")</f>
        <v>R</v>
      </c>
      <c r="AU114" s="3">
        <v>328</v>
      </c>
      <c r="AV114" s="3" t="str">
        <f>IFERROR(MID(VLOOKUP($B114,Seqs!$A:$B,2,0),AW114,1),"")</f>
        <v>S</v>
      </c>
      <c r="AW114" s="3">
        <v>329</v>
      </c>
      <c r="AX114" s="3" t="str">
        <f>IFERROR(MID(VLOOKUP($B114,Seqs!$A:$B,2,0),AY114,1),"")</f>
        <v>C</v>
      </c>
      <c r="AY114" s="3">
        <v>341</v>
      </c>
      <c r="AZ114" s="77" t="str">
        <f>VLOOKUP(B114,Classification!A:D,2,0)</f>
        <v>A</v>
      </c>
      <c r="BA114" s="94" t="str">
        <f>VLOOKUP(B114,Classification!A:D,4,0)</f>
        <v>Adrenoceptors</v>
      </c>
      <c r="BB114" s="27" t="b">
        <f t="shared" si="392"/>
        <v>1</v>
      </c>
      <c r="BC114" s="23">
        <f t="shared" si="589"/>
        <v>241</v>
      </c>
      <c r="BD114" s="4" t="s">
        <v>23</v>
      </c>
      <c r="BE114" s="3" t="s">
        <v>1375</v>
      </c>
      <c r="BF114" s="119">
        <v>2.84</v>
      </c>
      <c r="BG114" s="49" t="s">
        <v>1378</v>
      </c>
      <c r="BH114" s="49" t="s">
        <v>1378</v>
      </c>
      <c r="BI114" s="1"/>
      <c r="BJ114" s="70" t="s">
        <v>1288</v>
      </c>
      <c r="BK114" s="57" t="s">
        <v>1288</v>
      </c>
      <c r="BL114" s="57" t="s">
        <v>1288</v>
      </c>
      <c r="BM114" s="57" t="s">
        <v>1288</v>
      </c>
      <c r="BN114" s="57" t="s">
        <v>1288</v>
      </c>
      <c r="BO114" s="57" t="s">
        <v>1288</v>
      </c>
      <c r="BP114" s="57" t="s">
        <v>1288</v>
      </c>
      <c r="BQ114" s="57" t="s">
        <v>1288</v>
      </c>
      <c r="BR114" s="57" t="s">
        <v>1288</v>
      </c>
      <c r="BS114" s="57" t="s">
        <v>1288</v>
      </c>
      <c r="BT114" s="57" t="s">
        <v>1288</v>
      </c>
      <c r="BU114" s="57" t="s">
        <v>1288</v>
      </c>
      <c r="BV114" s="70">
        <f t="shared" si="590"/>
        <v>32</v>
      </c>
      <c r="BW114" s="71">
        <f t="shared" si="591"/>
        <v>62</v>
      </c>
      <c r="BX114" s="72">
        <f t="shared" si="592"/>
        <v>66</v>
      </c>
      <c r="BY114" s="71">
        <f t="shared" si="593"/>
        <v>98</v>
      </c>
      <c r="BZ114" s="72">
        <f t="shared" si="594"/>
        <v>102</v>
      </c>
      <c r="CA114" s="71" t="str">
        <f t="shared" si="595"/>
        <v>-</v>
      </c>
      <c r="CB114" s="72">
        <f t="shared" si="596"/>
        <v>146</v>
      </c>
      <c r="CC114" s="71">
        <f t="shared" si="597"/>
        <v>191</v>
      </c>
      <c r="CD114" s="72">
        <f t="shared" si="598"/>
        <v>196</v>
      </c>
      <c r="CE114" s="71">
        <f t="shared" si="599"/>
        <v>267</v>
      </c>
      <c r="CF114" s="72">
        <f t="shared" si="600"/>
        <v>304</v>
      </c>
      <c r="CG114" s="71">
        <f t="shared" si="601"/>
        <v>329</v>
      </c>
      <c r="CH114" s="70">
        <f t="shared" si="602"/>
        <v>61</v>
      </c>
      <c r="CI114" s="71">
        <f t="shared" si="603"/>
        <v>65</v>
      </c>
      <c r="CJ114" s="72">
        <f t="shared" si="604"/>
        <v>96</v>
      </c>
      <c r="CK114" s="72">
        <f t="shared" si="605"/>
        <v>101</v>
      </c>
      <c r="CL114" s="72">
        <f t="shared" si="606"/>
        <v>137</v>
      </c>
      <c r="CM114" s="72" t="str">
        <f t="shared" si="607"/>
        <v>-</v>
      </c>
      <c r="CN114" s="72">
        <f t="shared" si="608"/>
        <v>172</v>
      </c>
      <c r="CO114" s="72">
        <f t="shared" si="609"/>
        <v>193</v>
      </c>
      <c r="CP114" s="72">
        <f t="shared" si="610"/>
        <v>229</v>
      </c>
      <c r="CQ114" s="72">
        <f t="shared" si="611"/>
        <v>299</v>
      </c>
      <c r="CR114" s="72">
        <f t="shared" si="612"/>
        <v>328</v>
      </c>
      <c r="CS114" s="72">
        <f t="shared" si="613"/>
        <v>341</v>
      </c>
      <c r="CT114" s="23">
        <f t="shared" si="614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x14ac:dyDescent="0.2">
      <c r="A115" s="3" t="str">
        <f t="shared" si="391"/>
        <v>adrb2_human_3NYA</v>
      </c>
      <c r="B115" s="3" t="s">
        <v>126</v>
      </c>
      <c r="C115" s="3" t="s">
        <v>1335</v>
      </c>
      <c r="D115" s="3" t="str">
        <f>IFERROR(MID(VLOOKUP($B115,Seqs!$A:$B,2,0),E115,1),"")</f>
        <v>W</v>
      </c>
      <c r="E115" s="3">
        <v>32</v>
      </c>
      <c r="F115" s="3" t="str">
        <f>IFERROR(MID(VLOOKUP($B115,Seqs!$A:$B,2,0),G115,1),"")</f>
        <v>F</v>
      </c>
      <c r="G115" s="3">
        <v>61</v>
      </c>
      <c r="H115" s="3" t="str">
        <f>IFERROR(MID(VLOOKUP($B115,Seqs!$A:$B,2,0),I115,1),"")</f>
        <v>E</v>
      </c>
      <c r="I115" s="23">
        <v>62</v>
      </c>
      <c r="J115" s="3" t="str">
        <f>IFERROR(MID(VLOOKUP($B115,Seqs!$A:$B,2,0),K115,1),"")</f>
        <v>Q</v>
      </c>
      <c r="K115" s="23">
        <v>65</v>
      </c>
      <c r="L115" s="3" t="str">
        <f>IFERROR(MID(VLOOKUP($B115,Seqs!$A:$B,2,0),M115,1),"")</f>
        <v>T</v>
      </c>
      <c r="M115" s="3">
        <v>66</v>
      </c>
      <c r="N115" s="3" t="str">
        <f>IFERROR(MID(VLOOKUP($B115,Seqs!$A:$B,2,0),O115,1),"")</f>
        <v>M</v>
      </c>
      <c r="O115" s="3">
        <v>96</v>
      </c>
      <c r="P115" s="3" t="str">
        <f>IFERROR(MID(VLOOKUP($B115,Seqs!$A:$B,2,0),Q115,1),"")</f>
        <v>M</v>
      </c>
      <c r="Q115" s="3">
        <v>98</v>
      </c>
      <c r="R115" s="3" t="str">
        <f>IFERROR(MID(VLOOKUP($B115,Seqs!$A:$B,2,0),S115,1),"")</f>
        <v>F</v>
      </c>
      <c r="S115" s="3">
        <v>101</v>
      </c>
      <c r="T115" s="3" t="str">
        <f>IFERROR(MID(VLOOKUP($B115,Seqs!$A:$B,2,0),U115,1),"")</f>
        <v>G</v>
      </c>
      <c r="U115" s="3">
        <v>102</v>
      </c>
      <c r="V115" s="3" t="str">
        <f>IFERROR(MID(VLOOKUP($B115,Seqs!$A:$B,2,0),W115,1),"")</f>
        <v>S</v>
      </c>
      <c r="W115" s="3">
        <v>137</v>
      </c>
      <c r="X115" s="3" t="str">
        <f>IFERROR(MID(VLOOKUP($B115,Seqs!$A:$B,2,0),Y115,1),"")</f>
        <v/>
      </c>
      <c r="Y115" s="3" t="s">
        <v>23</v>
      </c>
      <c r="Z115" s="3" t="str">
        <f>IFERROR(MID(VLOOKUP($B115,Seqs!$A:$B,2,0),AA115,1),"")</f>
        <v/>
      </c>
      <c r="AA115" s="3" t="s">
        <v>23</v>
      </c>
      <c r="AB115" s="3" t="str">
        <f>IFERROR(MID(VLOOKUP($B115,Seqs!$A:$B,2,0),AC115,1),"")</f>
        <v>T</v>
      </c>
      <c r="AC115" s="9">
        <v>146</v>
      </c>
      <c r="AD115" s="3" t="str">
        <f>IFERROR(MID(VLOOKUP($B115,Seqs!$A:$B,2,0),AE115,1),"")</f>
        <v>H</v>
      </c>
      <c r="AE115" s="3">
        <v>172</v>
      </c>
      <c r="AF115" s="3" t="str">
        <f>IFERROR(MID(VLOOKUP($B115,Seqs!$A:$B,2,0),AG115,1),"")</f>
        <v>C</v>
      </c>
      <c r="AG115" s="3">
        <v>191</v>
      </c>
      <c r="AH115" s="3" t="str">
        <f>IFERROR(MID(VLOOKUP($B115,Seqs!$A:$B,2,0),AI115,1),"")</f>
        <v>F</v>
      </c>
      <c r="AI115" s="3">
        <v>193</v>
      </c>
      <c r="AJ115" s="3" t="str">
        <f>IFERROR(MID(VLOOKUP($B115,Seqs!$A:$B,2,0),AK115,1),"")</f>
        <v>N</v>
      </c>
      <c r="AK115" s="3">
        <v>196</v>
      </c>
      <c r="AL115" s="3" t="str">
        <f>IFERROR(MID(VLOOKUP($B115,Seqs!$A:$B,2,0),AM115,1),"")</f>
        <v>Q</v>
      </c>
      <c r="AM115" s="3">
        <v>229</v>
      </c>
      <c r="AN115" s="3" t="str">
        <f>IFERROR(MID(VLOOKUP($B115,Seqs!$A:$B,2,0),AO115,1),"")</f>
        <v>K</v>
      </c>
      <c r="AO115" s="3">
        <v>267</v>
      </c>
      <c r="AP115" s="3" t="str">
        <f>IFERROR(MID(VLOOKUP($B115,Seqs!$A:$B,2,0),AQ115,1),"")</f>
        <v>Q</v>
      </c>
      <c r="AQ115" s="3">
        <v>299</v>
      </c>
      <c r="AR115" s="3" t="str">
        <f>IFERROR(MID(VLOOKUP($B115,Seqs!$A:$B,2,0),AS115,1),"")</f>
        <v>R</v>
      </c>
      <c r="AS115" s="3">
        <v>304</v>
      </c>
      <c r="AT115" s="3" t="str">
        <f>IFERROR(MID(VLOOKUP($B115,Seqs!$A:$B,2,0),AU115,1),"")</f>
        <v>R</v>
      </c>
      <c r="AU115" s="3">
        <v>328</v>
      </c>
      <c r="AV115" s="3" t="str">
        <f>IFERROR(MID(VLOOKUP($B115,Seqs!$A:$B,2,0),AW115,1),"")</f>
        <v>S</v>
      </c>
      <c r="AW115" s="3">
        <v>329</v>
      </c>
      <c r="AX115" s="3" t="str">
        <f>IFERROR(MID(VLOOKUP($B115,Seqs!$A:$B,2,0),AY115,1),"")</f>
        <v>C</v>
      </c>
      <c r="AY115" s="3">
        <v>341</v>
      </c>
      <c r="AZ115" s="77" t="str">
        <f>VLOOKUP(B115,Classification!A:D,2,0)</f>
        <v>A</v>
      </c>
      <c r="BA115" s="94" t="str">
        <f>VLOOKUP(B115,Classification!A:D,4,0)</f>
        <v>Adrenoceptors</v>
      </c>
      <c r="BB115" s="27" t="b">
        <f t="shared" si="392"/>
        <v>1</v>
      </c>
      <c r="BC115" s="23">
        <f t="shared" si="589"/>
        <v>241</v>
      </c>
      <c r="BD115" s="4" t="s">
        <v>23</v>
      </c>
      <c r="BE115" s="3" t="s">
        <v>1375</v>
      </c>
      <c r="BF115" s="119">
        <v>3.16</v>
      </c>
      <c r="BG115" s="49" t="s">
        <v>1378</v>
      </c>
      <c r="BH115" s="49" t="s">
        <v>1378</v>
      </c>
      <c r="BI115" s="1"/>
      <c r="BJ115" s="70" t="s">
        <v>1288</v>
      </c>
      <c r="BK115" s="57" t="s">
        <v>1288</v>
      </c>
      <c r="BL115" s="57" t="s">
        <v>1288</v>
      </c>
      <c r="BM115" s="57" t="s">
        <v>1288</v>
      </c>
      <c r="BN115" s="57" t="s">
        <v>1288</v>
      </c>
      <c r="BO115" s="57" t="s">
        <v>1288</v>
      </c>
      <c r="BP115" s="57" t="s">
        <v>1288</v>
      </c>
      <c r="BQ115" s="57" t="s">
        <v>1288</v>
      </c>
      <c r="BR115" s="57" t="s">
        <v>1288</v>
      </c>
      <c r="BS115" s="57" t="s">
        <v>1288</v>
      </c>
      <c r="BT115" s="57" t="s">
        <v>1288</v>
      </c>
      <c r="BU115" s="57" t="s">
        <v>1288</v>
      </c>
      <c r="BV115" s="70">
        <f t="shared" si="590"/>
        <v>32</v>
      </c>
      <c r="BW115" s="71">
        <f t="shared" si="591"/>
        <v>62</v>
      </c>
      <c r="BX115" s="72">
        <f t="shared" si="592"/>
        <v>66</v>
      </c>
      <c r="BY115" s="71">
        <f t="shared" si="593"/>
        <v>98</v>
      </c>
      <c r="BZ115" s="72">
        <f t="shared" si="594"/>
        <v>102</v>
      </c>
      <c r="CA115" s="71" t="str">
        <f t="shared" si="595"/>
        <v>-</v>
      </c>
      <c r="CB115" s="72">
        <f t="shared" si="596"/>
        <v>146</v>
      </c>
      <c r="CC115" s="71">
        <f t="shared" si="597"/>
        <v>191</v>
      </c>
      <c r="CD115" s="72">
        <f t="shared" si="598"/>
        <v>196</v>
      </c>
      <c r="CE115" s="71">
        <f t="shared" si="599"/>
        <v>267</v>
      </c>
      <c r="CF115" s="72">
        <f t="shared" si="600"/>
        <v>304</v>
      </c>
      <c r="CG115" s="71">
        <f t="shared" si="601"/>
        <v>329</v>
      </c>
      <c r="CH115" s="70">
        <f t="shared" si="602"/>
        <v>61</v>
      </c>
      <c r="CI115" s="71">
        <f t="shared" si="603"/>
        <v>65</v>
      </c>
      <c r="CJ115" s="72">
        <f t="shared" si="604"/>
        <v>96</v>
      </c>
      <c r="CK115" s="72">
        <f t="shared" si="605"/>
        <v>101</v>
      </c>
      <c r="CL115" s="72">
        <f t="shared" si="606"/>
        <v>137</v>
      </c>
      <c r="CM115" s="72" t="str">
        <f t="shared" si="607"/>
        <v>-</v>
      </c>
      <c r="CN115" s="72">
        <f t="shared" si="608"/>
        <v>172</v>
      </c>
      <c r="CO115" s="72">
        <f t="shared" si="609"/>
        <v>193</v>
      </c>
      <c r="CP115" s="72">
        <f t="shared" si="610"/>
        <v>229</v>
      </c>
      <c r="CQ115" s="72">
        <f t="shared" si="611"/>
        <v>299</v>
      </c>
      <c r="CR115" s="72">
        <f t="shared" si="612"/>
        <v>328</v>
      </c>
      <c r="CS115" s="72">
        <f t="shared" si="613"/>
        <v>341</v>
      </c>
      <c r="CT115" s="23">
        <f t="shared" si="614"/>
        <v>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29" x14ac:dyDescent="0.2">
      <c r="A116" s="3" t="str">
        <f t="shared" si="391"/>
        <v>adrb2_human_3P0G</v>
      </c>
      <c r="B116" s="3" t="s">
        <v>126</v>
      </c>
      <c r="C116" s="3" t="s">
        <v>66</v>
      </c>
      <c r="D116" s="3" t="str">
        <f>IFERROR(MID(VLOOKUP($B116,Seqs!$A:$B,2,0),E116,1),"")</f>
        <v>Q</v>
      </c>
      <c r="E116" s="3">
        <v>26</v>
      </c>
      <c r="F116" s="3" t="str">
        <f>IFERROR(MID(VLOOKUP($B116,Seqs!$A:$B,2,0),G116,1),"")</f>
        <v>F</v>
      </c>
      <c r="G116" s="3">
        <v>61</v>
      </c>
      <c r="H116" s="3" t="str">
        <f>IFERROR(MID(VLOOKUP($B116,Seqs!$A:$B,2,0),I116,1),"")</f>
        <v>E</v>
      </c>
      <c r="I116" s="23">
        <v>62</v>
      </c>
      <c r="J116" s="3" t="str">
        <f>IFERROR(MID(VLOOKUP($B116,Seqs!$A:$B,2,0),K116,1),"")</f>
        <v>Q</v>
      </c>
      <c r="K116" s="23">
        <v>65</v>
      </c>
      <c r="L116" s="3" t="str">
        <f>IFERROR(MID(VLOOKUP($B116,Seqs!$A:$B,2,0),M116,1),"")</f>
        <v>T</v>
      </c>
      <c r="M116" s="3">
        <v>66</v>
      </c>
      <c r="N116" s="3" t="str">
        <f>IFERROR(MID(VLOOKUP($B116,Seqs!$A:$B,2,0),O116,1),"")</f>
        <v>M</v>
      </c>
      <c r="O116" s="3">
        <v>96</v>
      </c>
      <c r="P116" s="3" t="str">
        <f>IFERROR(MID(VLOOKUP($B116,Seqs!$A:$B,2,0),Q116,1),"")</f>
        <v>M</v>
      </c>
      <c r="Q116" s="3">
        <v>98</v>
      </c>
      <c r="R116" s="3" t="str">
        <f>IFERROR(MID(VLOOKUP($B116,Seqs!$A:$B,2,0),S116,1),"")</f>
        <v>F</v>
      </c>
      <c r="S116" s="3">
        <v>101</v>
      </c>
      <c r="T116" s="3" t="str">
        <f>IFERROR(MID(VLOOKUP($B116,Seqs!$A:$B,2,0),U116,1),"")</f>
        <v>G</v>
      </c>
      <c r="U116" s="3">
        <v>102</v>
      </c>
      <c r="V116" s="3" t="str">
        <f>IFERROR(MID(VLOOKUP($B116,Seqs!$A:$B,2,0),W116,1),"")</f>
        <v>S</v>
      </c>
      <c r="W116" s="3">
        <v>137</v>
      </c>
      <c r="X116" s="3" t="str">
        <f>IFERROR(MID(VLOOKUP($B116,Seqs!$A:$B,2,0),Y116,1),"")</f>
        <v>P</v>
      </c>
      <c r="Y116" s="3">
        <v>138</v>
      </c>
      <c r="Z116" s="3" t="str">
        <f>IFERROR(MID(VLOOKUP($B116,Seqs!$A:$B,2,0),AA116,1),"")</f>
        <v>L</v>
      </c>
      <c r="AA116" s="3">
        <v>145</v>
      </c>
      <c r="AB116" s="3" t="str">
        <f>IFERROR(MID(VLOOKUP($B116,Seqs!$A:$B,2,0),AC116,1),"")</f>
        <v>T</v>
      </c>
      <c r="AC116" s="9">
        <v>146</v>
      </c>
      <c r="AD116" s="3" t="str">
        <f>IFERROR(MID(VLOOKUP($B116,Seqs!$A:$B,2,0),AE116,1),"")</f>
        <v>H</v>
      </c>
      <c r="AE116" s="3">
        <v>172</v>
      </c>
      <c r="AF116" s="3" t="str">
        <f>IFERROR(MID(VLOOKUP($B116,Seqs!$A:$B,2,0),AG116,1),"")</f>
        <v>C</v>
      </c>
      <c r="AG116" s="3">
        <v>191</v>
      </c>
      <c r="AH116" s="3" t="str">
        <f>IFERROR(MID(VLOOKUP($B116,Seqs!$A:$B,2,0),AI116,1),"")</f>
        <v>F</v>
      </c>
      <c r="AI116" s="3">
        <v>193</v>
      </c>
      <c r="AJ116" s="3" t="str">
        <f>IFERROR(MID(VLOOKUP($B116,Seqs!$A:$B,2,0),AK116,1),"")</f>
        <v>N</v>
      </c>
      <c r="AK116" s="3">
        <v>196</v>
      </c>
      <c r="AL116" s="3" t="str">
        <f>IFERROR(MID(VLOOKUP($B116,Seqs!$A:$B,2,0),AM116,1),"")</f>
        <v>A</v>
      </c>
      <c r="AM116" s="3">
        <v>226</v>
      </c>
      <c r="AN116" s="3" t="str">
        <f>IFERROR(MID(VLOOKUP($B116,Seqs!$A:$B,2,0),AO116,1),"")</f>
        <v>H</v>
      </c>
      <c r="AO116" s="3">
        <v>269</v>
      </c>
      <c r="AP116" s="3" t="str">
        <f>IFERROR(MID(VLOOKUP($B116,Seqs!$A:$B,2,0),AQ116,1),"")</f>
        <v>Q</v>
      </c>
      <c r="AQ116" s="3">
        <v>299</v>
      </c>
      <c r="AR116" s="3" t="str">
        <f>IFERROR(MID(VLOOKUP($B116,Seqs!$A:$B,2,0),AS116,1),"")</f>
        <v>R</v>
      </c>
      <c r="AS116" s="3">
        <v>304</v>
      </c>
      <c r="AT116" s="3" t="str">
        <f>IFERROR(MID(VLOOKUP($B116,Seqs!$A:$B,2,0),AU116,1),"")</f>
        <v>R</v>
      </c>
      <c r="AU116" s="3">
        <v>328</v>
      </c>
      <c r="AV116" s="3" t="str">
        <f>IFERROR(MID(VLOOKUP($B116,Seqs!$A:$B,2,0),AW116,1),"")</f>
        <v>S</v>
      </c>
      <c r="AW116" s="3">
        <v>329</v>
      </c>
      <c r="AX116" s="3" t="str">
        <f>IFERROR(MID(VLOOKUP($B116,Seqs!$A:$B,2,0),AY116,1),"")</f>
        <v>C</v>
      </c>
      <c r="AY116" s="3">
        <v>341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 t="shared" si="392"/>
        <v>1</v>
      </c>
      <c r="BC116" s="23">
        <f t="shared" si="589"/>
        <v>249</v>
      </c>
      <c r="BD116" s="16" t="s">
        <v>23</v>
      </c>
      <c r="BE116" s="3" t="s">
        <v>1292</v>
      </c>
      <c r="BF116" s="119">
        <v>3.5</v>
      </c>
      <c r="BG116" s="49" t="s">
        <v>1378</v>
      </c>
      <c r="BH116" s="49" t="s">
        <v>1378</v>
      </c>
      <c r="BI116" s="1"/>
      <c r="BJ116" s="70" t="s">
        <v>1288</v>
      </c>
      <c r="BK116" s="57" t="s">
        <v>1288</v>
      </c>
      <c r="BL116" s="57" t="s">
        <v>1288</v>
      </c>
      <c r="BM116" s="57" t="s">
        <v>1288</v>
      </c>
      <c r="BN116" s="57" t="s">
        <v>1288</v>
      </c>
      <c r="BO116" s="57" t="s">
        <v>1288</v>
      </c>
      <c r="BP116" s="57" t="s">
        <v>1288</v>
      </c>
      <c r="BQ116" s="57" t="s">
        <v>1288</v>
      </c>
      <c r="BR116" s="57" t="s">
        <v>1288</v>
      </c>
      <c r="BS116" s="57" t="s">
        <v>1288</v>
      </c>
      <c r="BT116" s="57" t="s">
        <v>1288</v>
      </c>
      <c r="BU116" s="57" t="s">
        <v>1288</v>
      </c>
      <c r="BV116" s="70">
        <f t="shared" si="590"/>
        <v>26</v>
      </c>
      <c r="BW116" s="71">
        <f t="shared" si="591"/>
        <v>62</v>
      </c>
      <c r="BX116" s="72">
        <f t="shared" si="592"/>
        <v>66</v>
      </c>
      <c r="BY116" s="71">
        <f t="shared" si="593"/>
        <v>98</v>
      </c>
      <c r="BZ116" s="72">
        <f t="shared" si="594"/>
        <v>102</v>
      </c>
      <c r="CA116" s="71">
        <f t="shared" si="595"/>
        <v>138</v>
      </c>
      <c r="CB116" s="72">
        <f t="shared" si="596"/>
        <v>146</v>
      </c>
      <c r="CC116" s="71">
        <f t="shared" si="597"/>
        <v>191</v>
      </c>
      <c r="CD116" s="72">
        <f t="shared" si="598"/>
        <v>196</v>
      </c>
      <c r="CE116" s="71">
        <f t="shared" si="599"/>
        <v>269</v>
      </c>
      <c r="CF116" s="72">
        <f t="shared" si="600"/>
        <v>304</v>
      </c>
      <c r="CG116" s="71">
        <f t="shared" si="601"/>
        <v>329</v>
      </c>
      <c r="CH116" s="70">
        <f t="shared" si="602"/>
        <v>61</v>
      </c>
      <c r="CI116" s="71">
        <f t="shared" si="603"/>
        <v>65</v>
      </c>
      <c r="CJ116" s="72">
        <f t="shared" si="604"/>
        <v>96</v>
      </c>
      <c r="CK116" s="72">
        <f t="shared" si="605"/>
        <v>101</v>
      </c>
      <c r="CL116" s="72">
        <f t="shared" si="606"/>
        <v>137</v>
      </c>
      <c r="CM116" s="72">
        <f t="shared" si="607"/>
        <v>145</v>
      </c>
      <c r="CN116" s="72">
        <f t="shared" si="608"/>
        <v>172</v>
      </c>
      <c r="CO116" s="72">
        <f t="shared" si="609"/>
        <v>193</v>
      </c>
      <c r="CP116" s="72">
        <f t="shared" si="610"/>
        <v>226</v>
      </c>
      <c r="CQ116" s="72">
        <f t="shared" si="611"/>
        <v>299</v>
      </c>
      <c r="CR116" s="72">
        <f t="shared" si="612"/>
        <v>328</v>
      </c>
      <c r="CS116" s="72">
        <f t="shared" si="613"/>
        <v>341</v>
      </c>
      <c r="CT116" s="23">
        <f t="shared" si="614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si="391"/>
        <v>adrb2_human_3PDS</v>
      </c>
      <c r="B117" s="3" t="s">
        <v>126</v>
      </c>
      <c r="C117" s="3" t="s">
        <v>1336</v>
      </c>
      <c r="D117" s="3" t="str">
        <f>IFERROR(MID(VLOOKUP($B117,Seqs!$A:$B,2,0),E117,1),"")</f>
        <v>D</v>
      </c>
      <c r="E117" s="3">
        <v>29</v>
      </c>
      <c r="F117" s="3" t="str">
        <f>IFERROR(MID(VLOOKUP($B117,Seqs!$A:$B,2,0),G117,1),"")</f>
        <v>F</v>
      </c>
      <c r="G117" s="3">
        <v>61</v>
      </c>
      <c r="H117" s="3" t="str">
        <f>IFERROR(MID(VLOOKUP($B117,Seqs!$A:$B,2,0),I117,1),"")</f>
        <v>E</v>
      </c>
      <c r="I117" s="23">
        <v>62</v>
      </c>
      <c r="J117" s="3" t="str">
        <f>IFERROR(MID(VLOOKUP($B117,Seqs!$A:$B,2,0),K117,1),"")</f>
        <v>Q</v>
      </c>
      <c r="K117" s="23">
        <v>65</v>
      </c>
      <c r="L117" s="3" t="str">
        <f>IFERROR(MID(VLOOKUP($B117,Seqs!$A:$B,2,0),M117,1),"")</f>
        <v>T</v>
      </c>
      <c r="M117" s="3">
        <v>66</v>
      </c>
      <c r="N117" s="3" t="str">
        <f>IFERROR(MID(VLOOKUP($B117,Seqs!$A:$B,2,0),O117,1),"")</f>
        <v>M</v>
      </c>
      <c r="O117" s="3">
        <v>96</v>
      </c>
      <c r="P117" s="3" t="str">
        <f>IFERROR(MID(VLOOKUP($B117,Seqs!$A:$B,2,0),Q117,1),"")</f>
        <v>M</v>
      </c>
      <c r="Q117" s="3">
        <v>98</v>
      </c>
      <c r="R117" s="3" t="str">
        <f>IFERROR(MID(VLOOKUP($B117,Seqs!$A:$B,2,0),S117,1),"")</f>
        <v>F</v>
      </c>
      <c r="S117" s="3">
        <v>101</v>
      </c>
      <c r="T117" s="3" t="str">
        <f>IFERROR(MID(VLOOKUP($B117,Seqs!$A:$B,2,0),U117,1),"")</f>
        <v>G</v>
      </c>
      <c r="U117" s="3">
        <v>102</v>
      </c>
      <c r="V117" s="3" t="str">
        <f>IFERROR(MID(VLOOKUP($B117,Seqs!$A:$B,2,0),W117,1),"")</f>
        <v>S</v>
      </c>
      <c r="W117" s="3">
        <v>137</v>
      </c>
      <c r="X117" s="3" t="str">
        <f>IFERROR(MID(VLOOKUP($B117,Seqs!$A:$B,2,0),Y117,1),"")</f>
        <v/>
      </c>
      <c r="Y117" s="3" t="s">
        <v>23</v>
      </c>
      <c r="Z117" s="3" t="str">
        <f>IFERROR(MID(VLOOKUP($B117,Seqs!$A:$B,2,0),AA117,1),"")</f>
        <v/>
      </c>
      <c r="AA117" s="3" t="s">
        <v>23</v>
      </c>
      <c r="AB117" s="3" t="str">
        <f>IFERROR(MID(VLOOKUP($B117,Seqs!$A:$B,2,0),AC117,1),"")</f>
        <v>T</v>
      </c>
      <c r="AC117" s="9">
        <v>146</v>
      </c>
      <c r="AD117" s="3" t="str">
        <f>IFERROR(MID(VLOOKUP($B117,Seqs!$A:$B,2,0),AE117,1),"")</f>
        <v>H</v>
      </c>
      <c r="AE117" s="3">
        <v>172</v>
      </c>
      <c r="AF117" s="3" t="str">
        <f>IFERROR(MID(VLOOKUP($B117,Seqs!$A:$B,2,0),AG117,1),"")</f>
        <v>C</v>
      </c>
      <c r="AG117" s="3">
        <v>191</v>
      </c>
      <c r="AH117" s="3" t="str">
        <f>IFERROR(MID(VLOOKUP($B117,Seqs!$A:$B,2,0),AI117,1),"")</f>
        <v>F</v>
      </c>
      <c r="AI117" s="3">
        <v>193</v>
      </c>
      <c r="AJ117" s="3" t="str">
        <f>IFERROR(MID(VLOOKUP($B117,Seqs!$A:$B,2,0),AK117,1),"")</f>
        <v>N</v>
      </c>
      <c r="AK117" s="3">
        <v>196</v>
      </c>
      <c r="AL117" s="3" t="str">
        <f>IFERROR(MID(VLOOKUP($B117,Seqs!$A:$B,2,0),AM117,1),"")</f>
        <v>Q</v>
      </c>
      <c r="AM117" s="3">
        <v>229</v>
      </c>
      <c r="AN117" s="3" t="str">
        <f>IFERROR(MID(VLOOKUP($B117,Seqs!$A:$B,2,0),AO117,1),"")</f>
        <v>L</v>
      </c>
      <c r="AO117" s="3">
        <v>266</v>
      </c>
      <c r="AP117" s="3" t="str">
        <f>IFERROR(MID(VLOOKUP($B117,Seqs!$A:$B,2,0),AQ117,1),"")</f>
        <v>Q</v>
      </c>
      <c r="AQ117" s="3">
        <v>299</v>
      </c>
      <c r="AR117" s="3" t="str">
        <f>IFERROR(MID(VLOOKUP($B117,Seqs!$A:$B,2,0),AS117,1),"")</f>
        <v>R</v>
      </c>
      <c r="AS117" s="3">
        <v>304</v>
      </c>
      <c r="AT117" s="3" t="str">
        <f>IFERROR(MID(VLOOKUP($B117,Seqs!$A:$B,2,0),AU117,1),"")</f>
        <v>R</v>
      </c>
      <c r="AU117" s="3">
        <v>328</v>
      </c>
      <c r="AV117" s="3" t="str">
        <f>IFERROR(MID(VLOOKUP($B117,Seqs!$A:$B,2,0),AW117,1),"")</f>
        <v>S</v>
      </c>
      <c r="AW117" s="3">
        <v>329</v>
      </c>
      <c r="AX117" s="3" t="str">
        <f>IFERROR(MID(VLOOKUP($B117,Seqs!$A:$B,2,0),AY117,1),"")</f>
        <v>C</v>
      </c>
      <c r="AY117" s="3">
        <v>341</v>
      </c>
      <c r="AZ117" s="77" t="str">
        <f>VLOOKUP(B117,Classification!A:D,2,0)</f>
        <v>A</v>
      </c>
      <c r="BA117" s="94" t="str">
        <f>VLOOKUP(B117,Classification!A:D,4,0)</f>
        <v>Adrenoceptors</v>
      </c>
      <c r="BB117" s="27" t="b">
        <f t="shared" si="392"/>
        <v>1</v>
      </c>
      <c r="BC117" s="23">
        <f t="shared" si="589"/>
        <v>245</v>
      </c>
      <c r="BD117" s="5" t="s">
        <v>23</v>
      </c>
      <c r="BE117" s="3" t="s">
        <v>1375</v>
      </c>
      <c r="BF117" s="119">
        <v>3.5</v>
      </c>
      <c r="BG117" s="49" t="s">
        <v>1378</v>
      </c>
      <c r="BH117" s="49" t="s">
        <v>1378</v>
      </c>
      <c r="BI117" s="1"/>
      <c r="BJ117" s="70" t="s">
        <v>1288</v>
      </c>
      <c r="BK117" s="57" t="s">
        <v>1288</v>
      </c>
      <c r="BL117" s="57" t="s">
        <v>1288</v>
      </c>
      <c r="BM117" s="57" t="s">
        <v>1288</v>
      </c>
      <c r="BN117" s="57" t="s">
        <v>1288</v>
      </c>
      <c r="BO117" s="57" t="s">
        <v>1288</v>
      </c>
      <c r="BP117" s="57" t="s">
        <v>1288</v>
      </c>
      <c r="BQ117" s="57" t="s">
        <v>1288</v>
      </c>
      <c r="BR117" s="57" t="s">
        <v>1288</v>
      </c>
      <c r="BS117" s="57" t="s">
        <v>1288</v>
      </c>
      <c r="BT117" s="57" t="s">
        <v>1288</v>
      </c>
      <c r="BU117" s="57" t="s">
        <v>1288</v>
      </c>
      <c r="BV117" s="70">
        <f t="shared" si="590"/>
        <v>29</v>
      </c>
      <c r="BW117" s="71">
        <f t="shared" si="591"/>
        <v>62</v>
      </c>
      <c r="BX117" s="72">
        <f t="shared" si="592"/>
        <v>66</v>
      </c>
      <c r="BY117" s="71">
        <f t="shared" si="593"/>
        <v>98</v>
      </c>
      <c r="BZ117" s="72">
        <f t="shared" si="594"/>
        <v>102</v>
      </c>
      <c r="CA117" s="71" t="str">
        <f t="shared" si="595"/>
        <v>-</v>
      </c>
      <c r="CB117" s="72">
        <f t="shared" si="596"/>
        <v>146</v>
      </c>
      <c r="CC117" s="71">
        <f t="shared" si="597"/>
        <v>191</v>
      </c>
      <c r="CD117" s="72">
        <f t="shared" si="598"/>
        <v>196</v>
      </c>
      <c r="CE117" s="71">
        <f t="shared" si="599"/>
        <v>266</v>
      </c>
      <c r="CF117" s="72">
        <f t="shared" si="600"/>
        <v>304</v>
      </c>
      <c r="CG117" s="71">
        <f t="shared" si="601"/>
        <v>329</v>
      </c>
      <c r="CH117" s="70">
        <f t="shared" si="602"/>
        <v>61</v>
      </c>
      <c r="CI117" s="71">
        <f t="shared" si="603"/>
        <v>65</v>
      </c>
      <c r="CJ117" s="72">
        <f t="shared" si="604"/>
        <v>96</v>
      </c>
      <c r="CK117" s="72">
        <f t="shared" si="605"/>
        <v>101</v>
      </c>
      <c r="CL117" s="72">
        <f t="shared" si="606"/>
        <v>137</v>
      </c>
      <c r="CM117" s="72" t="str">
        <f t="shared" si="607"/>
        <v>-</v>
      </c>
      <c r="CN117" s="72">
        <f t="shared" si="608"/>
        <v>172</v>
      </c>
      <c r="CO117" s="72">
        <f t="shared" si="609"/>
        <v>193</v>
      </c>
      <c r="CP117" s="72">
        <f t="shared" si="610"/>
        <v>229</v>
      </c>
      <c r="CQ117" s="72">
        <f t="shared" si="611"/>
        <v>299</v>
      </c>
      <c r="CR117" s="72">
        <f t="shared" si="612"/>
        <v>328</v>
      </c>
      <c r="CS117" s="72">
        <f t="shared" si="613"/>
        <v>341</v>
      </c>
      <c r="CT117" s="23">
        <f t="shared" si="614"/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ht="17" customHeight="1" x14ac:dyDescent="0.2">
      <c r="A118" s="3" t="str">
        <f t="shared" si="391"/>
        <v>adrb2_human_3SN6</v>
      </c>
      <c r="B118" s="3" t="s">
        <v>126</v>
      </c>
      <c r="C118" s="3" t="s">
        <v>85</v>
      </c>
      <c r="D118" s="3" t="str">
        <f>IFERROR(MID(VLOOKUP($B118,Seqs!$A:$B,2,0),E118,1),"")</f>
        <v>D</v>
      </c>
      <c r="E118" s="3">
        <v>29</v>
      </c>
      <c r="F118" s="3" t="str">
        <f>IFERROR(MID(VLOOKUP($B118,Seqs!$A:$B,2,0),G118,1),"")</f>
        <v>F</v>
      </c>
      <c r="G118" s="3">
        <v>61</v>
      </c>
      <c r="H118" s="3" t="str">
        <f>IFERROR(MID(VLOOKUP($B118,Seqs!$A:$B,2,0),I118,1),"")</f>
        <v>E</v>
      </c>
      <c r="I118" s="23">
        <v>62</v>
      </c>
      <c r="J118" s="3" t="str">
        <f>IFERROR(MID(VLOOKUP($B118,Seqs!$A:$B,2,0),K118,1),"")</f>
        <v>Q</v>
      </c>
      <c r="K118" s="23">
        <v>65</v>
      </c>
      <c r="L118" s="3" t="str">
        <f>IFERROR(MID(VLOOKUP($B118,Seqs!$A:$B,2,0),M118,1),"")</f>
        <v>T</v>
      </c>
      <c r="M118" s="3">
        <v>66</v>
      </c>
      <c r="N118" s="3" t="str">
        <f>IFERROR(MID(VLOOKUP($B118,Seqs!$A:$B,2,0),O118,1),"")</f>
        <v>M</v>
      </c>
      <c r="O118" s="3">
        <v>96</v>
      </c>
      <c r="P118" s="3" t="str">
        <f>IFERROR(MID(VLOOKUP($B118,Seqs!$A:$B,2,0),Q118,1),"")</f>
        <v>M</v>
      </c>
      <c r="Q118" s="3">
        <v>98</v>
      </c>
      <c r="R118" s="3" t="str">
        <f>IFERROR(MID(VLOOKUP($B118,Seqs!$A:$B,2,0),S118,1),"")</f>
        <v>F</v>
      </c>
      <c r="S118" s="3">
        <v>101</v>
      </c>
      <c r="T118" s="3" t="str">
        <f>IFERROR(MID(VLOOKUP($B118,Seqs!$A:$B,2,0),U118,1),"")</f>
        <v>G</v>
      </c>
      <c r="U118" s="3">
        <v>102</v>
      </c>
      <c r="V118" s="3" t="str">
        <f>IFERROR(MID(VLOOKUP($B118,Seqs!$A:$B,2,0),W118,1),"")</f>
        <v>S</v>
      </c>
      <c r="W118" s="3">
        <v>137</v>
      </c>
      <c r="X118" s="3" t="str">
        <f>IFERROR(MID(VLOOKUP($B118,Seqs!$A:$B,2,0),Y118,1),"")</f>
        <v>P</v>
      </c>
      <c r="Y118" s="3">
        <v>138</v>
      </c>
      <c r="Z118" s="3" t="str">
        <f>IFERROR(MID(VLOOKUP($B118,Seqs!$A:$B,2,0),AA118,1),"")</f>
        <v>L</v>
      </c>
      <c r="AA118" s="3">
        <v>145</v>
      </c>
      <c r="AB118" s="3" t="str">
        <f>IFERROR(MID(VLOOKUP($B118,Seqs!$A:$B,2,0),AC118,1),"")</f>
        <v>T</v>
      </c>
      <c r="AC118" s="9">
        <v>146</v>
      </c>
      <c r="AD118" s="3" t="str">
        <f>IFERROR(MID(VLOOKUP($B118,Seqs!$A:$B,2,0),AE118,1),"")</f>
        <v>H</v>
      </c>
      <c r="AE118" s="3">
        <v>172</v>
      </c>
      <c r="AF118" s="3" t="str">
        <f>IFERROR(MID(VLOOKUP($B118,Seqs!$A:$B,2,0),AG118,1),"")</f>
        <v>C</v>
      </c>
      <c r="AG118" s="3">
        <v>191</v>
      </c>
      <c r="AH118" s="3" t="str">
        <f>IFERROR(MID(VLOOKUP($B118,Seqs!$A:$B,2,0),AI118,1),"")</f>
        <v>F</v>
      </c>
      <c r="AI118" s="3">
        <v>193</v>
      </c>
      <c r="AJ118" s="3" t="str">
        <f>IFERROR(MID(VLOOKUP($B118,Seqs!$A:$B,2,0),AK118,1),"")</f>
        <v>N</v>
      </c>
      <c r="AK118" s="3">
        <v>196</v>
      </c>
      <c r="AL118" s="3" t="str">
        <f>IFERROR(MID(VLOOKUP($B118,Seqs!$A:$B,2,0),AM118,1),"")</f>
        <v>E</v>
      </c>
      <c r="AM118" s="3">
        <v>237</v>
      </c>
      <c r="AN118" s="3" t="str">
        <f>IFERROR(MID(VLOOKUP($B118,Seqs!$A:$B,2,0),AO118,1),"")</f>
        <v>C</v>
      </c>
      <c r="AO118" s="3">
        <v>265</v>
      </c>
      <c r="AP118" s="3" t="str">
        <f>IFERROR(MID(VLOOKUP($B118,Seqs!$A:$B,2,0),AQ118,1),"")</f>
        <v>Q</v>
      </c>
      <c r="AQ118" s="3">
        <v>299</v>
      </c>
      <c r="AR118" s="3" t="str">
        <f>IFERROR(MID(VLOOKUP($B118,Seqs!$A:$B,2,0),AS118,1),"")</f>
        <v>R</v>
      </c>
      <c r="AS118" s="3">
        <v>304</v>
      </c>
      <c r="AT118" s="3" t="str">
        <f>IFERROR(MID(VLOOKUP($B118,Seqs!$A:$B,2,0),AU118,1),"")</f>
        <v>R</v>
      </c>
      <c r="AU118" s="3">
        <v>328</v>
      </c>
      <c r="AV118" s="3" t="str">
        <f>IFERROR(MID(VLOOKUP($B118,Seqs!$A:$B,2,0),AW118,1),"")</f>
        <v>S</v>
      </c>
      <c r="AW118" s="3">
        <v>329</v>
      </c>
      <c r="AX118" s="3" t="str">
        <f>IFERROR(MID(VLOOKUP($B118,Seqs!$A:$B,2,0),AY118,1),"")</f>
        <v>C</v>
      </c>
      <c r="AY118" s="3">
        <v>341</v>
      </c>
      <c r="AZ118" s="77" t="str">
        <f>VLOOKUP(B118,Classification!A:D,2,0)</f>
        <v>A</v>
      </c>
      <c r="BA118" s="94" t="str">
        <f>VLOOKUP(B118,Classification!A:D,4,0)</f>
        <v>Adrenoceptors</v>
      </c>
      <c r="BB118" s="27" t="b">
        <f t="shared" si="392"/>
        <v>1</v>
      </c>
      <c r="BC118" s="23">
        <f t="shared" si="589"/>
        <v>261</v>
      </c>
      <c r="BD118" s="4" t="s">
        <v>1376</v>
      </c>
      <c r="BE118" s="3" t="s">
        <v>1292</v>
      </c>
      <c r="BF118" s="119">
        <v>3.2</v>
      </c>
      <c r="BG118" s="49" t="s">
        <v>1378</v>
      </c>
      <c r="BH118" s="49" t="s">
        <v>1378</v>
      </c>
      <c r="BI118" s="1"/>
      <c r="BJ118" s="70" t="s">
        <v>1288</v>
      </c>
      <c r="BK118" s="57" t="s">
        <v>1288</v>
      </c>
      <c r="BL118" s="57" t="s">
        <v>1288</v>
      </c>
      <c r="BM118" s="57" t="s">
        <v>1288</v>
      </c>
      <c r="BN118" s="57" t="s">
        <v>1288</v>
      </c>
      <c r="BO118" s="57" t="s">
        <v>1288</v>
      </c>
      <c r="BP118" s="57" t="s">
        <v>1288</v>
      </c>
      <c r="BQ118" s="57" t="s">
        <v>1288</v>
      </c>
      <c r="BR118" s="57" t="s">
        <v>1288</v>
      </c>
      <c r="BS118" s="57" t="s">
        <v>1288</v>
      </c>
      <c r="BT118" s="57" t="s">
        <v>1288</v>
      </c>
      <c r="BU118" s="57" t="s">
        <v>1288</v>
      </c>
      <c r="BV118" s="70">
        <f t="shared" si="590"/>
        <v>29</v>
      </c>
      <c r="BW118" s="71">
        <f t="shared" si="591"/>
        <v>62</v>
      </c>
      <c r="BX118" s="72">
        <f t="shared" si="592"/>
        <v>66</v>
      </c>
      <c r="BY118" s="71">
        <f t="shared" si="593"/>
        <v>98</v>
      </c>
      <c r="BZ118" s="72">
        <f t="shared" si="594"/>
        <v>102</v>
      </c>
      <c r="CA118" s="71">
        <f t="shared" si="595"/>
        <v>138</v>
      </c>
      <c r="CB118" s="72">
        <f t="shared" si="596"/>
        <v>146</v>
      </c>
      <c r="CC118" s="71">
        <f t="shared" si="597"/>
        <v>191</v>
      </c>
      <c r="CD118" s="72">
        <f t="shared" si="598"/>
        <v>196</v>
      </c>
      <c r="CE118" s="71">
        <f t="shared" si="599"/>
        <v>265</v>
      </c>
      <c r="CF118" s="72">
        <f t="shared" si="600"/>
        <v>304</v>
      </c>
      <c r="CG118" s="71">
        <f t="shared" si="601"/>
        <v>329</v>
      </c>
      <c r="CH118" s="70">
        <f t="shared" si="602"/>
        <v>61</v>
      </c>
      <c r="CI118" s="71">
        <f t="shared" si="603"/>
        <v>65</v>
      </c>
      <c r="CJ118" s="72">
        <f t="shared" si="604"/>
        <v>96</v>
      </c>
      <c r="CK118" s="72">
        <f t="shared" si="605"/>
        <v>101</v>
      </c>
      <c r="CL118" s="72">
        <f t="shared" si="606"/>
        <v>137</v>
      </c>
      <c r="CM118" s="72">
        <f t="shared" si="607"/>
        <v>145</v>
      </c>
      <c r="CN118" s="72">
        <f t="shared" si="608"/>
        <v>172</v>
      </c>
      <c r="CO118" s="72">
        <f t="shared" si="609"/>
        <v>193</v>
      </c>
      <c r="CP118" s="72">
        <f t="shared" si="610"/>
        <v>237</v>
      </c>
      <c r="CQ118" s="72">
        <f t="shared" si="611"/>
        <v>299</v>
      </c>
      <c r="CR118" s="72">
        <f t="shared" si="612"/>
        <v>328</v>
      </c>
      <c r="CS118" s="72">
        <f t="shared" si="613"/>
        <v>341</v>
      </c>
      <c r="CT118" s="23">
        <f t="shared" si="614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s="12" customFormat="1" ht="17" customHeight="1" x14ac:dyDescent="0.2">
      <c r="A119" s="9" t="str">
        <f t="shared" ref="A119" si="783">CONCATENATE(B119,"_",C119)</f>
        <v>adrb2_human_4GBR</v>
      </c>
      <c r="B119" s="9" t="s">
        <v>126</v>
      </c>
      <c r="C119" s="9" t="s">
        <v>1107</v>
      </c>
      <c r="D119" s="9" t="str">
        <f>IFERROR(MID(VLOOKUP($B119,Seqs!$A:$B,2,0),E119,1),"")</f>
        <v>D</v>
      </c>
      <c r="E119" s="9">
        <v>29</v>
      </c>
      <c r="F119" s="9" t="str">
        <f>IFERROR(MID(VLOOKUP($B119,Seqs!$A:$B,2,0),G119,1),"")</f>
        <v>F</v>
      </c>
      <c r="G119" s="9">
        <v>61</v>
      </c>
      <c r="H119" s="9" t="str">
        <f>IFERROR(MID(VLOOKUP($B119,Seqs!$A:$B,2,0),I119,1),"")</f>
        <v>E</v>
      </c>
      <c r="I119" s="109">
        <v>62</v>
      </c>
      <c r="J119" s="9" t="str">
        <f>IFERROR(MID(VLOOKUP($B119,Seqs!$A:$B,2,0),K119,1),"")</f>
        <v>Q</v>
      </c>
      <c r="K119" s="109">
        <v>65</v>
      </c>
      <c r="L119" s="9" t="str">
        <f>IFERROR(MID(VLOOKUP($B119,Seqs!$A:$B,2,0),M119,1),"")</f>
        <v>T</v>
      </c>
      <c r="M119" s="9">
        <v>66</v>
      </c>
      <c r="N119" s="9" t="str">
        <f>IFERROR(MID(VLOOKUP($B119,Seqs!$A:$B,2,0),O119,1),"")</f>
        <v>M</v>
      </c>
      <c r="O119" s="9">
        <v>96</v>
      </c>
      <c r="P119" s="9" t="str">
        <f>IFERROR(MID(VLOOKUP($B119,Seqs!$A:$B,2,0),Q119,1),"")</f>
        <v>M</v>
      </c>
      <c r="Q119" s="9">
        <v>98</v>
      </c>
      <c r="R119" s="9" t="str">
        <f>IFERROR(MID(VLOOKUP($B119,Seqs!$A:$B,2,0),S119,1),"")</f>
        <v>F</v>
      </c>
      <c r="S119" s="9">
        <v>101</v>
      </c>
      <c r="T119" s="9" t="str">
        <f>IFERROR(MID(VLOOKUP($B119,Seqs!$A:$B,2,0),U119,1),"")</f>
        <v>G</v>
      </c>
      <c r="U119" s="9">
        <v>102</v>
      </c>
      <c r="V119" s="9" t="str">
        <f>IFERROR(MID(VLOOKUP($B119,Seqs!$A:$B,2,0),W119,1),"")</f>
        <v>T</v>
      </c>
      <c r="W119" s="9">
        <v>136</v>
      </c>
      <c r="X119" s="9" t="str">
        <f>IFERROR(MID(VLOOKUP($B119,Seqs!$A:$B,2,0),Y119,1),"")</f>
        <v/>
      </c>
      <c r="Y119" s="9" t="s">
        <v>23</v>
      </c>
      <c r="Z119" s="9" t="str">
        <f>IFERROR(MID(VLOOKUP($B119,Seqs!$A:$B,2,0),AA119,1),"")</f>
        <v/>
      </c>
      <c r="AA119" s="9" t="s">
        <v>23</v>
      </c>
      <c r="AB119" s="9" t="str">
        <f>IFERROR(MID(VLOOKUP($B119,Seqs!$A:$B,2,0),AC119,1),"")</f>
        <v>T</v>
      </c>
      <c r="AC119" s="9">
        <v>146</v>
      </c>
      <c r="AD119" s="9" t="str">
        <f>IFERROR(MID(VLOOKUP($B119,Seqs!$A:$B,2,0),AE119,1),"")</f>
        <v>H</v>
      </c>
      <c r="AE119" s="9">
        <v>172</v>
      </c>
      <c r="AF119" s="9" t="str">
        <f>IFERROR(MID(VLOOKUP($B119,Seqs!$A:$B,2,0),AG119,1),"")</f>
        <v>C</v>
      </c>
      <c r="AG119" s="9">
        <v>191</v>
      </c>
      <c r="AH119" s="9" t="str">
        <f>IFERROR(MID(VLOOKUP($B119,Seqs!$A:$B,2,0),AI119,1),"")</f>
        <v>F</v>
      </c>
      <c r="AI119" s="9">
        <v>193</v>
      </c>
      <c r="AJ119" s="9" t="str">
        <f>IFERROR(MID(VLOOKUP($B119,Seqs!$A:$B,2,0),AK119,1),"")</f>
        <v>N</v>
      </c>
      <c r="AK119" s="9">
        <v>196</v>
      </c>
      <c r="AL119" s="9" t="str">
        <f>IFERROR(MID(VLOOKUP($B119,Seqs!$A:$B,2,0),AM119,1),"")</f>
        <v>K</v>
      </c>
      <c r="AM119" s="9">
        <v>232</v>
      </c>
      <c r="AN119" s="9" t="str">
        <f>IFERROR(MID(VLOOKUP($B119,Seqs!$A:$B,2,0),AO119,1),"")</f>
        <v>E</v>
      </c>
      <c r="AO119" s="9">
        <v>237</v>
      </c>
      <c r="AP119" s="9" t="str">
        <f>IFERROR(MID(VLOOKUP($B119,Seqs!$A:$B,2,0),AQ119,1),"")</f>
        <v>A</v>
      </c>
      <c r="AQ119" s="9">
        <v>271</v>
      </c>
      <c r="AR119" s="9" t="str">
        <f>IFERROR(MID(VLOOKUP($B119,Seqs!$A:$B,2,0),AS119,1),"")</f>
        <v>G</v>
      </c>
      <c r="AS119" s="9">
        <v>276</v>
      </c>
      <c r="AT119" s="9" t="str">
        <f>IFERROR(MID(VLOOKUP($B119,Seqs!$A:$B,2,0),AU119,1),"")</f>
        <v>D</v>
      </c>
      <c r="AU119" s="9">
        <v>300</v>
      </c>
      <c r="AV119" s="9" t="str">
        <f>IFERROR(MID(VLOOKUP($B119,Seqs!$A:$B,2,0),AW119,1),"")</f>
        <v>N</v>
      </c>
      <c r="AW119" s="9">
        <v>301</v>
      </c>
      <c r="AX119" s="9" t="str">
        <f>IFERROR(MID(VLOOKUP($B119,Seqs!$A:$B,2,0),AY119,1),"")</f>
        <v>W</v>
      </c>
      <c r="AY119" s="9">
        <v>313</v>
      </c>
      <c r="AZ119" s="110" t="str">
        <f>VLOOKUP(B119,Classification!A:D,2,0)</f>
        <v>A</v>
      </c>
      <c r="BA119" s="98" t="str">
        <f>VLOOKUP(B119,Classification!A:D,4,0)</f>
        <v>Adrenoceptors</v>
      </c>
      <c r="BB119" s="36" t="b">
        <f t="shared" ref="BB119" si="784">AND(E119&lt;G119,OR(G119&lt;I119,I119="-"),OR(I119&lt;K119,I119="-"),OR(K119&lt;M119,K119="-"),M119&lt;O119,OR(O119&lt;Q119,Q119="-"),OR(Q119&lt;S119,Q119="-"),OR(S119&lt;U119,S119="-"),U119&lt;W119,OR(W119&lt;Y119,Y119="-"),OR(Y119&lt;AA119,Y119="-"),OR(AA119&lt;AC119,AA119="-"),AC119&lt;AE119,OR(AE119&lt;AG119,AG119="-"),OR(AG119&lt;AI119,AG119="-"),OR(AI119&lt;AK119,AI119="-"),AK119&lt;AM119,AM119&lt;AO119,AO119&lt;AQ119,AQ119&lt;AS119,AS119&lt;AU119,OR(AU119&lt;AW119,AW119="-"),OR(AW119&lt;AY119,AW119="-"))</f>
        <v>1</v>
      </c>
      <c r="BC119" s="109">
        <f t="shared" ref="BC119" si="785">_xlfn.AGGREGATE(9,6,CH119:CS119)-_xlfn.AGGREGATE(9,6,BV119:CG119)+12</f>
        <v>248</v>
      </c>
      <c r="BD119" s="11" t="s">
        <v>23</v>
      </c>
      <c r="BE119" s="9" t="s">
        <v>1375</v>
      </c>
      <c r="BF119" s="120">
        <v>3.99</v>
      </c>
      <c r="BG119" s="51" t="s">
        <v>1</v>
      </c>
      <c r="BH119" s="51" t="s">
        <v>1</v>
      </c>
      <c r="BJ119" s="111" t="s">
        <v>1288</v>
      </c>
      <c r="BK119" s="112" t="s">
        <v>1288</v>
      </c>
      <c r="BL119" s="112" t="s">
        <v>1288</v>
      </c>
      <c r="BM119" s="112" t="s">
        <v>1288</v>
      </c>
      <c r="BN119" s="112" t="s">
        <v>1288</v>
      </c>
      <c r="BO119" s="112" t="s">
        <v>1288</v>
      </c>
      <c r="BP119" s="112" t="s">
        <v>1288</v>
      </c>
      <c r="BQ119" s="112" t="s">
        <v>1288</v>
      </c>
      <c r="BR119" s="112" t="s">
        <v>1288</v>
      </c>
      <c r="BS119" s="112" t="s">
        <v>1288</v>
      </c>
      <c r="BT119" s="112" t="s">
        <v>1288</v>
      </c>
      <c r="BU119" s="112" t="s">
        <v>1288</v>
      </c>
      <c r="BV119" s="111">
        <f t="shared" ref="BV119" si="786">E119</f>
        <v>29</v>
      </c>
      <c r="BW119" s="113">
        <f t="shared" ref="BW119" si="787">I119</f>
        <v>62</v>
      </c>
      <c r="BX119" s="114">
        <f t="shared" ref="BX119" si="788">M119</f>
        <v>66</v>
      </c>
      <c r="BY119" s="113">
        <f t="shared" ref="BY119" si="789">Q119</f>
        <v>98</v>
      </c>
      <c r="BZ119" s="114">
        <f t="shared" ref="BZ119" si="790">U119</f>
        <v>102</v>
      </c>
      <c r="CA119" s="113" t="str">
        <f t="shared" ref="CA119" si="791">Y119</f>
        <v>-</v>
      </c>
      <c r="CB119" s="114">
        <f t="shared" ref="CB119" si="792">AC119</f>
        <v>146</v>
      </c>
      <c r="CC119" s="113">
        <f t="shared" ref="CC119" si="793">AG119</f>
        <v>191</v>
      </c>
      <c r="CD119" s="114">
        <f t="shared" ref="CD119" si="794">AK119</f>
        <v>196</v>
      </c>
      <c r="CE119" s="113">
        <f t="shared" ref="CE119" si="795">AO119</f>
        <v>237</v>
      </c>
      <c r="CF119" s="114">
        <f t="shared" ref="CF119" si="796">AS119</f>
        <v>276</v>
      </c>
      <c r="CG119" s="113">
        <f t="shared" ref="CG119" si="797">AW119</f>
        <v>301</v>
      </c>
      <c r="CH119" s="111">
        <f t="shared" ref="CH119" si="798">G119</f>
        <v>61</v>
      </c>
      <c r="CI119" s="113">
        <f t="shared" ref="CI119" si="799">K119</f>
        <v>65</v>
      </c>
      <c r="CJ119" s="114">
        <f t="shared" ref="CJ119" si="800">O119</f>
        <v>96</v>
      </c>
      <c r="CK119" s="114">
        <f t="shared" ref="CK119" si="801">S119</f>
        <v>101</v>
      </c>
      <c r="CL119" s="114">
        <f t="shared" ref="CL119" si="802">W119</f>
        <v>136</v>
      </c>
      <c r="CM119" s="114" t="str">
        <f t="shared" ref="CM119" si="803">AA119</f>
        <v>-</v>
      </c>
      <c r="CN119" s="114">
        <f t="shared" ref="CN119" si="804">AE119</f>
        <v>172</v>
      </c>
      <c r="CO119" s="114">
        <f t="shared" ref="CO119" si="805">AI119</f>
        <v>193</v>
      </c>
      <c r="CP119" s="114">
        <f t="shared" ref="CP119" si="806">AM119</f>
        <v>232</v>
      </c>
      <c r="CQ119" s="114">
        <f t="shared" ref="CQ119" si="807">AQ119</f>
        <v>271</v>
      </c>
      <c r="CR119" s="114">
        <f t="shared" ref="CR119" si="808">AU119</f>
        <v>300</v>
      </c>
      <c r="CS119" s="114">
        <f t="shared" ref="CS119" si="809">AY119</f>
        <v>313</v>
      </c>
      <c r="CT119" s="109">
        <f t="shared" ref="CT119" si="810">M119-K119</f>
        <v>1</v>
      </c>
    </row>
    <row r="120" spans="1:1029" x14ac:dyDescent="0.2">
      <c r="A120" s="3" t="str">
        <f t="shared" ref="A120:A191" si="811">CONCATENATE(B120,"_",C120)</f>
        <v>adrb2_human_4LDE</v>
      </c>
      <c r="B120" s="3" t="s">
        <v>126</v>
      </c>
      <c r="C120" s="3" t="s">
        <v>77</v>
      </c>
      <c r="D120" s="3" t="str">
        <f>IFERROR(MID(VLOOKUP($B120,Seqs!$A:$B,2,0),E120,1),"")</f>
        <v/>
      </c>
      <c r="E120" s="3">
        <v>1029</v>
      </c>
      <c r="F120" s="3" t="str">
        <f>IFERROR(MID(VLOOKUP($B120,Seqs!$A:$B,2,0),G120,1),"")</f>
        <v/>
      </c>
      <c r="G120" s="3">
        <v>1061</v>
      </c>
      <c r="H120" s="3" t="str">
        <f>IFERROR(MID(VLOOKUP($B120,Seqs!$A:$B,2,0),I120,1),"")</f>
        <v/>
      </c>
      <c r="I120" s="23">
        <v>1062</v>
      </c>
      <c r="J120" s="3" t="str">
        <f>IFERROR(MID(VLOOKUP($B120,Seqs!$A:$B,2,0),K120,1),"")</f>
        <v/>
      </c>
      <c r="K120" s="23">
        <v>1065</v>
      </c>
      <c r="L120" s="3" t="str">
        <f>IFERROR(MID(VLOOKUP($B120,Seqs!$A:$B,2,0),M120,1),"")</f>
        <v/>
      </c>
      <c r="M120" s="3">
        <v>1066</v>
      </c>
      <c r="N120" s="3" t="str">
        <f>IFERROR(MID(VLOOKUP($B120,Seqs!$A:$B,2,0),O120,1),"")</f>
        <v/>
      </c>
      <c r="O120" s="3">
        <v>1096</v>
      </c>
      <c r="P120" s="3" t="str">
        <f>IFERROR(MID(VLOOKUP($B120,Seqs!$A:$B,2,0),Q120,1),"")</f>
        <v/>
      </c>
      <c r="Q120" s="3">
        <v>1098</v>
      </c>
      <c r="R120" s="3" t="str">
        <f>IFERROR(MID(VLOOKUP($B120,Seqs!$A:$B,2,0),S120,1),"")</f>
        <v/>
      </c>
      <c r="S120" s="3">
        <v>1101</v>
      </c>
      <c r="T120" s="3" t="str">
        <f>IFERROR(MID(VLOOKUP($B120,Seqs!$A:$B,2,0),U120,1),"")</f>
        <v/>
      </c>
      <c r="U120" s="3">
        <v>1102</v>
      </c>
      <c r="V120" s="3" t="str">
        <f>IFERROR(MID(VLOOKUP($B120,Seqs!$A:$B,2,0),W120,1),"")</f>
        <v/>
      </c>
      <c r="W120" s="3">
        <v>1137</v>
      </c>
      <c r="X120" s="3" t="str">
        <f>IFERROR(MID(VLOOKUP($B120,Seqs!$A:$B,2,0),Y120,1),"")</f>
        <v/>
      </c>
      <c r="Y120" s="3">
        <v>1138</v>
      </c>
      <c r="Z120" s="3" t="str">
        <f>IFERROR(MID(VLOOKUP($B120,Seqs!$A:$B,2,0),AA120,1),"")</f>
        <v/>
      </c>
      <c r="AA120" s="3">
        <v>1145</v>
      </c>
      <c r="AB120" s="3" t="str">
        <f>IFERROR(MID(VLOOKUP($B120,Seqs!$A:$B,2,0),AC120,1),"")</f>
        <v/>
      </c>
      <c r="AC120" s="9">
        <v>1146</v>
      </c>
      <c r="AD120" s="3" t="str">
        <f>IFERROR(MID(VLOOKUP($B120,Seqs!$A:$B,2,0),AE120,1),"")</f>
        <v/>
      </c>
      <c r="AE120" s="3">
        <v>1172</v>
      </c>
      <c r="AF120" s="3" t="str">
        <f>IFERROR(MID(VLOOKUP($B120,Seqs!$A:$B,2,0),AG120,1),"")</f>
        <v/>
      </c>
      <c r="AG120" s="3">
        <v>1191</v>
      </c>
      <c r="AH120" s="3" t="str">
        <f>IFERROR(MID(VLOOKUP($B120,Seqs!$A:$B,2,0),AI120,1),"")</f>
        <v/>
      </c>
      <c r="AI120" s="3">
        <v>1193</v>
      </c>
      <c r="AJ120" s="3" t="str">
        <f>IFERROR(MID(VLOOKUP($B120,Seqs!$A:$B,2,0),AK120,1),"")</f>
        <v/>
      </c>
      <c r="AK120" s="3">
        <v>1196</v>
      </c>
      <c r="AL120" s="3" t="str">
        <f>IFERROR(MID(VLOOKUP($B120,Seqs!$A:$B,2,0),AM120,1),"")</f>
        <v/>
      </c>
      <c r="AM120" s="3">
        <v>1225</v>
      </c>
      <c r="AN120" s="3" t="str">
        <f>IFERROR(MID(VLOOKUP($B120,Seqs!$A:$B,2,0),AO120,1),"")</f>
        <v/>
      </c>
      <c r="AO120" s="3">
        <v>1266</v>
      </c>
      <c r="AP120" s="3" t="str">
        <f>IFERROR(MID(VLOOKUP($B120,Seqs!$A:$B,2,0),AQ120,1),"")</f>
        <v/>
      </c>
      <c r="AQ120" s="3">
        <v>1299</v>
      </c>
      <c r="AR120" s="3" t="str">
        <f>IFERROR(MID(VLOOKUP($B120,Seqs!$A:$B,2,0),AS120,1),"")</f>
        <v/>
      </c>
      <c r="AS120" s="3">
        <v>1304</v>
      </c>
      <c r="AT120" s="3" t="str">
        <f>IFERROR(MID(VLOOKUP($B120,Seqs!$A:$B,2,0),AU120,1),"")</f>
        <v/>
      </c>
      <c r="AU120" s="3">
        <v>1328</v>
      </c>
      <c r="AV120" s="3" t="str">
        <f>IFERROR(MID(VLOOKUP($B120,Seqs!$A:$B,2,0),AW120,1),"")</f>
        <v/>
      </c>
      <c r="AW120" s="3">
        <v>1329</v>
      </c>
      <c r="AX120" s="3" t="str">
        <f>IFERROR(MID(VLOOKUP($B120,Seqs!$A:$B,2,0),AY120,1),"")</f>
        <v/>
      </c>
      <c r="AY120" s="3">
        <v>1341</v>
      </c>
      <c r="AZ120" s="77" t="str">
        <f>VLOOKUP(B120,Classification!A:D,2,0)</f>
        <v>A</v>
      </c>
      <c r="BA120" s="94" t="str">
        <f>VLOOKUP(B120,Classification!A:D,4,0)</f>
        <v>Adrenoceptors</v>
      </c>
      <c r="BB120" s="27" t="b">
        <f t="shared" ref="BB120:BB191" si="812">AND(E120&lt;G120,OR(G120&lt;I120,I120="-"),OR(I120&lt;K120,I120="-"),OR(K120&lt;M120,K120="-"),M120&lt;O120,OR(O120&lt;Q120,Q120="-"),OR(Q120&lt;S120,Q120="-"),OR(S120&lt;U120,S120="-"),U120&lt;W120,OR(W120&lt;Y120,Y120="-"),OR(Y120&lt;AA120,Y120="-"),OR(AA120&lt;AC120,AA120="-"),AC120&lt;AE120,OR(AE120&lt;AG120,AG120="-"),OR(AG120&lt;AI120,AG120="-"),OR(AI120&lt;AK120,AI120="-"),AK120&lt;AM120,AM120&lt;AO120,AO120&lt;AQ120,AQ120&lt;AS120,AS120&lt;AU120,OR(AU120&lt;AW120,AW120="-"),OR(AW120&lt;AY120,AW120="-"))</f>
        <v>1</v>
      </c>
      <c r="BC120" s="23">
        <f t="shared" si="589"/>
        <v>248</v>
      </c>
      <c r="BD120" s="4" t="s">
        <v>23</v>
      </c>
      <c r="BE120" s="3" t="s">
        <v>1292</v>
      </c>
      <c r="BF120" s="119">
        <v>2.79</v>
      </c>
      <c r="BG120" s="49" t="s">
        <v>1378</v>
      </c>
      <c r="BH120" s="49" t="s">
        <v>1378</v>
      </c>
      <c r="BI120" s="1"/>
      <c r="BJ120" s="70" t="s">
        <v>1288</v>
      </c>
      <c r="BK120" s="57" t="s">
        <v>1288</v>
      </c>
      <c r="BL120" s="57" t="s">
        <v>1288</v>
      </c>
      <c r="BM120" s="57" t="s">
        <v>1288</v>
      </c>
      <c r="BN120" s="57" t="s">
        <v>1288</v>
      </c>
      <c r="BO120" s="57" t="s">
        <v>1288</v>
      </c>
      <c r="BP120" s="57" t="s">
        <v>1288</v>
      </c>
      <c r="BQ120" s="57" t="s">
        <v>1288</v>
      </c>
      <c r="BR120" s="57" t="s">
        <v>1288</v>
      </c>
      <c r="BS120" s="57" t="s">
        <v>1288</v>
      </c>
      <c r="BT120" s="57" t="s">
        <v>1288</v>
      </c>
      <c r="BU120" s="57" t="s">
        <v>1288</v>
      </c>
      <c r="BV120" s="70">
        <f t="shared" si="590"/>
        <v>1029</v>
      </c>
      <c r="BW120" s="71">
        <f t="shared" si="591"/>
        <v>1062</v>
      </c>
      <c r="BX120" s="72">
        <f t="shared" si="592"/>
        <v>1066</v>
      </c>
      <c r="BY120" s="71">
        <f t="shared" si="593"/>
        <v>1098</v>
      </c>
      <c r="BZ120" s="72">
        <f t="shared" si="594"/>
        <v>1102</v>
      </c>
      <c r="CA120" s="71">
        <f t="shared" si="595"/>
        <v>1138</v>
      </c>
      <c r="CB120" s="72">
        <f t="shared" si="596"/>
        <v>1146</v>
      </c>
      <c r="CC120" s="71">
        <f t="shared" si="597"/>
        <v>1191</v>
      </c>
      <c r="CD120" s="72">
        <f t="shared" si="598"/>
        <v>1196</v>
      </c>
      <c r="CE120" s="71">
        <f t="shared" si="599"/>
        <v>1266</v>
      </c>
      <c r="CF120" s="72">
        <f t="shared" si="600"/>
        <v>1304</v>
      </c>
      <c r="CG120" s="71">
        <f t="shared" si="601"/>
        <v>1329</v>
      </c>
      <c r="CH120" s="70">
        <f t="shared" si="602"/>
        <v>1061</v>
      </c>
      <c r="CI120" s="71">
        <f t="shared" si="603"/>
        <v>1065</v>
      </c>
      <c r="CJ120" s="72">
        <f t="shared" si="604"/>
        <v>1096</v>
      </c>
      <c r="CK120" s="72">
        <f t="shared" si="605"/>
        <v>1101</v>
      </c>
      <c r="CL120" s="72">
        <f t="shared" si="606"/>
        <v>1137</v>
      </c>
      <c r="CM120" s="72">
        <f t="shared" si="607"/>
        <v>1145</v>
      </c>
      <c r="CN120" s="72">
        <f t="shared" si="608"/>
        <v>1172</v>
      </c>
      <c r="CO120" s="72">
        <f t="shared" si="609"/>
        <v>1193</v>
      </c>
      <c r="CP120" s="72">
        <f t="shared" si="610"/>
        <v>1225</v>
      </c>
      <c r="CQ120" s="72">
        <f t="shared" si="611"/>
        <v>1299</v>
      </c>
      <c r="CR120" s="72">
        <f t="shared" si="612"/>
        <v>1328</v>
      </c>
      <c r="CS120" s="72">
        <f t="shared" si="613"/>
        <v>1341</v>
      </c>
      <c r="CT120" s="23">
        <f t="shared" si="614"/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x14ac:dyDescent="0.2">
      <c r="A121" s="3" t="str">
        <f t="shared" si="811"/>
        <v>adrb2_human_4LDL</v>
      </c>
      <c r="B121" s="3" t="s">
        <v>126</v>
      </c>
      <c r="C121" s="3" t="s">
        <v>1045</v>
      </c>
      <c r="D121" s="3" t="str">
        <f>IFERROR(MID(VLOOKUP($B121,Seqs!$A:$B,2,0),E121,1),"")</f>
        <v/>
      </c>
      <c r="E121" s="3">
        <v>1029</v>
      </c>
      <c r="F121" s="3" t="str">
        <f>IFERROR(MID(VLOOKUP($B121,Seqs!$A:$B,2,0),G121,1),"")</f>
        <v/>
      </c>
      <c r="G121" s="3">
        <v>1061</v>
      </c>
      <c r="H121" s="3" t="str">
        <f>IFERROR(MID(VLOOKUP($B121,Seqs!$A:$B,2,0),I121,1),"")</f>
        <v/>
      </c>
      <c r="I121" s="23">
        <v>1062</v>
      </c>
      <c r="J121" s="3" t="str">
        <f>IFERROR(MID(VLOOKUP($B121,Seqs!$A:$B,2,0),K121,1),"")</f>
        <v/>
      </c>
      <c r="K121" s="23">
        <v>1065</v>
      </c>
      <c r="L121" s="3" t="str">
        <f>IFERROR(MID(VLOOKUP($B121,Seqs!$A:$B,2,0),M121,1),"")</f>
        <v/>
      </c>
      <c r="M121" s="3">
        <v>1066</v>
      </c>
      <c r="N121" s="3" t="str">
        <f>IFERROR(MID(VLOOKUP($B121,Seqs!$A:$B,2,0),O121,1),"")</f>
        <v/>
      </c>
      <c r="O121" s="3">
        <v>1096</v>
      </c>
      <c r="P121" s="3" t="str">
        <f>IFERROR(MID(VLOOKUP($B121,Seqs!$A:$B,2,0),Q121,1),"")</f>
        <v/>
      </c>
      <c r="Q121" s="3">
        <v>1098</v>
      </c>
      <c r="R121" s="3" t="str">
        <f>IFERROR(MID(VLOOKUP($B121,Seqs!$A:$B,2,0),S121,1),"")</f>
        <v/>
      </c>
      <c r="S121" s="3">
        <v>1101</v>
      </c>
      <c r="T121" s="3" t="str">
        <f>IFERROR(MID(VLOOKUP($B121,Seqs!$A:$B,2,0),U121,1),"")</f>
        <v/>
      </c>
      <c r="U121" s="3">
        <v>1102</v>
      </c>
      <c r="V121" s="3" t="str">
        <f>IFERROR(MID(VLOOKUP($B121,Seqs!$A:$B,2,0),W121,1),"")</f>
        <v/>
      </c>
      <c r="W121" s="3">
        <v>1137</v>
      </c>
      <c r="X121" s="3" t="str">
        <f>IFERROR(MID(VLOOKUP($B121,Seqs!$A:$B,2,0),Y121,1),"")</f>
        <v/>
      </c>
      <c r="Y121" s="3">
        <v>1138</v>
      </c>
      <c r="Z121" s="3" t="str">
        <f>IFERROR(MID(VLOOKUP($B121,Seqs!$A:$B,2,0),AA121,1),"")</f>
        <v/>
      </c>
      <c r="AA121" s="3">
        <v>1145</v>
      </c>
      <c r="AB121" s="3" t="str">
        <f>IFERROR(MID(VLOOKUP($B121,Seqs!$A:$B,2,0),AC121,1),"")</f>
        <v/>
      </c>
      <c r="AC121" s="9">
        <v>1146</v>
      </c>
      <c r="AD121" s="3" t="str">
        <f>IFERROR(MID(VLOOKUP($B121,Seqs!$A:$B,2,0),AE121,1),"")</f>
        <v/>
      </c>
      <c r="AE121" s="3">
        <v>1172</v>
      </c>
      <c r="AF121" s="3" t="str">
        <f>IFERROR(MID(VLOOKUP($B121,Seqs!$A:$B,2,0),AG121,1),"")</f>
        <v/>
      </c>
      <c r="AG121" s="3">
        <v>1191</v>
      </c>
      <c r="AH121" s="3" t="str">
        <f>IFERROR(MID(VLOOKUP($B121,Seqs!$A:$B,2,0),AI121,1),"")</f>
        <v/>
      </c>
      <c r="AI121" s="3">
        <v>1193</v>
      </c>
      <c r="AJ121" s="3" t="str">
        <f>IFERROR(MID(VLOOKUP($B121,Seqs!$A:$B,2,0),AK121,1),"")</f>
        <v/>
      </c>
      <c r="AK121" s="3">
        <v>1196</v>
      </c>
      <c r="AL121" s="3" t="str">
        <f>IFERROR(MID(VLOOKUP($B121,Seqs!$A:$B,2,0),AM121,1),"")</f>
        <v/>
      </c>
      <c r="AM121" s="3">
        <v>1225</v>
      </c>
      <c r="AN121" s="3" t="str">
        <f>IFERROR(MID(VLOOKUP($B121,Seqs!$A:$B,2,0),AO121,1),"")</f>
        <v/>
      </c>
      <c r="AO121" s="3">
        <v>1266</v>
      </c>
      <c r="AP121" s="3" t="str">
        <f>IFERROR(MID(VLOOKUP($B121,Seqs!$A:$B,2,0),AQ121,1),"")</f>
        <v/>
      </c>
      <c r="AQ121" s="3">
        <v>1299</v>
      </c>
      <c r="AR121" s="3" t="str">
        <f>IFERROR(MID(VLOOKUP($B121,Seqs!$A:$B,2,0),AS121,1),"")</f>
        <v/>
      </c>
      <c r="AS121" s="3">
        <v>1304</v>
      </c>
      <c r="AT121" s="3" t="str">
        <f>IFERROR(MID(VLOOKUP($B121,Seqs!$A:$B,2,0),AU121,1),"")</f>
        <v/>
      </c>
      <c r="AU121" s="3">
        <v>1328</v>
      </c>
      <c r="AV121" s="3" t="str">
        <f>IFERROR(MID(VLOOKUP($B121,Seqs!$A:$B,2,0),AW121,1),"")</f>
        <v/>
      </c>
      <c r="AW121" s="3">
        <v>1329</v>
      </c>
      <c r="AX121" s="3" t="str">
        <f>IFERROR(MID(VLOOKUP($B121,Seqs!$A:$B,2,0),AY121,1),"")</f>
        <v/>
      </c>
      <c r="AY121" s="3">
        <v>1341</v>
      </c>
      <c r="AZ121" s="77" t="str">
        <f>VLOOKUP(B121,Classification!A:D,2,0)</f>
        <v>A</v>
      </c>
      <c r="BA121" s="94" t="str">
        <f>VLOOKUP(B121,Classification!A:D,4,0)</f>
        <v>Adrenoceptors</v>
      </c>
      <c r="BB121" s="27" t="b">
        <f t="shared" si="812"/>
        <v>1</v>
      </c>
      <c r="BC121" s="23">
        <f t="shared" si="589"/>
        <v>248</v>
      </c>
      <c r="BD121" s="4" t="s">
        <v>23</v>
      </c>
      <c r="BE121" s="3" t="s">
        <v>1292</v>
      </c>
      <c r="BF121" s="119">
        <v>3.1</v>
      </c>
      <c r="BG121" s="49" t="s">
        <v>1378</v>
      </c>
      <c r="BH121" s="49" t="s">
        <v>1378</v>
      </c>
      <c r="BI121" s="1"/>
      <c r="BJ121" s="70" t="s">
        <v>1288</v>
      </c>
      <c r="BK121" s="57" t="s">
        <v>1288</v>
      </c>
      <c r="BL121" s="57" t="s">
        <v>1288</v>
      </c>
      <c r="BM121" s="57" t="s">
        <v>1288</v>
      </c>
      <c r="BN121" s="57" t="s">
        <v>1288</v>
      </c>
      <c r="BO121" s="57" t="s">
        <v>1288</v>
      </c>
      <c r="BP121" s="57" t="s">
        <v>1288</v>
      </c>
      <c r="BQ121" s="57" t="s">
        <v>1288</v>
      </c>
      <c r="BR121" s="57" t="s">
        <v>1288</v>
      </c>
      <c r="BS121" s="57" t="s">
        <v>1288</v>
      </c>
      <c r="BT121" s="57" t="s">
        <v>1288</v>
      </c>
      <c r="BU121" s="57" t="s">
        <v>1288</v>
      </c>
      <c r="BV121" s="70">
        <f t="shared" si="590"/>
        <v>1029</v>
      </c>
      <c r="BW121" s="71">
        <f t="shared" si="591"/>
        <v>1062</v>
      </c>
      <c r="BX121" s="72">
        <f t="shared" si="592"/>
        <v>1066</v>
      </c>
      <c r="BY121" s="71">
        <f t="shared" si="593"/>
        <v>1098</v>
      </c>
      <c r="BZ121" s="72">
        <f t="shared" si="594"/>
        <v>1102</v>
      </c>
      <c r="CA121" s="71">
        <f t="shared" si="595"/>
        <v>1138</v>
      </c>
      <c r="CB121" s="72">
        <f t="shared" si="596"/>
        <v>1146</v>
      </c>
      <c r="CC121" s="71">
        <f t="shared" si="597"/>
        <v>1191</v>
      </c>
      <c r="CD121" s="72">
        <f t="shared" si="598"/>
        <v>1196</v>
      </c>
      <c r="CE121" s="71">
        <f t="shared" si="599"/>
        <v>1266</v>
      </c>
      <c r="CF121" s="72">
        <f t="shared" si="600"/>
        <v>1304</v>
      </c>
      <c r="CG121" s="71">
        <f t="shared" si="601"/>
        <v>1329</v>
      </c>
      <c r="CH121" s="70">
        <f t="shared" si="602"/>
        <v>1061</v>
      </c>
      <c r="CI121" s="71">
        <f t="shared" si="603"/>
        <v>1065</v>
      </c>
      <c r="CJ121" s="72">
        <f t="shared" si="604"/>
        <v>1096</v>
      </c>
      <c r="CK121" s="72">
        <f t="shared" si="605"/>
        <v>1101</v>
      </c>
      <c r="CL121" s="72">
        <f t="shared" si="606"/>
        <v>1137</v>
      </c>
      <c r="CM121" s="72">
        <f t="shared" si="607"/>
        <v>1145</v>
      </c>
      <c r="CN121" s="72">
        <f t="shared" si="608"/>
        <v>1172</v>
      </c>
      <c r="CO121" s="72">
        <f t="shared" si="609"/>
        <v>1193</v>
      </c>
      <c r="CP121" s="72">
        <f t="shared" si="610"/>
        <v>1225</v>
      </c>
      <c r="CQ121" s="72">
        <f t="shared" si="611"/>
        <v>1299</v>
      </c>
      <c r="CR121" s="72">
        <f t="shared" si="612"/>
        <v>1328</v>
      </c>
      <c r="CS121" s="72">
        <f t="shared" si="613"/>
        <v>1341</v>
      </c>
      <c r="CT121" s="23">
        <f t="shared" si="614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ht="17" customHeight="1" x14ac:dyDescent="0.2">
      <c r="A122" s="3" t="str">
        <f t="shared" si="811"/>
        <v>adrb2_human_4LDO</v>
      </c>
      <c r="B122" s="3" t="s">
        <v>126</v>
      </c>
      <c r="C122" s="3" t="s">
        <v>1046</v>
      </c>
      <c r="D122" s="3" t="str">
        <f>IFERROR(MID(VLOOKUP($B122,Seqs!$A:$B,2,0),E122,1),"")</f>
        <v/>
      </c>
      <c r="E122" s="3">
        <v>1029</v>
      </c>
      <c r="F122" s="3" t="str">
        <f>IFERROR(MID(VLOOKUP($B122,Seqs!$A:$B,2,0),G122,1),"")</f>
        <v/>
      </c>
      <c r="G122" s="3">
        <v>1061</v>
      </c>
      <c r="H122" s="3" t="str">
        <f>IFERROR(MID(VLOOKUP($B122,Seqs!$A:$B,2,0),I122,1),"")</f>
        <v/>
      </c>
      <c r="I122" s="23">
        <v>1062</v>
      </c>
      <c r="J122" s="3" t="str">
        <f>IFERROR(MID(VLOOKUP($B122,Seqs!$A:$B,2,0),K122,1),"")</f>
        <v/>
      </c>
      <c r="K122" s="23">
        <v>1065</v>
      </c>
      <c r="L122" s="3" t="str">
        <f>IFERROR(MID(VLOOKUP($B122,Seqs!$A:$B,2,0),M122,1),"")</f>
        <v/>
      </c>
      <c r="M122" s="3">
        <v>1066</v>
      </c>
      <c r="N122" s="3" t="str">
        <f>IFERROR(MID(VLOOKUP($B122,Seqs!$A:$B,2,0),O122,1),"")</f>
        <v/>
      </c>
      <c r="O122" s="3">
        <v>1096</v>
      </c>
      <c r="P122" s="3" t="str">
        <f>IFERROR(MID(VLOOKUP($B122,Seqs!$A:$B,2,0),Q122,1),"")</f>
        <v/>
      </c>
      <c r="Q122" s="3">
        <v>1098</v>
      </c>
      <c r="R122" s="3" t="str">
        <f>IFERROR(MID(VLOOKUP($B122,Seqs!$A:$B,2,0),S122,1),"")</f>
        <v/>
      </c>
      <c r="S122" s="3">
        <v>1101</v>
      </c>
      <c r="T122" s="3" t="str">
        <f>IFERROR(MID(VLOOKUP($B122,Seqs!$A:$B,2,0),U122,1),"")</f>
        <v/>
      </c>
      <c r="U122" s="3">
        <v>1102</v>
      </c>
      <c r="V122" s="3" t="str">
        <f>IFERROR(MID(VLOOKUP($B122,Seqs!$A:$B,2,0),W122,1),"")</f>
        <v/>
      </c>
      <c r="W122" s="3">
        <v>1137</v>
      </c>
      <c r="X122" s="3" t="str">
        <f>IFERROR(MID(VLOOKUP($B122,Seqs!$A:$B,2,0),Y122,1),"")</f>
        <v/>
      </c>
      <c r="Y122" s="3">
        <v>1138</v>
      </c>
      <c r="Z122" s="3" t="str">
        <f>IFERROR(MID(VLOOKUP($B122,Seqs!$A:$B,2,0),AA122,1),"")</f>
        <v/>
      </c>
      <c r="AA122" s="3">
        <v>1145</v>
      </c>
      <c r="AB122" s="3" t="str">
        <f>IFERROR(MID(VLOOKUP($B122,Seqs!$A:$B,2,0),AC122,1),"")</f>
        <v/>
      </c>
      <c r="AC122" s="9">
        <v>1146</v>
      </c>
      <c r="AD122" s="3" t="str">
        <f>IFERROR(MID(VLOOKUP($B122,Seqs!$A:$B,2,0),AE122,1),"")</f>
        <v/>
      </c>
      <c r="AE122" s="3">
        <v>1172</v>
      </c>
      <c r="AF122" s="3" t="str">
        <f>IFERROR(MID(VLOOKUP($B122,Seqs!$A:$B,2,0),AG122,1),"")</f>
        <v/>
      </c>
      <c r="AG122" s="3">
        <v>1191</v>
      </c>
      <c r="AH122" s="3" t="str">
        <f>IFERROR(MID(VLOOKUP($B122,Seqs!$A:$B,2,0),AI122,1),"")</f>
        <v/>
      </c>
      <c r="AI122" s="3">
        <v>1193</v>
      </c>
      <c r="AJ122" s="3" t="str">
        <f>IFERROR(MID(VLOOKUP($B122,Seqs!$A:$B,2,0),AK122,1),"")</f>
        <v/>
      </c>
      <c r="AK122" s="3">
        <v>1196</v>
      </c>
      <c r="AL122" s="3" t="str">
        <f>IFERROR(MID(VLOOKUP($B122,Seqs!$A:$B,2,0),AM122,1),"")</f>
        <v/>
      </c>
      <c r="AM122" s="3">
        <v>1225</v>
      </c>
      <c r="AN122" s="3" t="str">
        <f>IFERROR(MID(VLOOKUP($B122,Seqs!$A:$B,2,0),AO122,1),"")</f>
        <v/>
      </c>
      <c r="AO122" s="3">
        <v>1266</v>
      </c>
      <c r="AP122" s="3" t="str">
        <f>IFERROR(MID(VLOOKUP($B122,Seqs!$A:$B,2,0),AQ122,1),"")</f>
        <v/>
      </c>
      <c r="AQ122" s="3">
        <v>1299</v>
      </c>
      <c r="AR122" s="3" t="str">
        <f>IFERROR(MID(VLOOKUP($B122,Seqs!$A:$B,2,0),AS122,1),"")</f>
        <v/>
      </c>
      <c r="AS122" s="3">
        <v>1304</v>
      </c>
      <c r="AT122" s="3" t="str">
        <f>IFERROR(MID(VLOOKUP($B122,Seqs!$A:$B,2,0),AU122,1),"")</f>
        <v/>
      </c>
      <c r="AU122" s="3">
        <v>1328</v>
      </c>
      <c r="AV122" s="3" t="str">
        <f>IFERROR(MID(VLOOKUP($B122,Seqs!$A:$B,2,0),AW122,1),"")</f>
        <v/>
      </c>
      <c r="AW122" s="3">
        <v>1329</v>
      </c>
      <c r="AX122" s="3" t="str">
        <f>IFERROR(MID(VLOOKUP($B122,Seqs!$A:$B,2,0),AY122,1),"")</f>
        <v/>
      </c>
      <c r="AY122" s="3">
        <v>1341</v>
      </c>
      <c r="AZ122" s="77" t="str">
        <f>VLOOKUP(B122,Classification!A:D,2,0)</f>
        <v>A</v>
      </c>
      <c r="BA122" s="94" t="str">
        <f>VLOOKUP(B122,Classification!A:D,4,0)</f>
        <v>Adrenoceptors</v>
      </c>
      <c r="BB122" s="27" t="b">
        <f t="shared" si="812"/>
        <v>1</v>
      </c>
      <c r="BC122" s="23">
        <f t="shared" si="589"/>
        <v>248</v>
      </c>
      <c r="BD122" s="4" t="s">
        <v>23</v>
      </c>
      <c r="BE122" s="3" t="s">
        <v>1292</v>
      </c>
      <c r="BF122" s="119">
        <v>3.2</v>
      </c>
      <c r="BG122" s="49" t="s">
        <v>1378</v>
      </c>
      <c r="BH122" s="49" t="s">
        <v>1378</v>
      </c>
      <c r="BI122" s="1"/>
      <c r="BJ122" s="70" t="s">
        <v>1288</v>
      </c>
      <c r="BK122" s="57" t="s">
        <v>1288</v>
      </c>
      <c r="BL122" s="57" t="s">
        <v>1288</v>
      </c>
      <c r="BM122" s="57" t="s">
        <v>1288</v>
      </c>
      <c r="BN122" s="57" t="s">
        <v>1288</v>
      </c>
      <c r="BO122" s="57" t="s">
        <v>1288</v>
      </c>
      <c r="BP122" s="57" t="s">
        <v>1288</v>
      </c>
      <c r="BQ122" s="57" t="s">
        <v>1288</v>
      </c>
      <c r="BR122" s="57" t="s">
        <v>1288</v>
      </c>
      <c r="BS122" s="57" t="s">
        <v>1288</v>
      </c>
      <c r="BT122" s="57" t="s">
        <v>1288</v>
      </c>
      <c r="BU122" s="57" t="s">
        <v>1288</v>
      </c>
      <c r="BV122" s="70">
        <f t="shared" si="590"/>
        <v>1029</v>
      </c>
      <c r="BW122" s="71">
        <f t="shared" si="591"/>
        <v>1062</v>
      </c>
      <c r="BX122" s="72">
        <f t="shared" si="592"/>
        <v>1066</v>
      </c>
      <c r="BY122" s="71">
        <f t="shared" si="593"/>
        <v>1098</v>
      </c>
      <c r="BZ122" s="72">
        <f t="shared" si="594"/>
        <v>1102</v>
      </c>
      <c r="CA122" s="71">
        <f t="shared" si="595"/>
        <v>1138</v>
      </c>
      <c r="CB122" s="72">
        <f t="shared" si="596"/>
        <v>1146</v>
      </c>
      <c r="CC122" s="71">
        <f t="shared" si="597"/>
        <v>1191</v>
      </c>
      <c r="CD122" s="72">
        <f t="shared" si="598"/>
        <v>1196</v>
      </c>
      <c r="CE122" s="71">
        <f t="shared" si="599"/>
        <v>1266</v>
      </c>
      <c r="CF122" s="72">
        <f t="shared" si="600"/>
        <v>1304</v>
      </c>
      <c r="CG122" s="71">
        <f t="shared" si="601"/>
        <v>1329</v>
      </c>
      <c r="CH122" s="70">
        <f t="shared" si="602"/>
        <v>1061</v>
      </c>
      <c r="CI122" s="71">
        <f t="shared" si="603"/>
        <v>1065</v>
      </c>
      <c r="CJ122" s="72">
        <f t="shared" si="604"/>
        <v>1096</v>
      </c>
      <c r="CK122" s="72">
        <f t="shared" si="605"/>
        <v>1101</v>
      </c>
      <c r="CL122" s="72">
        <f t="shared" si="606"/>
        <v>1137</v>
      </c>
      <c r="CM122" s="72">
        <f t="shared" si="607"/>
        <v>1145</v>
      </c>
      <c r="CN122" s="72">
        <f t="shared" si="608"/>
        <v>1172</v>
      </c>
      <c r="CO122" s="72">
        <f t="shared" si="609"/>
        <v>1193</v>
      </c>
      <c r="CP122" s="72">
        <f t="shared" si="610"/>
        <v>1225</v>
      </c>
      <c r="CQ122" s="72">
        <f t="shared" si="611"/>
        <v>1299</v>
      </c>
      <c r="CR122" s="72">
        <f t="shared" si="612"/>
        <v>1328</v>
      </c>
      <c r="CS122" s="72">
        <f t="shared" si="613"/>
        <v>1341</v>
      </c>
      <c r="CT122" s="23">
        <f t="shared" si="614"/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x14ac:dyDescent="0.2">
      <c r="A123" s="3" t="str">
        <f t="shared" si="811"/>
        <v>adrb2_human_4QKX</v>
      </c>
      <c r="B123" s="3" t="s">
        <v>126</v>
      </c>
      <c r="C123" s="3" t="s">
        <v>78</v>
      </c>
      <c r="D123" s="3" t="str">
        <f>IFERROR(MID(VLOOKUP($B123,Seqs!$A:$B,2,0),E123,1),"")</f>
        <v/>
      </c>
      <c r="E123" s="3">
        <v>1029</v>
      </c>
      <c r="F123" s="3" t="str">
        <f>IFERROR(MID(VLOOKUP($B123,Seqs!$A:$B,2,0),G123,1),"")</f>
        <v/>
      </c>
      <c r="G123" s="3">
        <v>1061</v>
      </c>
      <c r="H123" s="3" t="str">
        <f>IFERROR(MID(VLOOKUP($B123,Seqs!$A:$B,2,0),I123,1),"")</f>
        <v/>
      </c>
      <c r="I123" s="23">
        <v>1062</v>
      </c>
      <c r="J123" s="3" t="str">
        <f>IFERROR(MID(VLOOKUP($B123,Seqs!$A:$B,2,0),K123,1),"")</f>
        <v/>
      </c>
      <c r="K123" s="23">
        <v>1065</v>
      </c>
      <c r="L123" s="3" t="str">
        <f>IFERROR(MID(VLOOKUP($B123,Seqs!$A:$B,2,0),M123,1),"")</f>
        <v/>
      </c>
      <c r="M123" s="3">
        <v>1066</v>
      </c>
      <c r="N123" s="3" t="str">
        <f>IFERROR(MID(VLOOKUP($B123,Seqs!$A:$B,2,0),O123,1),"")</f>
        <v/>
      </c>
      <c r="O123" s="3">
        <v>1096</v>
      </c>
      <c r="P123" s="3" t="str">
        <f>IFERROR(MID(VLOOKUP($B123,Seqs!$A:$B,2,0),Q123,1),"")</f>
        <v/>
      </c>
      <c r="Q123" s="3">
        <v>1098</v>
      </c>
      <c r="R123" s="3" t="str">
        <f>IFERROR(MID(VLOOKUP($B123,Seqs!$A:$B,2,0),S123,1),"")</f>
        <v/>
      </c>
      <c r="S123" s="3">
        <v>1101</v>
      </c>
      <c r="T123" s="3" t="str">
        <f>IFERROR(MID(VLOOKUP($B123,Seqs!$A:$B,2,0),U123,1),"")</f>
        <v/>
      </c>
      <c r="U123" s="3">
        <v>1102</v>
      </c>
      <c r="V123" s="3" t="str">
        <f>IFERROR(MID(VLOOKUP($B123,Seqs!$A:$B,2,0),W123,1),"")</f>
        <v/>
      </c>
      <c r="W123" s="3">
        <v>1137</v>
      </c>
      <c r="X123" s="3" t="str">
        <f>IFERROR(MID(VLOOKUP($B123,Seqs!$A:$B,2,0),Y123,1),"")</f>
        <v/>
      </c>
      <c r="Y123" s="3">
        <v>1138</v>
      </c>
      <c r="Z123" s="3" t="str">
        <f>IFERROR(MID(VLOOKUP($B123,Seqs!$A:$B,2,0),AA123,1),"")</f>
        <v/>
      </c>
      <c r="AA123" s="3">
        <v>1145</v>
      </c>
      <c r="AB123" s="3" t="str">
        <f>IFERROR(MID(VLOOKUP($B123,Seqs!$A:$B,2,0),AC123,1),"")</f>
        <v/>
      </c>
      <c r="AC123" s="9">
        <v>1146</v>
      </c>
      <c r="AD123" s="3" t="str">
        <f>IFERROR(MID(VLOOKUP($B123,Seqs!$A:$B,2,0),AE123,1),"")</f>
        <v/>
      </c>
      <c r="AE123" s="3">
        <v>1172</v>
      </c>
      <c r="AF123" s="3" t="str">
        <f>IFERROR(MID(VLOOKUP($B123,Seqs!$A:$B,2,0),AG123,1),"")</f>
        <v/>
      </c>
      <c r="AG123" s="3">
        <v>1191</v>
      </c>
      <c r="AH123" s="3" t="str">
        <f>IFERROR(MID(VLOOKUP($B123,Seqs!$A:$B,2,0),AI123,1),"")</f>
        <v/>
      </c>
      <c r="AI123" s="3">
        <v>1193</v>
      </c>
      <c r="AJ123" s="3" t="str">
        <f>IFERROR(MID(VLOOKUP($B123,Seqs!$A:$B,2,0),AK123,1),"")</f>
        <v/>
      </c>
      <c r="AK123" s="3">
        <v>1196</v>
      </c>
      <c r="AL123" s="3" t="str">
        <f>IFERROR(MID(VLOOKUP($B123,Seqs!$A:$B,2,0),AM123,1),"")</f>
        <v/>
      </c>
      <c r="AM123" s="3">
        <v>1225</v>
      </c>
      <c r="AN123" s="3" t="str">
        <f>IFERROR(MID(VLOOKUP($B123,Seqs!$A:$B,2,0),AO123,1),"")</f>
        <v/>
      </c>
      <c r="AO123" s="3">
        <v>1266</v>
      </c>
      <c r="AP123" s="3" t="str">
        <f>IFERROR(MID(VLOOKUP($B123,Seqs!$A:$B,2,0),AQ123,1),"")</f>
        <v/>
      </c>
      <c r="AQ123" s="3">
        <v>1299</v>
      </c>
      <c r="AR123" s="3" t="str">
        <f>IFERROR(MID(VLOOKUP($B123,Seqs!$A:$B,2,0),AS123,1),"")</f>
        <v/>
      </c>
      <c r="AS123" s="3">
        <v>1304</v>
      </c>
      <c r="AT123" s="3" t="str">
        <f>IFERROR(MID(VLOOKUP($B123,Seqs!$A:$B,2,0),AU123,1),"")</f>
        <v/>
      </c>
      <c r="AU123" s="3">
        <v>1328</v>
      </c>
      <c r="AV123" s="3" t="str">
        <f>IFERROR(MID(VLOOKUP($B123,Seqs!$A:$B,2,0),AW123,1),"")</f>
        <v/>
      </c>
      <c r="AW123" s="3">
        <v>1329</v>
      </c>
      <c r="AX123" s="3" t="str">
        <f>IFERROR(MID(VLOOKUP($B123,Seqs!$A:$B,2,0),AY123,1),"")</f>
        <v/>
      </c>
      <c r="AY123" s="3">
        <v>1341</v>
      </c>
      <c r="AZ123" s="77" t="str">
        <f>VLOOKUP(B123,Classification!A:D,2,0)</f>
        <v>A</v>
      </c>
      <c r="BA123" s="94" t="str">
        <f>VLOOKUP(B123,Classification!A:D,4,0)</f>
        <v>Adrenoceptors</v>
      </c>
      <c r="BB123" s="27" t="b">
        <f t="shared" si="812"/>
        <v>1</v>
      </c>
      <c r="BC123" s="23">
        <f t="shared" si="589"/>
        <v>248</v>
      </c>
      <c r="BD123" s="4" t="s">
        <v>23</v>
      </c>
      <c r="BE123" s="3" t="s">
        <v>1292</v>
      </c>
      <c r="BF123" s="119">
        <v>3.3</v>
      </c>
      <c r="BG123" s="49" t="s">
        <v>1378</v>
      </c>
      <c r="BH123" s="49" t="s">
        <v>1378</v>
      </c>
      <c r="BI123" s="1"/>
      <c r="BJ123" s="70" t="s">
        <v>1288</v>
      </c>
      <c r="BK123" s="57" t="s">
        <v>1288</v>
      </c>
      <c r="BL123" s="57" t="s">
        <v>1288</v>
      </c>
      <c r="BM123" s="57" t="s">
        <v>1288</v>
      </c>
      <c r="BN123" s="57" t="s">
        <v>1288</v>
      </c>
      <c r="BO123" s="57" t="s">
        <v>1288</v>
      </c>
      <c r="BP123" s="57" t="s">
        <v>1288</v>
      </c>
      <c r="BQ123" s="57" t="s">
        <v>1288</v>
      </c>
      <c r="BR123" s="57" t="s">
        <v>1288</v>
      </c>
      <c r="BS123" s="57" t="s">
        <v>1288</v>
      </c>
      <c r="BT123" s="57" t="s">
        <v>1288</v>
      </c>
      <c r="BU123" s="57" t="s">
        <v>1288</v>
      </c>
      <c r="BV123" s="70">
        <f t="shared" si="590"/>
        <v>1029</v>
      </c>
      <c r="BW123" s="71">
        <f t="shared" si="591"/>
        <v>1062</v>
      </c>
      <c r="BX123" s="72">
        <f t="shared" si="592"/>
        <v>1066</v>
      </c>
      <c r="BY123" s="71">
        <f t="shared" si="593"/>
        <v>1098</v>
      </c>
      <c r="BZ123" s="72">
        <f t="shared" si="594"/>
        <v>1102</v>
      </c>
      <c r="CA123" s="71">
        <f t="shared" si="595"/>
        <v>1138</v>
      </c>
      <c r="CB123" s="72">
        <f t="shared" si="596"/>
        <v>1146</v>
      </c>
      <c r="CC123" s="71">
        <f t="shared" si="597"/>
        <v>1191</v>
      </c>
      <c r="CD123" s="72">
        <f t="shared" si="598"/>
        <v>1196</v>
      </c>
      <c r="CE123" s="71">
        <f t="shared" si="599"/>
        <v>1266</v>
      </c>
      <c r="CF123" s="72">
        <f t="shared" si="600"/>
        <v>1304</v>
      </c>
      <c r="CG123" s="71">
        <f t="shared" si="601"/>
        <v>1329</v>
      </c>
      <c r="CH123" s="70">
        <f t="shared" si="602"/>
        <v>1061</v>
      </c>
      <c r="CI123" s="71">
        <f t="shared" si="603"/>
        <v>1065</v>
      </c>
      <c r="CJ123" s="72">
        <f t="shared" si="604"/>
        <v>1096</v>
      </c>
      <c r="CK123" s="72">
        <f t="shared" si="605"/>
        <v>1101</v>
      </c>
      <c r="CL123" s="72">
        <f t="shared" si="606"/>
        <v>1137</v>
      </c>
      <c r="CM123" s="72">
        <f t="shared" si="607"/>
        <v>1145</v>
      </c>
      <c r="CN123" s="72">
        <f t="shared" si="608"/>
        <v>1172</v>
      </c>
      <c r="CO123" s="72">
        <f t="shared" si="609"/>
        <v>1193</v>
      </c>
      <c r="CP123" s="72">
        <f t="shared" si="610"/>
        <v>1225</v>
      </c>
      <c r="CQ123" s="72">
        <f t="shared" si="611"/>
        <v>1299</v>
      </c>
      <c r="CR123" s="72">
        <f t="shared" si="612"/>
        <v>1328</v>
      </c>
      <c r="CS123" s="72">
        <f t="shared" si="613"/>
        <v>1341</v>
      </c>
      <c r="CT123" s="23">
        <f t="shared" si="614"/>
        <v>1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x14ac:dyDescent="0.2">
      <c r="A124" s="3" t="str">
        <f t="shared" si="811"/>
        <v>adrb2_human_5D6L</v>
      </c>
      <c r="B124" s="3" t="s">
        <v>126</v>
      </c>
      <c r="C124" s="3" t="s">
        <v>1344</v>
      </c>
      <c r="D124" s="3" t="str">
        <f>IFERROR(MID(VLOOKUP($B124,Seqs!$A:$B,2,0),E124,1),"")</f>
        <v>D</v>
      </c>
      <c r="E124" s="3">
        <v>29</v>
      </c>
      <c r="F124" s="3" t="str">
        <f>IFERROR(MID(VLOOKUP($B124,Seqs!$A:$B,2,0),G124,1),"")</f>
        <v>F</v>
      </c>
      <c r="G124" s="3">
        <v>61</v>
      </c>
      <c r="H124" s="3" t="str">
        <f>IFERROR(MID(VLOOKUP($B124,Seqs!$A:$B,2,0),I124,1),"")</f>
        <v>E</v>
      </c>
      <c r="I124" s="23">
        <v>62</v>
      </c>
      <c r="J124" s="3" t="str">
        <f>IFERROR(MID(VLOOKUP($B124,Seqs!$A:$B,2,0),K124,1),"")</f>
        <v>Q</v>
      </c>
      <c r="K124" s="23">
        <v>65</v>
      </c>
      <c r="L124" s="3" t="str">
        <f>IFERROR(MID(VLOOKUP($B124,Seqs!$A:$B,2,0),M124,1),"")</f>
        <v>T</v>
      </c>
      <c r="M124" s="3">
        <v>66</v>
      </c>
      <c r="N124" s="3" t="str">
        <f>IFERROR(MID(VLOOKUP($B124,Seqs!$A:$B,2,0),O124,1),"")</f>
        <v>M</v>
      </c>
      <c r="O124" s="3">
        <v>96</v>
      </c>
      <c r="P124" s="3" t="str">
        <f>IFERROR(MID(VLOOKUP($B124,Seqs!$A:$B,2,0),Q124,1),"")</f>
        <v>M</v>
      </c>
      <c r="Q124" s="3">
        <v>98</v>
      </c>
      <c r="R124" s="3" t="str">
        <f>IFERROR(MID(VLOOKUP($B124,Seqs!$A:$B,2,0),S124,1),"")</f>
        <v>F</v>
      </c>
      <c r="S124" s="3">
        <v>101</v>
      </c>
      <c r="T124" s="3" t="str">
        <f>IFERROR(MID(VLOOKUP($B124,Seqs!$A:$B,2,0),U124,1),"")</f>
        <v>G</v>
      </c>
      <c r="U124" s="3">
        <v>102</v>
      </c>
      <c r="V124" s="3" t="str">
        <f>IFERROR(MID(VLOOKUP($B124,Seqs!$A:$B,2,0),W124,1),"")</f>
        <v>S</v>
      </c>
      <c r="W124" s="3">
        <v>137</v>
      </c>
      <c r="X124" s="3" t="str">
        <f>IFERROR(MID(VLOOKUP($B124,Seqs!$A:$B,2,0),Y124,1),"")</f>
        <v/>
      </c>
      <c r="Y124" s="3" t="s">
        <v>23</v>
      </c>
      <c r="Z124" s="3" t="str">
        <f>IFERROR(MID(VLOOKUP($B124,Seqs!$A:$B,2,0),AA124,1),"")</f>
        <v/>
      </c>
      <c r="AA124" s="3" t="s">
        <v>23</v>
      </c>
      <c r="AB124" s="3" t="str">
        <f>IFERROR(MID(VLOOKUP($B124,Seqs!$A:$B,2,0),AC124,1),"")</f>
        <v>T</v>
      </c>
      <c r="AC124" s="9">
        <v>146</v>
      </c>
      <c r="AD124" s="3" t="str">
        <f>IFERROR(MID(VLOOKUP($B124,Seqs!$A:$B,2,0),AE124,1),"")</f>
        <v>H</v>
      </c>
      <c r="AE124" s="3">
        <v>172</v>
      </c>
      <c r="AF124" s="3" t="str">
        <f>IFERROR(MID(VLOOKUP($B124,Seqs!$A:$B,2,0),AG124,1),"")</f>
        <v>C</v>
      </c>
      <c r="AG124" s="3">
        <v>191</v>
      </c>
      <c r="AH124" s="3" t="str">
        <f>IFERROR(MID(VLOOKUP($B124,Seqs!$A:$B,2,0),AI124,1),"")</f>
        <v>F</v>
      </c>
      <c r="AI124" s="3">
        <v>193</v>
      </c>
      <c r="AJ124" s="3" t="str">
        <f>IFERROR(MID(VLOOKUP($B124,Seqs!$A:$B,2,0),AK124,1),"")</f>
        <v>N</v>
      </c>
      <c r="AK124" s="3">
        <v>196</v>
      </c>
      <c r="AL124" s="3" t="str">
        <f>IFERROR(MID(VLOOKUP($B124,Seqs!$A:$B,2,0),AM124,1),"")</f>
        <v>Q</v>
      </c>
      <c r="AM124" s="3">
        <v>229</v>
      </c>
      <c r="AN124" s="3" t="str">
        <f>IFERROR(MID(VLOOKUP($B124,Seqs!$A:$B,2,0),AO124,1),"")</f>
        <v>K</v>
      </c>
      <c r="AO124" s="3">
        <v>267</v>
      </c>
      <c r="AP124" s="3" t="str">
        <f>IFERROR(MID(VLOOKUP($B124,Seqs!$A:$B,2,0),AQ124,1),"")</f>
        <v>Q</v>
      </c>
      <c r="AQ124" s="3">
        <v>299</v>
      </c>
      <c r="AR124" s="3" t="str">
        <f>IFERROR(MID(VLOOKUP($B124,Seqs!$A:$B,2,0),AS124,1),"")</f>
        <v>R</v>
      </c>
      <c r="AS124" s="3">
        <v>304</v>
      </c>
      <c r="AT124" s="3" t="str">
        <f>IFERROR(MID(VLOOKUP($B124,Seqs!$A:$B,2,0),AU124,1),"")</f>
        <v>R</v>
      </c>
      <c r="AU124" s="3">
        <v>328</v>
      </c>
      <c r="AV124" s="3" t="str">
        <f>IFERROR(MID(VLOOKUP($B124,Seqs!$A:$B,2,0),AW124,1),"")</f>
        <v>S</v>
      </c>
      <c r="AW124" s="3">
        <v>329</v>
      </c>
      <c r="AX124" s="3" t="str">
        <f>IFERROR(MID(VLOOKUP($B124,Seqs!$A:$B,2,0),AY124,1),"")</f>
        <v>C</v>
      </c>
      <c r="AY124" s="3">
        <v>341</v>
      </c>
      <c r="AZ124" s="77" t="str">
        <f>VLOOKUP(B124,Classification!A:D,2,0)</f>
        <v>A</v>
      </c>
      <c r="BA124" s="94" t="str">
        <f>VLOOKUP(B124,Classification!A:D,4,0)</f>
        <v>Adrenoceptors</v>
      </c>
      <c r="BB124" s="27" t="b">
        <f t="shared" si="812"/>
        <v>1</v>
      </c>
      <c r="BC124" s="23">
        <f t="shared" si="589"/>
        <v>244</v>
      </c>
      <c r="BD124" s="4" t="s">
        <v>23</v>
      </c>
      <c r="BE124" s="3" t="s">
        <v>1375</v>
      </c>
      <c r="BF124" s="119">
        <v>3.2</v>
      </c>
      <c r="BG124" s="49" t="s">
        <v>1</v>
      </c>
      <c r="BH124" s="49" t="s">
        <v>1378</v>
      </c>
      <c r="BI124" s="1"/>
      <c r="BJ124" s="70" t="s">
        <v>1288</v>
      </c>
      <c r="BK124" s="57" t="s">
        <v>1288</v>
      </c>
      <c r="BL124" s="57" t="s">
        <v>1288</v>
      </c>
      <c r="BM124" s="57" t="s">
        <v>1288</v>
      </c>
      <c r="BN124" s="57" t="s">
        <v>1288</v>
      </c>
      <c r="BO124" s="57" t="s">
        <v>1288</v>
      </c>
      <c r="BP124" s="57" t="s">
        <v>1288</v>
      </c>
      <c r="BQ124" s="57" t="s">
        <v>1288</v>
      </c>
      <c r="BR124" s="57" t="s">
        <v>1288</v>
      </c>
      <c r="BS124" s="57" t="s">
        <v>1288</v>
      </c>
      <c r="BT124" s="57" t="s">
        <v>1288</v>
      </c>
      <c r="BU124" s="57" t="s">
        <v>1288</v>
      </c>
      <c r="BV124" s="70">
        <f t="shared" si="590"/>
        <v>29</v>
      </c>
      <c r="BW124" s="71">
        <f t="shared" si="591"/>
        <v>62</v>
      </c>
      <c r="BX124" s="72">
        <f t="shared" si="592"/>
        <v>66</v>
      </c>
      <c r="BY124" s="71">
        <f t="shared" si="593"/>
        <v>98</v>
      </c>
      <c r="BZ124" s="72">
        <f t="shared" si="594"/>
        <v>102</v>
      </c>
      <c r="CA124" s="71" t="str">
        <f t="shared" si="595"/>
        <v>-</v>
      </c>
      <c r="CB124" s="72">
        <f t="shared" si="596"/>
        <v>146</v>
      </c>
      <c r="CC124" s="71">
        <f t="shared" si="597"/>
        <v>191</v>
      </c>
      <c r="CD124" s="72">
        <f t="shared" si="598"/>
        <v>196</v>
      </c>
      <c r="CE124" s="71">
        <f t="shared" si="599"/>
        <v>267</v>
      </c>
      <c r="CF124" s="72">
        <f t="shared" si="600"/>
        <v>304</v>
      </c>
      <c r="CG124" s="71">
        <f t="shared" si="601"/>
        <v>329</v>
      </c>
      <c r="CH124" s="70">
        <f t="shared" si="602"/>
        <v>61</v>
      </c>
      <c r="CI124" s="71">
        <f t="shared" si="603"/>
        <v>65</v>
      </c>
      <c r="CJ124" s="72">
        <f t="shared" si="604"/>
        <v>96</v>
      </c>
      <c r="CK124" s="72">
        <f t="shared" si="605"/>
        <v>101</v>
      </c>
      <c r="CL124" s="72">
        <f t="shared" si="606"/>
        <v>137</v>
      </c>
      <c r="CM124" s="72" t="str">
        <f t="shared" si="607"/>
        <v>-</v>
      </c>
      <c r="CN124" s="72">
        <f t="shared" si="608"/>
        <v>172</v>
      </c>
      <c r="CO124" s="72">
        <f t="shared" si="609"/>
        <v>193</v>
      </c>
      <c r="CP124" s="72">
        <f t="shared" si="610"/>
        <v>229</v>
      </c>
      <c r="CQ124" s="72">
        <f t="shared" si="611"/>
        <v>299</v>
      </c>
      <c r="CR124" s="72">
        <f t="shared" si="612"/>
        <v>328</v>
      </c>
      <c r="CS124" s="72">
        <f t="shared" si="613"/>
        <v>341</v>
      </c>
      <c r="CT124" s="23">
        <f t="shared" si="614"/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x14ac:dyDescent="0.2">
      <c r="A125" s="3" t="str">
        <f t="shared" si="811"/>
        <v>adrb2_human_5JQH</v>
      </c>
      <c r="B125" s="3" t="s">
        <v>126</v>
      </c>
      <c r="C125" s="3" t="s">
        <v>1345</v>
      </c>
      <c r="D125" s="3" t="str">
        <f>IFERROR(MID(VLOOKUP($B125,Seqs!$A:$B,2,0),E125,1),"")</f>
        <v/>
      </c>
      <c r="E125" s="3">
        <v>1023</v>
      </c>
      <c r="F125" s="3" t="str">
        <f>IFERROR(MID(VLOOKUP($B125,Seqs!$A:$B,2,0),G125,1),"")</f>
        <v/>
      </c>
      <c r="G125" s="3">
        <v>1061</v>
      </c>
      <c r="H125" s="3" t="str">
        <f>IFERROR(MID(VLOOKUP($B125,Seqs!$A:$B,2,0),I125,1),"")</f>
        <v/>
      </c>
      <c r="I125" s="23">
        <v>1062</v>
      </c>
      <c r="J125" s="3" t="str">
        <f>IFERROR(MID(VLOOKUP($B125,Seqs!$A:$B,2,0),K125,1),"")</f>
        <v/>
      </c>
      <c r="K125" s="23">
        <v>1065</v>
      </c>
      <c r="L125" s="3" t="str">
        <f>IFERROR(MID(VLOOKUP($B125,Seqs!$A:$B,2,0),M125,1),"")</f>
        <v/>
      </c>
      <c r="M125" s="3">
        <v>1066</v>
      </c>
      <c r="N125" s="3" t="str">
        <f>IFERROR(MID(VLOOKUP($B125,Seqs!$A:$B,2,0),O125,1),"")</f>
        <v/>
      </c>
      <c r="O125" s="3">
        <v>1096</v>
      </c>
      <c r="P125" s="3" t="str">
        <f>IFERROR(MID(VLOOKUP($B125,Seqs!$A:$B,2,0),Q125,1),"")</f>
        <v/>
      </c>
      <c r="Q125" s="3">
        <v>1098</v>
      </c>
      <c r="R125" s="3" t="str">
        <f>IFERROR(MID(VLOOKUP($B125,Seqs!$A:$B,2,0),S125,1),"")</f>
        <v/>
      </c>
      <c r="S125" s="3">
        <v>1101</v>
      </c>
      <c r="T125" s="3" t="str">
        <f>IFERROR(MID(VLOOKUP($B125,Seqs!$A:$B,2,0),U125,1),"")</f>
        <v/>
      </c>
      <c r="U125" s="3">
        <v>1102</v>
      </c>
      <c r="V125" s="3" t="str">
        <f>IFERROR(MID(VLOOKUP($B125,Seqs!$A:$B,2,0),W125,1),"")</f>
        <v/>
      </c>
      <c r="W125" s="3">
        <v>1137</v>
      </c>
      <c r="X125" s="3" t="str">
        <f>IFERROR(MID(VLOOKUP($B125,Seqs!$A:$B,2,0),Y125,1),"")</f>
        <v/>
      </c>
      <c r="Y125" s="3" t="s">
        <v>23</v>
      </c>
      <c r="Z125" s="3" t="str">
        <f>IFERROR(MID(VLOOKUP($B125,Seqs!$A:$B,2,0),AA125,1),"")</f>
        <v/>
      </c>
      <c r="AA125" s="3" t="s">
        <v>23</v>
      </c>
      <c r="AB125" s="3" t="str">
        <f>IFERROR(MID(VLOOKUP($B125,Seqs!$A:$B,2,0),AC125,1),"")</f>
        <v/>
      </c>
      <c r="AC125" s="9">
        <v>1146</v>
      </c>
      <c r="AD125" s="3" t="str">
        <f>IFERROR(MID(VLOOKUP($B125,Seqs!$A:$B,2,0),AE125,1),"")</f>
        <v/>
      </c>
      <c r="AE125" s="3">
        <v>1172</v>
      </c>
      <c r="AF125" s="3" t="str">
        <f>IFERROR(MID(VLOOKUP($B125,Seqs!$A:$B,2,0),AG125,1),"")</f>
        <v/>
      </c>
      <c r="AG125" s="3">
        <v>1191</v>
      </c>
      <c r="AH125" s="3" t="str">
        <f>IFERROR(MID(VLOOKUP($B125,Seqs!$A:$B,2,0),AI125,1),"")</f>
        <v/>
      </c>
      <c r="AI125" s="3">
        <v>1193</v>
      </c>
      <c r="AJ125" s="3" t="str">
        <f>IFERROR(MID(VLOOKUP($B125,Seqs!$A:$B,2,0),AK125,1),"")</f>
        <v/>
      </c>
      <c r="AK125" s="3">
        <v>1196</v>
      </c>
      <c r="AL125" s="3" t="str">
        <f>IFERROR(MID(VLOOKUP($B125,Seqs!$A:$B,2,0),AM125,1),"")</f>
        <v/>
      </c>
      <c r="AM125" s="3">
        <v>1230</v>
      </c>
      <c r="AN125" s="3" t="str">
        <f>IFERROR(MID(VLOOKUP($B125,Seqs!$A:$B,2,0),AO125,1),"")</f>
        <v/>
      </c>
      <c r="AO125" s="3">
        <v>1271</v>
      </c>
      <c r="AP125" s="3" t="str">
        <f>IFERROR(MID(VLOOKUP($B125,Seqs!$A:$B,2,0),AQ125,1),"")</f>
        <v/>
      </c>
      <c r="AQ125" s="3">
        <v>1299</v>
      </c>
      <c r="AR125" s="3" t="str">
        <f>IFERROR(MID(VLOOKUP($B125,Seqs!$A:$B,2,0),AS125,1),"")</f>
        <v/>
      </c>
      <c r="AS125" s="3">
        <v>1304</v>
      </c>
      <c r="AT125" s="3" t="str">
        <f>IFERROR(MID(VLOOKUP($B125,Seqs!$A:$B,2,0),AU125,1),"")</f>
        <v/>
      </c>
      <c r="AU125" s="3">
        <v>1328</v>
      </c>
      <c r="AV125" s="3" t="str">
        <f>IFERROR(MID(VLOOKUP($B125,Seqs!$A:$B,2,0),AW125,1),"")</f>
        <v/>
      </c>
      <c r="AW125" s="3">
        <v>1329</v>
      </c>
      <c r="AX125" s="3" t="str">
        <f>IFERROR(MID(VLOOKUP($B125,Seqs!$A:$B,2,0),AY125,1),"")</f>
        <v/>
      </c>
      <c r="AY125" s="3">
        <v>1341</v>
      </c>
      <c r="AZ125" s="77" t="str">
        <f>VLOOKUP(B125,Classification!A:D,2,0)</f>
        <v>A</v>
      </c>
      <c r="BA125" s="94" t="str">
        <f>VLOOKUP(B125,Classification!A:D,4,0)</f>
        <v>Adrenoceptors</v>
      </c>
      <c r="BB125" s="27" t="b">
        <f t="shared" si="812"/>
        <v>1</v>
      </c>
      <c r="BC125" s="23">
        <f t="shared" si="589"/>
        <v>247</v>
      </c>
      <c r="BD125" s="74" t="s">
        <v>1377</v>
      </c>
      <c r="BE125" s="3" t="s">
        <v>1375</v>
      </c>
      <c r="BF125" s="119">
        <v>3.2</v>
      </c>
      <c r="BG125" s="49" t="s">
        <v>1282</v>
      </c>
      <c r="BH125" s="49" t="s">
        <v>1378</v>
      </c>
      <c r="BI125" s="1"/>
      <c r="BJ125" s="70" t="s">
        <v>1288</v>
      </c>
      <c r="BK125" s="57" t="s">
        <v>1288</v>
      </c>
      <c r="BL125" s="57" t="s">
        <v>1288</v>
      </c>
      <c r="BM125" s="57" t="s">
        <v>1288</v>
      </c>
      <c r="BN125" s="57" t="s">
        <v>1288</v>
      </c>
      <c r="BO125" s="57" t="s">
        <v>1288</v>
      </c>
      <c r="BP125" s="57" t="s">
        <v>1288</v>
      </c>
      <c r="BQ125" s="57" t="s">
        <v>1288</v>
      </c>
      <c r="BR125" s="57" t="s">
        <v>1288</v>
      </c>
      <c r="BS125" s="57" t="s">
        <v>1288</v>
      </c>
      <c r="BT125" s="57" t="s">
        <v>1288</v>
      </c>
      <c r="BU125" s="57" t="s">
        <v>1288</v>
      </c>
      <c r="BV125" s="70">
        <f t="shared" si="590"/>
        <v>1023</v>
      </c>
      <c r="BW125" s="71">
        <f t="shared" si="591"/>
        <v>1062</v>
      </c>
      <c r="BX125" s="72">
        <f t="shared" si="592"/>
        <v>1066</v>
      </c>
      <c r="BY125" s="71">
        <f t="shared" si="593"/>
        <v>1098</v>
      </c>
      <c r="BZ125" s="72">
        <f t="shared" si="594"/>
        <v>1102</v>
      </c>
      <c r="CA125" s="71" t="str">
        <f t="shared" si="595"/>
        <v>-</v>
      </c>
      <c r="CB125" s="72">
        <f t="shared" si="596"/>
        <v>1146</v>
      </c>
      <c r="CC125" s="71">
        <f t="shared" si="597"/>
        <v>1191</v>
      </c>
      <c r="CD125" s="72">
        <f t="shared" si="598"/>
        <v>1196</v>
      </c>
      <c r="CE125" s="71">
        <f t="shared" si="599"/>
        <v>1271</v>
      </c>
      <c r="CF125" s="72">
        <f t="shared" si="600"/>
        <v>1304</v>
      </c>
      <c r="CG125" s="71">
        <f t="shared" si="601"/>
        <v>1329</v>
      </c>
      <c r="CH125" s="70">
        <f t="shared" si="602"/>
        <v>1061</v>
      </c>
      <c r="CI125" s="71">
        <f t="shared" si="603"/>
        <v>1065</v>
      </c>
      <c r="CJ125" s="72">
        <f t="shared" si="604"/>
        <v>1096</v>
      </c>
      <c r="CK125" s="72">
        <f t="shared" si="605"/>
        <v>1101</v>
      </c>
      <c r="CL125" s="72">
        <f t="shared" si="606"/>
        <v>1137</v>
      </c>
      <c r="CM125" s="72" t="str">
        <f t="shared" si="607"/>
        <v>-</v>
      </c>
      <c r="CN125" s="72">
        <f t="shared" si="608"/>
        <v>1172</v>
      </c>
      <c r="CO125" s="72">
        <f t="shared" si="609"/>
        <v>1193</v>
      </c>
      <c r="CP125" s="72">
        <f t="shared" si="610"/>
        <v>1230</v>
      </c>
      <c r="CQ125" s="72">
        <f t="shared" si="611"/>
        <v>1299</v>
      </c>
      <c r="CR125" s="72">
        <f t="shared" si="612"/>
        <v>1328</v>
      </c>
      <c r="CS125" s="72">
        <f t="shared" si="613"/>
        <v>1341</v>
      </c>
      <c r="CT125" s="23">
        <f t="shared" si="614"/>
        <v>1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x14ac:dyDescent="0.2">
      <c r="A126" s="3" t="str">
        <f>CONCATENATE(B126,"_",C126)</f>
        <v>adrb2_human_5X7D</v>
      </c>
      <c r="B126" s="3" t="s">
        <v>126</v>
      </c>
      <c r="C126" s="3" t="s">
        <v>1438</v>
      </c>
      <c r="D126" s="3" t="str">
        <f>IFERROR(MID(VLOOKUP($B126,Seqs!$A:$B,2,0),E126,1),"")</f>
        <v>V</v>
      </c>
      <c r="E126" s="3">
        <v>33</v>
      </c>
      <c r="F126" s="3" t="str">
        <f>IFERROR(MID(VLOOKUP($B126,Seqs!$A:$B,2,0),G126,1),"")</f>
        <v>F</v>
      </c>
      <c r="G126" s="3">
        <v>61</v>
      </c>
      <c r="H126" s="3" t="str">
        <f>IFERROR(MID(VLOOKUP($B126,Seqs!$A:$B,2,0),I126,1),"")</f>
        <v>E</v>
      </c>
      <c r="I126" s="23">
        <v>62</v>
      </c>
      <c r="J126" s="3" t="str">
        <f>IFERROR(MID(VLOOKUP($B126,Seqs!$A:$B,2,0),K126,1),"")</f>
        <v>Q</v>
      </c>
      <c r="K126" s="23">
        <v>65</v>
      </c>
      <c r="L126" s="3" t="str">
        <f>IFERROR(MID(VLOOKUP($B126,Seqs!$A:$B,2,0),M126,1),"")</f>
        <v>T</v>
      </c>
      <c r="M126" s="3">
        <v>66</v>
      </c>
      <c r="N126" s="3" t="str">
        <f>IFERROR(MID(VLOOKUP($B126,Seqs!$A:$B,2,0),O126,1),"")</f>
        <v>M</v>
      </c>
      <c r="O126" s="3">
        <v>96</v>
      </c>
      <c r="P126" s="3" t="str">
        <f>IFERROR(MID(VLOOKUP($B126,Seqs!$A:$B,2,0),Q126,1),"")</f>
        <v>M</v>
      </c>
      <c r="Q126" s="3">
        <v>98</v>
      </c>
      <c r="R126" s="3" t="str">
        <f>IFERROR(MID(VLOOKUP($B126,Seqs!$A:$B,2,0),S126,1),"")</f>
        <v>F</v>
      </c>
      <c r="S126" s="3">
        <v>101</v>
      </c>
      <c r="T126" s="3" t="str">
        <f>IFERROR(MID(VLOOKUP($B126,Seqs!$A:$B,2,0),U126,1),"")</f>
        <v>G</v>
      </c>
      <c r="U126" s="3">
        <v>102</v>
      </c>
      <c r="V126" s="3" t="str">
        <f>IFERROR(MID(VLOOKUP($B126,Seqs!$A:$B,2,0),W126,1),"")</f>
        <v>T</v>
      </c>
      <c r="W126" s="3">
        <v>136</v>
      </c>
      <c r="X126" s="3" t="str">
        <f>IFERROR(MID(VLOOKUP($B126,Seqs!$A:$B,2,0),Y126,1),"")</f>
        <v/>
      </c>
      <c r="Y126" s="3" t="s">
        <v>23</v>
      </c>
      <c r="Z126" s="3" t="str">
        <f>IFERROR(MID(VLOOKUP($B126,Seqs!$A:$B,2,0),AA126,1),"")</f>
        <v/>
      </c>
      <c r="AA126" s="3" t="s">
        <v>23</v>
      </c>
      <c r="AB126" s="3" t="str">
        <f>IFERROR(MID(VLOOKUP($B126,Seqs!$A:$B,2,0),AC126,1),"")</f>
        <v>T</v>
      </c>
      <c r="AC126" s="3">
        <v>146</v>
      </c>
      <c r="AD126" s="3" t="str">
        <f>IFERROR(MID(VLOOKUP($B126,Seqs!$A:$B,2,0),AE126,1),"")</f>
        <v>H</v>
      </c>
      <c r="AE126" s="3">
        <v>172</v>
      </c>
      <c r="AF126" s="3" t="str">
        <f>IFERROR(MID(VLOOKUP($B126,Seqs!$A:$B,2,0),AG126,1),"")</f>
        <v>C</v>
      </c>
      <c r="AG126" s="3">
        <v>191</v>
      </c>
      <c r="AH126" s="3" t="str">
        <f>IFERROR(MID(VLOOKUP($B126,Seqs!$A:$B,2,0),AI126,1),"")</f>
        <v>F</v>
      </c>
      <c r="AI126" s="3">
        <v>193</v>
      </c>
      <c r="AJ126" s="3" t="str">
        <f>IFERROR(MID(VLOOKUP($B126,Seqs!$A:$B,2,0),AK126,1),"")</f>
        <v>N</v>
      </c>
      <c r="AK126" s="3">
        <v>196</v>
      </c>
      <c r="AL126" s="3" t="str">
        <f>IFERROR(MID(VLOOKUP($B126,Seqs!$A:$B,2,0),AM126,1),"")</f>
        <v>L</v>
      </c>
      <c r="AM126" s="3">
        <v>230</v>
      </c>
      <c r="AN126" s="3" t="str">
        <f>IFERROR(MID(VLOOKUP($B126,Seqs!$A:$B,2,0),AO126,1),"")</f>
        <v>A</v>
      </c>
      <c r="AO126" s="3">
        <v>271</v>
      </c>
      <c r="AP126" s="3" t="str">
        <f>IFERROR(MID(VLOOKUP($B126,Seqs!$A:$B,2,0),AQ126,1),"")</f>
        <v>Q</v>
      </c>
      <c r="AQ126" s="3">
        <v>299</v>
      </c>
      <c r="AR126" s="3" t="str">
        <f>IFERROR(MID(VLOOKUP($B126,Seqs!$A:$B,2,0),AS126,1),"")</f>
        <v>R</v>
      </c>
      <c r="AS126" s="3">
        <v>304</v>
      </c>
      <c r="AT126" s="3" t="str">
        <f>IFERROR(MID(VLOOKUP($B126,Seqs!$A:$B,2,0),AU126,1),"")</f>
        <v>R</v>
      </c>
      <c r="AU126" s="3">
        <v>328</v>
      </c>
      <c r="AV126" s="3" t="str">
        <f>IFERROR(MID(VLOOKUP($B126,Seqs!$A:$B,2,0),AW126,1),"")</f>
        <v>S</v>
      </c>
      <c r="AW126" s="3">
        <v>329</v>
      </c>
      <c r="AX126" s="3" t="str">
        <f>IFERROR(MID(VLOOKUP($B126,Seqs!$A:$B,2,0),AY126,1),"")</f>
        <v>C</v>
      </c>
      <c r="AY126" s="3">
        <v>341</v>
      </c>
      <c r="AZ126" s="77" t="str">
        <f>VLOOKUP(B126,Classification!A:D,2,0)</f>
        <v>A</v>
      </c>
      <c r="BA126" s="94" t="str">
        <f>VLOOKUP(B126,Classification!A:D,4,0)</f>
        <v>Adrenoceptors</v>
      </c>
      <c r="BB126" s="27" t="b">
        <f>AND(E126&lt;G126,OR(G126&lt;I126,I126="-"),OR(I126&lt;K126,I126="-"),OR(K126&lt;M126,K126="-"),M126&lt;O126,OR(O126&lt;Q126,Q126="-"),OR(Q126&lt;S126,Q126="-"),OR(S126&lt;U126,S126="-"),U126&lt;W126,OR(W126&lt;Y126,Y126="-"),OR(Y126&lt;AA126,Y126="-"),OR(AA126&lt;AC126,AA126="-"),AC126&lt;AE126,OR(AE126&lt;AG126,AG126="-"),OR(AG126&lt;AI126,AG126="-"),OR(AI126&lt;AK126,AI126="-"),AK126&lt;AM126,AM126&lt;AO126,AO126&lt;AQ126,AQ126&lt;AS126,AS126&lt;AU126,OR(AU126&lt;AW126,AW126="-"),OR(AW126&lt;AY126,AW126="-"))</f>
        <v>1</v>
      </c>
      <c r="BC126" s="23">
        <f>_xlfn.AGGREGATE(9,6,CH126:CS126)-_xlfn.AGGREGATE(9,6,BV126:CG126)+12</f>
        <v>236</v>
      </c>
      <c r="BD126" s="74" t="s">
        <v>23</v>
      </c>
      <c r="BE126" s="3" t="s">
        <v>1375</v>
      </c>
      <c r="BF126" s="119">
        <v>4.2</v>
      </c>
      <c r="BG126" s="49" t="s">
        <v>1282</v>
      </c>
      <c r="BH126" s="49" t="s">
        <v>1378</v>
      </c>
      <c r="BI126" s="1"/>
      <c r="BJ126" s="70" t="s">
        <v>1288</v>
      </c>
      <c r="BK126" s="57" t="s">
        <v>1288</v>
      </c>
      <c r="BL126" s="57" t="s">
        <v>1288</v>
      </c>
      <c r="BM126" s="57" t="s">
        <v>1288</v>
      </c>
      <c r="BN126" s="57" t="s">
        <v>1288</v>
      </c>
      <c r="BO126" s="57" t="s">
        <v>1288</v>
      </c>
      <c r="BP126" s="57" t="s">
        <v>1288</v>
      </c>
      <c r="BQ126" s="57" t="s">
        <v>1288</v>
      </c>
      <c r="BR126" s="57" t="s">
        <v>1288</v>
      </c>
      <c r="BS126" s="57" t="s">
        <v>1288</v>
      </c>
      <c r="BT126" s="57" t="s">
        <v>1288</v>
      </c>
      <c r="BU126" s="57" t="s">
        <v>1288</v>
      </c>
      <c r="BV126" s="70">
        <f>E126</f>
        <v>33</v>
      </c>
      <c r="BW126" s="71">
        <f>I126</f>
        <v>62</v>
      </c>
      <c r="BX126" s="72">
        <f>M126</f>
        <v>66</v>
      </c>
      <c r="BY126" s="71">
        <f>Q126</f>
        <v>98</v>
      </c>
      <c r="BZ126" s="72">
        <f>U126</f>
        <v>102</v>
      </c>
      <c r="CA126" s="71" t="str">
        <f>Y126</f>
        <v>-</v>
      </c>
      <c r="CB126" s="72">
        <f>AC126</f>
        <v>146</v>
      </c>
      <c r="CC126" s="71">
        <f>AG126</f>
        <v>191</v>
      </c>
      <c r="CD126" s="72">
        <f>AK126</f>
        <v>196</v>
      </c>
      <c r="CE126" s="71">
        <f>AO126</f>
        <v>271</v>
      </c>
      <c r="CF126" s="72">
        <f>AS126</f>
        <v>304</v>
      </c>
      <c r="CG126" s="71">
        <f>AW126</f>
        <v>329</v>
      </c>
      <c r="CH126" s="70">
        <f>G126</f>
        <v>61</v>
      </c>
      <c r="CI126" s="71">
        <f>K126</f>
        <v>65</v>
      </c>
      <c r="CJ126" s="72">
        <f>O126</f>
        <v>96</v>
      </c>
      <c r="CK126" s="72">
        <f>S126</f>
        <v>101</v>
      </c>
      <c r="CL126" s="72">
        <f>W126</f>
        <v>136</v>
      </c>
      <c r="CM126" s="72" t="str">
        <f>AA126</f>
        <v>-</v>
      </c>
      <c r="CN126" s="72">
        <f>AE126</f>
        <v>172</v>
      </c>
      <c r="CO126" s="72">
        <f>AI126</f>
        <v>193</v>
      </c>
      <c r="CP126" s="72">
        <f>AM126</f>
        <v>230</v>
      </c>
      <c r="CQ126" s="72">
        <f>AQ126</f>
        <v>299</v>
      </c>
      <c r="CR126" s="72">
        <f>AU126</f>
        <v>328</v>
      </c>
      <c r="CS126" s="72">
        <f>AY126</f>
        <v>341</v>
      </c>
      <c r="CT126" s="23">
        <f>M126-K126</f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x14ac:dyDescent="0.2">
      <c r="A127" s="9" t="str">
        <f>CONCATENATE(B127,"_",C127)</f>
        <v>adrb2_human_6E67</v>
      </c>
      <c r="B127" s="9" t="s">
        <v>126</v>
      </c>
      <c r="C127" s="131" t="s">
        <v>1580</v>
      </c>
      <c r="D127" s="9" t="str">
        <f>IFERROR(MID(VLOOKUP($B127,Seqs!$A:$B,2,0),E127,1),"")</f>
        <v>D</v>
      </c>
      <c r="E127" s="9">
        <v>29</v>
      </c>
      <c r="F127" s="9" t="str">
        <f>IFERROR(MID(VLOOKUP($B127,Seqs!$A:$B,2,0),G127,1),"")</f>
        <v>K</v>
      </c>
      <c r="G127" s="9">
        <v>60</v>
      </c>
      <c r="H127" s="9" t="str">
        <f>IFERROR(MID(VLOOKUP($B127,Seqs!$A:$B,2,0),I127,1),"")</f>
        <v>E</v>
      </c>
      <c r="I127" s="109">
        <v>62</v>
      </c>
      <c r="J127" s="9" t="str">
        <f>IFERROR(MID(VLOOKUP($B127,Seqs!$A:$B,2,0),K127,1),"")</f>
        <v>Q</v>
      </c>
      <c r="K127" s="109">
        <v>65</v>
      </c>
      <c r="L127" s="9" t="str">
        <f>IFERROR(MID(VLOOKUP($B127,Seqs!$A:$B,2,0),M127,1),"")</f>
        <v>T</v>
      </c>
      <c r="M127" s="9">
        <v>66</v>
      </c>
      <c r="N127" s="9" t="str">
        <f>IFERROR(MID(VLOOKUP($B127,Seqs!$A:$B,2,0),O127,1),"")</f>
        <v>K</v>
      </c>
      <c r="O127" s="9">
        <v>97</v>
      </c>
      <c r="P127" s="9" t="str">
        <f>IFERROR(MID(VLOOKUP($B127,Seqs!$A:$B,2,0),Q127,1),"")</f>
        <v>M</v>
      </c>
      <c r="Q127" s="9">
        <v>98</v>
      </c>
      <c r="R127" s="9" t="str">
        <f>IFERROR(MID(VLOOKUP($B127,Seqs!$A:$B,2,0),S127,1),"")</f>
        <v>F</v>
      </c>
      <c r="S127" s="9">
        <v>101</v>
      </c>
      <c r="T127" s="9" t="str">
        <f>IFERROR(MID(VLOOKUP($B127,Seqs!$A:$B,2,0),U127,1),"")</f>
        <v>G</v>
      </c>
      <c r="U127" s="9">
        <v>102</v>
      </c>
      <c r="V127" s="9" t="str">
        <f>IFERROR(MID(VLOOKUP($B127,Seqs!$A:$B,2,0),W127,1),"")</f>
        <v>S</v>
      </c>
      <c r="W127" s="9">
        <v>137</v>
      </c>
      <c r="X127" s="9" t="str">
        <f>IFERROR(MID(VLOOKUP($B127,Seqs!$A:$B,2,0),Y127,1),"")</f>
        <v>P</v>
      </c>
      <c r="Y127" s="9">
        <v>138</v>
      </c>
      <c r="Z127" s="9" t="str">
        <f>IFERROR(MID(VLOOKUP($B127,Seqs!$A:$B,2,0),AA127,1),"")</f>
        <v>L</v>
      </c>
      <c r="AA127" s="9">
        <v>145</v>
      </c>
      <c r="AB127" s="9" t="str">
        <f>IFERROR(MID(VLOOKUP($B127,Seqs!$A:$B,2,0),AC127,1),"")</f>
        <v>T</v>
      </c>
      <c r="AC127" s="9">
        <v>146</v>
      </c>
      <c r="AD127" s="9" t="str">
        <f>IFERROR(MID(VLOOKUP($B127,Seqs!$A:$B,2,0),AE127,1),"")</f>
        <v>H</v>
      </c>
      <c r="AE127" s="9">
        <v>172</v>
      </c>
      <c r="AF127" s="9" t="str">
        <f>IFERROR(MID(VLOOKUP($B127,Seqs!$A:$B,2,0),AG127,1),"")</f>
        <v>C</v>
      </c>
      <c r="AG127" s="9">
        <v>191</v>
      </c>
      <c r="AH127" s="9" t="str">
        <f>IFERROR(MID(VLOOKUP($B127,Seqs!$A:$B,2,0),AI127,1),"")</f>
        <v>F</v>
      </c>
      <c r="AI127" s="9">
        <v>193</v>
      </c>
      <c r="AJ127" s="9" t="str">
        <f>IFERROR(MID(VLOOKUP($B127,Seqs!$A:$B,2,0),AK127,1),"")</f>
        <v>N</v>
      </c>
      <c r="AK127" s="9">
        <v>196</v>
      </c>
      <c r="AL127" s="9" t="str">
        <f>IFERROR(MID(VLOOKUP($B127,Seqs!$A:$B,2,0),AM127,1),"")</f>
        <v>A</v>
      </c>
      <c r="AM127" s="9">
        <v>226</v>
      </c>
      <c r="AN127" s="9" t="str">
        <f>IFERROR(MID(VLOOKUP($B127,Seqs!$A:$B,2,0),AO127,1),"")</f>
        <v>E</v>
      </c>
      <c r="AO127" s="9">
        <v>268</v>
      </c>
      <c r="AP127" s="9" t="str">
        <f>IFERROR(MID(VLOOKUP($B127,Seqs!$A:$B,2,0),AQ127,1),"")</f>
        <v>Q</v>
      </c>
      <c r="AQ127" s="9">
        <v>299</v>
      </c>
      <c r="AR127" s="9" t="str">
        <f>IFERROR(MID(VLOOKUP($B127,Seqs!$A:$B,2,0),AS127,1),"")</f>
        <v>R</v>
      </c>
      <c r="AS127" s="9">
        <v>304</v>
      </c>
      <c r="AT127" s="9" t="str">
        <f>IFERROR(MID(VLOOKUP($B127,Seqs!$A:$B,2,0),AU127,1),"")</f>
        <v>P</v>
      </c>
      <c r="AU127" s="9">
        <v>323</v>
      </c>
      <c r="AV127" s="9" t="str">
        <f>IFERROR(MID(VLOOKUP($B127,Seqs!$A:$B,2,0),AW127,1),"")</f>
        <v>S</v>
      </c>
      <c r="AW127" s="9">
        <v>329</v>
      </c>
      <c r="AX127" s="9" t="str">
        <f>IFERROR(MID(VLOOKUP($B127,Seqs!$A:$B,2,0),AY127,1),"")</f>
        <v>L</v>
      </c>
      <c r="AY127" s="9">
        <v>340</v>
      </c>
      <c r="AZ127" s="110" t="str">
        <f>VLOOKUP(B127,Classification!A:D,2,0)</f>
        <v>A</v>
      </c>
      <c r="BA127" s="98" t="str">
        <f>VLOOKUP(B127,Classification!A:D,4,0)</f>
        <v>Adrenoceptors</v>
      </c>
      <c r="BB127" s="36" t="b">
        <f>AND(E127&lt;G127,OR(G127&lt;I127,I127="-"),OR(I127&lt;K127,I127="-"),OR(K127&lt;M127,K127="-"),M127&lt;O127,OR(O127&lt;Q127,Q127="-"),OR(Q127&lt;S127,Q127="-"),OR(S127&lt;U127,S127="-"),U127&lt;W127,OR(W127&lt;Y127,Y127="-"),OR(Y127&lt;AA127,Y127="-"),OR(AA127&lt;AC127,AA127="-"),AC127&lt;AE127,OR(AE127&lt;AG127,AG127="-"),OR(AG127&lt;AI127,AG127="-"),OR(AI127&lt;AK127,AI127="-"),AK127&lt;AM127,AM127&lt;AO127,AO127&lt;AQ127,AQ127&lt;AS127,AS127&lt;AU127,OR(AU127&lt;AW127,AW127="-"),OR(AW127&lt;AY127,AW127="-"))</f>
        <v>1</v>
      </c>
      <c r="BC127" s="109">
        <f>_xlfn.AGGREGATE(9,6,CH127:CS127)-_xlfn.AGGREGATE(9,6,BV127:CG127)+12</f>
        <v>241</v>
      </c>
      <c r="BD127" s="124" t="s">
        <v>23</v>
      </c>
      <c r="BE127" s="9" t="s">
        <v>1292</v>
      </c>
      <c r="BF127" s="120">
        <v>3.7</v>
      </c>
      <c r="BG127" s="51" t="s">
        <v>1282</v>
      </c>
      <c r="BH127" s="51" t="s">
        <v>1282</v>
      </c>
      <c r="BI127" s="12"/>
      <c r="BJ127" s="111" t="s">
        <v>1288</v>
      </c>
      <c r="BK127" s="112" t="s">
        <v>1288</v>
      </c>
      <c r="BL127" s="112" t="s">
        <v>1288</v>
      </c>
      <c r="BM127" s="112" t="s">
        <v>1288</v>
      </c>
      <c r="BN127" s="112" t="s">
        <v>1288</v>
      </c>
      <c r="BO127" s="112" t="s">
        <v>1288</v>
      </c>
      <c r="BP127" s="112" t="s">
        <v>1288</v>
      </c>
      <c r="BQ127" s="112" t="s">
        <v>1288</v>
      </c>
      <c r="BR127" s="112" t="s">
        <v>1288</v>
      </c>
      <c r="BS127" s="112" t="s">
        <v>1288</v>
      </c>
      <c r="BT127" s="112" t="s">
        <v>1288</v>
      </c>
      <c r="BU127" s="112" t="s">
        <v>1288</v>
      </c>
      <c r="BV127" s="111">
        <f>E127</f>
        <v>29</v>
      </c>
      <c r="BW127" s="113">
        <f>I127</f>
        <v>62</v>
      </c>
      <c r="BX127" s="114">
        <f>M127</f>
        <v>66</v>
      </c>
      <c r="BY127" s="113">
        <f>Q127</f>
        <v>98</v>
      </c>
      <c r="BZ127" s="114">
        <f>U127</f>
        <v>102</v>
      </c>
      <c r="CA127" s="113">
        <f>Y127</f>
        <v>138</v>
      </c>
      <c r="CB127" s="114">
        <f>AC127</f>
        <v>146</v>
      </c>
      <c r="CC127" s="113">
        <f>AG127</f>
        <v>191</v>
      </c>
      <c r="CD127" s="114">
        <f>AK127</f>
        <v>196</v>
      </c>
      <c r="CE127" s="113">
        <f>AO127</f>
        <v>268</v>
      </c>
      <c r="CF127" s="114">
        <f>AS127</f>
        <v>304</v>
      </c>
      <c r="CG127" s="113">
        <f>AW127</f>
        <v>329</v>
      </c>
      <c r="CH127" s="111">
        <f>G127</f>
        <v>60</v>
      </c>
      <c r="CI127" s="113">
        <f>K127</f>
        <v>65</v>
      </c>
      <c r="CJ127" s="114">
        <f>O127</f>
        <v>97</v>
      </c>
      <c r="CK127" s="114">
        <f>S127</f>
        <v>101</v>
      </c>
      <c r="CL127" s="114">
        <f>W127</f>
        <v>137</v>
      </c>
      <c r="CM127" s="114">
        <f>AA127</f>
        <v>145</v>
      </c>
      <c r="CN127" s="114">
        <f>AE127</f>
        <v>172</v>
      </c>
      <c r="CO127" s="114">
        <f>AI127</f>
        <v>193</v>
      </c>
      <c r="CP127" s="114">
        <f>AM127</f>
        <v>226</v>
      </c>
      <c r="CQ127" s="114">
        <f>AQ127</f>
        <v>299</v>
      </c>
      <c r="CR127" s="114">
        <f>AU127</f>
        <v>323</v>
      </c>
      <c r="CS127" s="114">
        <f>AY127</f>
        <v>340</v>
      </c>
      <c r="CT127" s="109">
        <f>M127-K127</f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s="12" customFormat="1" x14ac:dyDescent="0.2">
      <c r="A128" s="9" t="str">
        <f>CONCATENATE(B128,"_",C128)</f>
        <v>adrb2_human_6MXT</v>
      </c>
      <c r="B128" s="9" t="s">
        <v>126</v>
      </c>
      <c r="C128" s="9" t="s">
        <v>1527</v>
      </c>
      <c r="D128" s="9" t="str">
        <f>IFERROR(MID(VLOOKUP($B128,Seqs!$A:$B,2,0),E128,1),"")</f>
        <v/>
      </c>
      <c r="E128" s="9">
        <v>1029</v>
      </c>
      <c r="F128" s="9" t="str">
        <f>IFERROR(MID(VLOOKUP($B128,Seqs!$A:$B,2,0),G128,1),"")</f>
        <v/>
      </c>
      <c r="G128" s="9">
        <v>1061</v>
      </c>
      <c r="H128" s="9" t="str">
        <f>IFERROR(MID(VLOOKUP($B128,Seqs!$A:$B,2,0),I128,1),"")</f>
        <v/>
      </c>
      <c r="I128" s="109">
        <v>1062</v>
      </c>
      <c r="J128" s="9" t="str">
        <f>IFERROR(MID(VLOOKUP($B128,Seqs!$A:$B,2,0),K128,1),"")</f>
        <v/>
      </c>
      <c r="K128" s="109">
        <v>1065</v>
      </c>
      <c r="L128" s="9" t="str">
        <f>IFERROR(MID(VLOOKUP($B128,Seqs!$A:$B,2,0),M128,1),"")</f>
        <v/>
      </c>
      <c r="M128" s="9">
        <v>1066</v>
      </c>
      <c r="N128" s="9" t="str">
        <f>IFERROR(MID(VLOOKUP($B128,Seqs!$A:$B,2,0),O128,1),"")</f>
        <v/>
      </c>
      <c r="O128" s="9">
        <v>1096</v>
      </c>
      <c r="P128" s="9" t="str">
        <f>IFERROR(MID(VLOOKUP($B128,Seqs!$A:$B,2,0),Q128,1),"")</f>
        <v/>
      </c>
      <c r="Q128" s="9">
        <v>1098</v>
      </c>
      <c r="R128" s="9" t="str">
        <f>IFERROR(MID(VLOOKUP($B128,Seqs!$A:$B,2,0),S128,1),"")</f>
        <v/>
      </c>
      <c r="S128" s="9">
        <v>1101</v>
      </c>
      <c r="T128" s="9" t="str">
        <f>IFERROR(MID(VLOOKUP($B128,Seqs!$A:$B,2,0),U128,1),"")</f>
        <v/>
      </c>
      <c r="U128" s="9">
        <v>1102</v>
      </c>
      <c r="V128" s="9" t="str">
        <f>IFERROR(MID(VLOOKUP($B128,Seqs!$A:$B,2,0),W128,1),"")</f>
        <v/>
      </c>
      <c r="W128" s="9">
        <v>1137</v>
      </c>
      <c r="X128" s="9" t="str">
        <f>IFERROR(MID(VLOOKUP($B128,Seqs!$A:$B,2,0),Y128,1),"")</f>
        <v/>
      </c>
      <c r="Y128" s="9">
        <v>1138</v>
      </c>
      <c r="Z128" s="9" t="str">
        <f>IFERROR(MID(VLOOKUP($B128,Seqs!$A:$B,2,0),AA128,1),"")</f>
        <v/>
      </c>
      <c r="AA128" s="9">
        <v>1145</v>
      </c>
      <c r="AB128" s="9" t="str">
        <f>IFERROR(MID(VLOOKUP($B128,Seqs!$A:$B,2,0),AC128,1),"")</f>
        <v/>
      </c>
      <c r="AC128" s="9">
        <v>1146</v>
      </c>
      <c r="AD128" s="9" t="str">
        <f>IFERROR(MID(VLOOKUP($B128,Seqs!$A:$B,2,0),AE128,1),"")</f>
        <v/>
      </c>
      <c r="AE128" s="9">
        <v>1172</v>
      </c>
      <c r="AF128" s="9" t="str">
        <f>IFERROR(MID(VLOOKUP($B128,Seqs!$A:$B,2,0),AG128,1),"")</f>
        <v/>
      </c>
      <c r="AG128" s="9">
        <v>1191</v>
      </c>
      <c r="AH128" s="9" t="str">
        <f>IFERROR(MID(VLOOKUP($B128,Seqs!$A:$B,2,0),AI128,1),"")</f>
        <v/>
      </c>
      <c r="AI128" s="9">
        <v>1193</v>
      </c>
      <c r="AJ128" s="9" t="str">
        <f>IFERROR(MID(VLOOKUP($B128,Seqs!$A:$B,2,0),AK128,1),"")</f>
        <v/>
      </c>
      <c r="AK128" s="9">
        <v>1196</v>
      </c>
      <c r="AL128" s="9" t="str">
        <f>IFERROR(MID(VLOOKUP($B128,Seqs!$A:$B,2,0),AM128,1),"")</f>
        <v/>
      </c>
      <c r="AM128" s="9">
        <v>1232</v>
      </c>
      <c r="AN128" s="9" t="str">
        <f>IFERROR(MID(VLOOKUP($B128,Seqs!$A:$B,2,0),AO128,1),"")</f>
        <v/>
      </c>
      <c r="AO128" s="9">
        <v>1265</v>
      </c>
      <c r="AP128" s="9" t="str">
        <f>IFERROR(MID(VLOOKUP($B128,Seqs!$A:$B,2,0),AQ128,1),"")</f>
        <v/>
      </c>
      <c r="AQ128" s="9">
        <v>1299</v>
      </c>
      <c r="AR128" s="9" t="str">
        <f>IFERROR(MID(VLOOKUP($B128,Seqs!$A:$B,2,0),AS128,1),"")</f>
        <v/>
      </c>
      <c r="AS128" s="9">
        <v>1304</v>
      </c>
      <c r="AT128" s="9" t="str">
        <f>IFERROR(MID(VLOOKUP($B128,Seqs!$A:$B,2,0),AU128,1),"")</f>
        <v/>
      </c>
      <c r="AU128" s="9">
        <v>1323</v>
      </c>
      <c r="AV128" s="9" t="str">
        <f>IFERROR(MID(VLOOKUP($B128,Seqs!$A:$B,2,0),AW128,1),"")</f>
        <v/>
      </c>
      <c r="AW128" s="9">
        <v>1329</v>
      </c>
      <c r="AX128" s="9" t="str">
        <f>IFERROR(MID(VLOOKUP($B128,Seqs!$A:$B,2,0),AY128,1),"")</f>
        <v/>
      </c>
      <c r="AY128" s="9">
        <v>1342</v>
      </c>
      <c r="AZ128" s="110" t="str">
        <f>VLOOKUP(B128,Classification!A:D,2,0)</f>
        <v>A</v>
      </c>
      <c r="BA128" s="98" t="str">
        <f>VLOOKUP(B128,Classification!A:D,4,0)</f>
        <v>Adrenoceptors</v>
      </c>
      <c r="BB128" s="36" t="b">
        <f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109">
        <f>_xlfn.AGGREGATE(9,6,CH128:CS128)-_xlfn.AGGREGATE(9,6,BV128:CG128)+12</f>
        <v>252</v>
      </c>
      <c r="BD128" s="124" t="s">
        <v>23</v>
      </c>
      <c r="BE128" s="9" t="s">
        <v>1292</v>
      </c>
      <c r="BF128" s="120">
        <v>2.96</v>
      </c>
      <c r="BG128" s="51" t="s">
        <v>1</v>
      </c>
      <c r="BH128" s="51" t="s">
        <v>1</v>
      </c>
      <c r="BJ128" s="111" t="s">
        <v>1288</v>
      </c>
      <c r="BK128" s="112" t="s">
        <v>1288</v>
      </c>
      <c r="BL128" s="112" t="s">
        <v>1288</v>
      </c>
      <c r="BM128" s="112" t="s">
        <v>1288</v>
      </c>
      <c r="BN128" s="112" t="s">
        <v>1288</v>
      </c>
      <c r="BO128" s="112" t="s">
        <v>1288</v>
      </c>
      <c r="BP128" s="112" t="s">
        <v>1288</v>
      </c>
      <c r="BQ128" s="112" t="s">
        <v>1288</v>
      </c>
      <c r="BR128" s="112" t="s">
        <v>1288</v>
      </c>
      <c r="BS128" s="112" t="s">
        <v>1288</v>
      </c>
      <c r="BT128" s="112" t="s">
        <v>1288</v>
      </c>
      <c r="BU128" s="112" t="s">
        <v>1288</v>
      </c>
      <c r="BV128" s="111">
        <f>E128</f>
        <v>1029</v>
      </c>
      <c r="BW128" s="113">
        <f>I128</f>
        <v>1062</v>
      </c>
      <c r="BX128" s="114">
        <f>M128</f>
        <v>1066</v>
      </c>
      <c r="BY128" s="113">
        <f>Q128</f>
        <v>1098</v>
      </c>
      <c r="BZ128" s="114">
        <f>U128</f>
        <v>1102</v>
      </c>
      <c r="CA128" s="113">
        <f>Y128</f>
        <v>1138</v>
      </c>
      <c r="CB128" s="114">
        <f>AC128</f>
        <v>1146</v>
      </c>
      <c r="CC128" s="113">
        <f>AG128</f>
        <v>1191</v>
      </c>
      <c r="CD128" s="114">
        <f>AK128</f>
        <v>1196</v>
      </c>
      <c r="CE128" s="113">
        <f>AO128</f>
        <v>1265</v>
      </c>
      <c r="CF128" s="114">
        <f>AS128</f>
        <v>1304</v>
      </c>
      <c r="CG128" s="113">
        <f>AW128</f>
        <v>1329</v>
      </c>
      <c r="CH128" s="111">
        <f>G128</f>
        <v>1061</v>
      </c>
      <c r="CI128" s="113">
        <f>K128</f>
        <v>1065</v>
      </c>
      <c r="CJ128" s="114">
        <f>O128</f>
        <v>1096</v>
      </c>
      <c r="CK128" s="114">
        <f>S128</f>
        <v>1101</v>
      </c>
      <c r="CL128" s="114">
        <f>W128</f>
        <v>1137</v>
      </c>
      <c r="CM128" s="114">
        <f>AA128</f>
        <v>1145</v>
      </c>
      <c r="CN128" s="114">
        <f>AE128</f>
        <v>1172</v>
      </c>
      <c r="CO128" s="114">
        <f>AI128</f>
        <v>1193</v>
      </c>
      <c r="CP128" s="114">
        <f>AM128</f>
        <v>1232</v>
      </c>
      <c r="CQ128" s="114">
        <f>AQ128</f>
        <v>1299</v>
      </c>
      <c r="CR128" s="114">
        <f>AU128</f>
        <v>1323</v>
      </c>
      <c r="CS128" s="114">
        <f>AY128</f>
        <v>1342</v>
      </c>
      <c r="CT128" s="109">
        <f>M128-K128</f>
        <v>1</v>
      </c>
    </row>
    <row r="129" spans="1:1029" x14ac:dyDescent="0.2">
      <c r="A129" s="3" t="str">
        <f t="shared" si="811"/>
        <v>agtr1_human__wt</v>
      </c>
      <c r="B129" s="3" t="s">
        <v>158</v>
      </c>
      <c r="C129" s="3" t="s">
        <v>100</v>
      </c>
      <c r="D129" s="3" t="str">
        <f>IFERROR(MID(VLOOKUP($B129,Seqs!$A:$B,2,0),E129,1),"")</f>
        <v>H</v>
      </c>
      <c r="E129" s="105">
        <v>24</v>
      </c>
      <c r="F129" s="3" t="str">
        <f>IFERROR(MID(VLOOKUP($B129,Seqs!$A:$B,2,0),G129,1),"")</f>
        <v>Y</v>
      </c>
      <c r="G129" s="3">
        <v>56</v>
      </c>
      <c r="H129" s="3" t="str">
        <f>IFERROR(MID(VLOOKUP($B129,Seqs!$A:$B,2,0),I129,1),"")</f>
        <v>M</v>
      </c>
      <c r="I129" s="23">
        <v>57</v>
      </c>
      <c r="J129" s="3" t="str">
        <f>IFERROR(MID(VLOOKUP($B129,Seqs!$A:$B,2,0),K129,1),"")</f>
        <v>K</v>
      </c>
      <c r="K129" s="23">
        <v>60</v>
      </c>
      <c r="L129" s="3" t="str">
        <f>IFERROR(MID(VLOOKUP($B129,Seqs!$A:$B,2,0),M129,1),"")</f>
        <v>T</v>
      </c>
      <c r="M129" s="3">
        <v>61</v>
      </c>
      <c r="N129" s="3" t="str">
        <f>IFERROR(MID(VLOOKUP($B129,Seqs!$A:$B,2,0),O129,1),"")</f>
        <v>M</v>
      </c>
      <c r="O129" s="3">
        <v>90</v>
      </c>
      <c r="P129" s="3" t="str">
        <f>IFERROR(MID(VLOOKUP($B129,Seqs!$A:$B,2,0),Q129,1),"")</f>
        <v>R</v>
      </c>
      <c r="Q129" s="3">
        <v>93</v>
      </c>
      <c r="R129" s="3" t="str">
        <f>IFERROR(MID(VLOOKUP($B129,Seqs!$A:$B,2,0),S129,1),"")</f>
        <v>F</v>
      </c>
      <c r="S129" s="3">
        <v>96</v>
      </c>
      <c r="T129" s="3" t="str">
        <f>IFERROR(MID(VLOOKUP($B129,Seqs!$A:$B,2,0),U129,1),"")</f>
        <v>G</v>
      </c>
      <c r="U129" s="3">
        <v>97</v>
      </c>
      <c r="V129" s="3" t="str">
        <f>IFERROR(MID(VLOOKUP($B129,Seqs!$A:$B,2,0),W129,1),"")</f>
        <v>H</v>
      </c>
      <c r="W129" s="3">
        <v>132</v>
      </c>
      <c r="X129" s="3" t="str">
        <f>IFERROR(MID(VLOOKUP($B129,Seqs!$A:$B,2,0),Y129,1),"")</f>
        <v>P</v>
      </c>
      <c r="Y129" s="3">
        <v>133</v>
      </c>
      <c r="Z129" s="3" t="str">
        <f>IFERROR(MID(VLOOKUP($B129,Seqs!$A:$B,2,0),AA129,1),"")</f>
        <v>R</v>
      </c>
      <c r="AA129" s="3">
        <v>140</v>
      </c>
      <c r="AB129" s="3" t="str">
        <f>IFERROR(MID(VLOOKUP($B129,Seqs!$A:$B,2,0),AC129,1),"")</f>
        <v>T</v>
      </c>
      <c r="AC129" s="9">
        <v>141</v>
      </c>
      <c r="AD129" s="3" t="str">
        <f>IFERROR(MID(VLOOKUP($B129,Seqs!$A:$B,2,0),AE129,1),"")</f>
        <v>R</v>
      </c>
      <c r="AE129" s="3">
        <v>167</v>
      </c>
      <c r="AF129" s="3" t="str">
        <f>IFERROR(MID(VLOOKUP($B129,Seqs!$A:$B,2,0),AG129,1),"")</f>
        <v>C</v>
      </c>
      <c r="AG129" s="3">
        <v>180</v>
      </c>
      <c r="AH129" s="3" t="str">
        <f>IFERROR(MID(VLOOKUP($B129,Seqs!$A:$B,2,0),AI129,1),"")</f>
        <v>F</v>
      </c>
      <c r="AI129" s="3">
        <v>182</v>
      </c>
      <c r="AJ129" s="3" t="str">
        <f>IFERROR(MID(VLOOKUP($B129,Seqs!$A:$B,2,0),AK129,1),"")</f>
        <v>L</v>
      </c>
      <c r="AK129" s="3">
        <v>191</v>
      </c>
      <c r="AL129" s="3" t="str">
        <f>IFERROR(MID(VLOOKUP($B129,Seqs!$A:$B,2,0),AM129,1),"")</f>
        <v>A</v>
      </c>
      <c r="AM129" s="3">
        <v>225</v>
      </c>
      <c r="AN129" s="3" t="str">
        <f>IFERROR(MID(VLOOKUP($B129,Seqs!$A:$B,2,0),AO129,1),"")</f>
        <v>P</v>
      </c>
      <c r="AO129" s="3">
        <v>233</v>
      </c>
      <c r="AP129" s="3" t="str">
        <f>IFERROR(MID(VLOOKUP($B129,Seqs!$A:$B,2,0),AQ129,1),"")</f>
        <v>G</v>
      </c>
      <c r="AQ129" s="3">
        <v>269</v>
      </c>
      <c r="AR129" s="3" t="str">
        <f>IFERROR(MID(VLOOKUP($B129,Seqs!$A:$B,2,0),AS129,1),"")</f>
        <v>D</v>
      </c>
      <c r="AS129" s="3">
        <v>273</v>
      </c>
      <c r="AT129" s="3" t="str">
        <f>IFERROR(MID(VLOOKUP($B129,Seqs!$A:$B,2,0),AU129,1),"")</f>
        <v>L</v>
      </c>
      <c r="AU129" s="3">
        <v>305</v>
      </c>
      <c r="AV129" s="3" t="str">
        <f>IFERROR(MID(VLOOKUP($B129,Seqs!$A:$B,2,0),AW129,1),"")</f>
        <v>G</v>
      </c>
      <c r="AW129" s="3">
        <v>306</v>
      </c>
      <c r="AX129" s="3" t="str">
        <f>IFERROR(MID(VLOOKUP($B129,Seqs!$A:$B,2,0),AY129,1),"")</f>
        <v>I</v>
      </c>
      <c r="AY129" s="3">
        <v>320</v>
      </c>
      <c r="AZ129" s="77" t="str">
        <f>VLOOKUP(B129,Classification!A:D,2,0)</f>
        <v>A</v>
      </c>
      <c r="BA129" s="94" t="str">
        <f>VLOOKUP(B129,Classification!A:D,4,0)</f>
        <v>Angiotensin</v>
      </c>
      <c r="BB129" s="27" t="b">
        <f t="shared" si="812"/>
        <v>1</v>
      </c>
      <c r="BC129" s="23">
        <f t="shared" si="589"/>
        <v>265</v>
      </c>
      <c r="BD129" s="56" t="s">
        <v>23</v>
      </c>
      <c r="BE129" s="3" t="s">
        <v>23</v>
      </c>
      <c r="BF129" s="119" t="s">
        <v>23</v>
      </c>
      <c r="BG129" s="49" t="s">
        <v>1373</v>
      </c>
      <c r="BH129" s="49" t="s">
        <v>1378</v>
      </c>
      <c r="BI129" s="1"/>
      <c r="BJ129" s="70" t="s">
        <v>1288</v>
      </c>
      <c r="BK129" s="57" t="s">
        <v>1288</v>
      </c>
      <c r="BL129" s="57" t="s">
        <v>1288</v>
      </c>
      <c r="BM129" s="57" t="s">
        <v>1288</v>
      </c>
      <c r="BN129" s="57" t="s">
        <v>1288</v>
      </c>
      <c r="BO129" s="57" t="s">
        <v>1288</v>
      </c>
      <c r="BP129" s="57" t="s">
        <v>1288</v>
      </c>
      <c r="BQ129" s="57" t="s">
        <v>1288</v>
      </c>
      <c r="BR129" s="57" t="s">
        <v>1288</v>
      </c>
      <c r="BS129" s="57" t="s">
        <v>1288</v>
      </c>
      <c r="BT129" s="57" t="s">
        <v>1288</v>
      </c>
      <c r="BU129" s="57" t="s">
        <v>1288</v>
      </c>
      <c r="BV129" s="70">
        <f t="shared" si="590"/>
        <v>24</v>
      </c>
      <c r="BW129" s="71">
        <f t="shared" si="591"/>
        <v>57</v>
      </c>
      <c r="BX129" s="72">
        <f t="shared" si="592"/>
        <v>61</v>
      </c>
      <c r="BY129" s="71">
        <f t="shared" si="593"/>
        <v>93</v>
      </c>
      <c r="BZ129" s="72">
        <f t="shared" si="594"/>
        <v>97</v>
      </c>
      <c r="CA129" s="71">
        <f t="shared" si="595"/>
        <v>133</v>
      </c>
      <c r="CB129" s="72">
        <f t="shared" si="596"/>
        <v>141</v>
      </c>
      <c r="CC129" s="71">
        <f t="shared" si="597"/>
        <v>180</v>
      </c>
      <c r="CD129" s="72">
        <f t="shared" si="598"/>
        <v>191</v>
      </c>
      <c r="CE129" s="71">
        <f t="shared" si="599"/>
        <v>233</v>
      </c>
      <c r="CF129" s="72">
        <f t="shared" si="600"/>
        <v>273</v>
      </c>
      <c r="CG129" s="71">
        <f t="shared" si="601"/>
        <v>306</v>
      </c>
      <c r="CH129" s="70">
        <f t="shared" si="602"/>
        <v>56</v>
      </c>
      <c r="CI129" s="71">
        <f t="shared" si="603"/>
        <v>60</v>
      </c>
      <c r="CJ129" s="72">
        <f t="shared" si="604"/>
        <v>90</v>
      </c>
      <c r="CK129" s="72">
        <f t="shared" si="605"/>
        <v>96</v>
      </c>
      <c r="CL129" s="72">
        <f t="shared" si="606"/>
        <v>132</v>
      </c>
      <c r="CM129" s="72">
        <f t="shared" si="607"/>
        <v>140</v>
      </c>
      <c r="CN129" s="72">
        <f t="shared" si="608"/>
        <v>167</v>
      </c>
      <c r="CO129" s="72">
        <f t="shared" si="609"/>
        <v>182</v>
      </c>
      <c r="CP129" s="72">
        <f t="shared" si="610"/>
        <v>225</v>
      </c>
      <c r="CQ129" s="72">
        <f t="shared" si="611"/>
        <v>269</v>
      </c>
      <c r="CR129" s="72">
        <f t="shared" si="612"/>
        <v>305</v>
      </c>
      <c r="CS129" s="72">
        <f t="shared" si="613"/>
        <v>320</v>
      </c>
      <c r="CT129" s="23">
        <f t="shared" si="614"/>
        <v>1</v>
      </c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/>
      <c r="QD129" s="2"/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2"/>
      <c r="RR129" s="2"/>
      <c r="RS129" s="2"/>
      <c r="RT129" s="2"/>
      <c r="RU129" s="2"/>
      <c r="RV129" s="2"/>
      <c r="RW129" s="2"/>
      <c r="RX129" s="2"/>
      <c r="RY129" s="2"/>
      <c r="RZ129" s="2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/>
      <c r="SL129" s="2"/>
      <c r="SM129" s="2"/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2"/>
      <c r="TG129" s="2"/>
      <c r="TH129" s="2"/>
      <c r="TI129" s="2"/>
      <c r="TJ129" s="2"/>
      <c r="TK129" s="2"/>
      <c r="TL129" s="2"/>
      <c r="TM129" s="2"/>
      <c r="TN129" s="2"/>
      <c r="TO129" s="2"/>
      <c r="TP129" s="2"/>
      <c r="TQ129" s="2"/>
      <c r="TR129" s="2"/>
      <c r="TS129" s="2"/>
      <c r="TT129" s="2"/>
      <c r="TU129" s="2"/>
      <c r="TV129" s="2"/>
      <c r="TW129" s="2"/>
      <c r="TX129" s="2"/>
      <c r="TY129" s="2"/>
      <c r="TZ129" s="2"/>
      <c r="UA129" s="2"/>
      <c r="UB129" s="2"/>
      <c r="UC129" s="2"/>
      <c r="UD129" s="2"/>
      <c r="UE129" s="2"/>
      <c r="UF129" s="2"/>
      <c r="UG129" s="2"/>
      <c r="UH129" s="2"/>
      <c r="UI129" s="2"/>
      <c r="UJ129" s="2"/>
      <c r="UK129" s="2"/>
      <c r="UL129" s="2"/>
      <c r="UM129" s="2"/>
      <c r="UN129" s="2"/>
      <c r="UO129" s="2"/>
      <c r="UP129" s="2"/>
      <c r="UQ129" s="2"/>
      <c r="UR129" s="2"/>
      <c r="US129" s="2"/>
      <c r="UT129" s="2"/>
      <c r="UU129" s="2"/>
      <c r="UV129" s="2"/>
      <c r="UW129" s="2"/>
      <c r="UX129" s="2"/>
      <c r="UY129" s="2"/>
      <c r="UZ129" s="2"/>
      <c r="VA129" s="2"/>
      <c r="VB129" s="2"/>
      <c r="VC129" s="2"/>
      <c r="VD129" s="2"/>
      <c r="VE129" s="2"/>
      <c r="VF129" s="2"/>
      <c r="VG129" s="2"/>
      <c r="VH129" s="2"/>
      <c r="VI129" s="2"/>
      <c r="VJ129" s="2"/>
      <c r="VK129" s="2"/>
      <c r="VL129" s="2"/>
      <c r="VM129" s="2"/>
      <c r="VN129" s="2"/>
      <c r="VO129" s="2"/>
      <c r="VP129" s="2"/>
      <c r="VQ129" s="2"/>
      <c r="VR129" s="2"/>
      <c r="VS129" s="2"/>
      <c r="VT129" s="2"/>
      <c r="VU129" s="2"/>
      <c r="VV129" s="2"/>
      <c r="VW129" s="2"/>
      <c r="VX129" s="2"/>
      <c r="VY129" s="2"/>
      <c r="VZ129" s="2"/>
      <c r="WA129" s="2"/>
      <c r="WB129" s="2"/>
      <c r="WC129" s="2"/>
      <c r="WD129" s="2"/>
      <c r="WE129" s="2"/>
      <c r="WF129" s="2"/>
      <c r="WG129" s="2"/>
      <c r="WH129" s="2"/>
      <c r="WI129" s="2"/>
      <c r="WJ129" s="2"/>
      <c r="WK129" s="2"/>
      <c r="WL129" s="2"/>
      <c r="WM129" s="2"/>
      <c r="WN129" s="2"/>
      <c r="WO129" s="2"/>
      <c r="WP129" s="2"/>
      <c r="WQ129" s="2"/>
      <c r="WR129" s="2"/>
      <c r="WS129" s="2"/>
      <c r="WT129" s="2"/>
      <c r="WU129" s="2"/>
      <c r="WV129" s="2"/>
      <c r="WW129" s="2"/>
      <c r="WX129" s="2"/>
      <c r="WY129" s="2"/>
      <c r="WZ129" s="2"/>
      <c r="XA129" s="2"/>
      <c r="XB129" s="2"/>
      <c r="XC129" s="2"/>
      <c r="XD129" s="2"/>
      <c r="XE129" s="2"/>
      <c r="XF129" s="2"/>
      <c r="XG129" s="2"/>
      <c r="XH129" s="2"/>
      <c r="XI129" s="2"/>
      <c r="XJ129" s="2"/>
      <c r="XK129" s="2"/>
      <c r="XL129" s="2"/>
      <c r="XM129" s="2"/>
      <c r="XN129" s="2"/>
      <c r="XO129" s="2"/>
      <c r="XP129" s="2"/>
      <c r="XQ129" s="2"/>
      <c r="XR129" s="2"/>
      <c r="XS129" s="2"/>
      <c r="XT129" s="2"/>
      <c r="XU129" s="2"/>
      <c r="XV129" s="2"/>
      <c r="XW129" s="2"/>
      <c r="XX129" s="2"/>
      <c r="XY129" s="2"/>
      <c r="XZ129" s="2"/>
      <c r="YA129" s="2"/>
      <c r="YB129" s="2"/>
      <c r="YC129" s="2"/>
      <c r="YD129" s="2"/>
      <c r="YE129" s="2"/>
      <c r="YF129" s="2"/>
      <c r="YG129" s="2"/>
      <c r="YH129" s="2"/>
      <c r="YI129" s="2"/>
      <c r="YJ129" s="2"/>
      <c r="YK129" s="2"/>
      <c r="YL129" s="2"/>
      <c r="YM129" s="2"/>
      <c r="YN129" s="2"/>
      <c r="YO129" s="2"/>
      <c r="YP129" s="2"/>
      <c r="YQ129" s="2"/>
      <c r="YR129" s="2"/>
      <c r="YS129" s="2"/>
      <c r="YT129" s="2"/>
      <c r="YU129" s="2"/>
      <c r="YV129" s="2"/>
      <c r="YW129" s="2"/>
      <c r="YX129" s="2"/>
      <c r="YY129" s="2"/>
      <c r="YZ129" s="2"/>
      <c r="ZA129" s="2"/>
      <c r="ZB129" s="2"/>
      <c r="ZC129" s="2"/>
      <c r="ZD129" s="2"/>
      <c r="ZE129" s="2"/>
      <c r="ZF129" s="2"/>
      <c r="ZG129" s="2"/>
      <c r="ZH129" s="2"/>
      <c r="ZI129" s="2"/>
      <c r="ZJ129" s="2"/>
      <c r="ZK129" s="2"/>
      <c r="ZL129" s="2"/>
      <c r="ZM129" s="2"/>
      <c r="ZN129" s="2"/>
      <c r="ZO129" s="2"/>
      <c r="ZP129" s="2"/>
      <c r="ZQ129" s="2"/>
      <c r="ZR129" s="2"/>
      <c r="ZS129" s="2"/>
      <c r="ZT129" s="2"/>
      <c r="ZU129" s="2"/>
      <c r="ZV129" s="2"/>
      <c r="ZW129" s="2"/>
      <c r="ZX129" s="2"/>
      <c r="ZY129" s="2"/>
      <c r="ZZ129" s="2"/>
      <c r="AAA129" s="2"/>
      <c r="AAB129" s="2"/>
      <c r="AAC129" s="2"/>
      <c r="AAD129" s="2"/>
      <c r="AAE129" s="2"/>
      <c r="AAF129" s="2"/>
      <c r="AAG129" s="2"/>
      <c r="AAH129" s="2"/>
      <c r="AAI129" s="2"/>
      <c r="AAJ129" s="2"/>
      <c r="AAK129" s="2"/>
      <c r="AAL129" s="2"/>
      <c r="AAM129" s="2"/>
      <c r="AAN129" s="2"/>
      <c r="AAO129" s="2"/>
      <c r="AAP129" s="2"/>
      <c r="AAQ129" s="2"/>
      <c r="AAR129" s="2"/>
      <c r="AAS129" s="2"/>
      <c r="AAT129" s="2"/>
      <c r="AAU129" s="2"/>
      <c r="AAV129" s="2"/>
      <c r="AAW129" s="2"/>
      <c r="AAX129" s="2"/>
      <c r="AAY129" s="2"/>
      <c r="AAZ129" s="2"/>
      <c r="ABA129" s="2"/>
      <c r="ABB129" s="2"/>
      <c r="ABC129" s="2"/>
      <c r="ABD129" s="2"/>
      <c r="ABE129" s="2"/>
      <c r="ABF129" s="2"/>
      <c r="ABG129" s="2"/>
      <c r="ABH129" s="2"/>
      <c r="ABI129" s="2"/>
      <c r="ABJ129" s="2"/>
      <c r="ABK129" s="2"/>
      <c r="ABL129" s="2"/>
      <c r="ABM129" s="2"/>
      <c r="ABN129" s="2"/>
      <c r="ABO129" s="2"/>
      <c r="ABP129" s="2"/>
      <c r="ABQ129" s="2"/>
      <c r="ABR129" s="2"/>
      <c r="ABS129" s="2"/>
      <c r="ABT129" s="2"/>
      <c r="ABU129" s="2"/>
      <c r="ABV129" s="2"/>
      <c r="ABW129" s="2"/>
      <c r="ABX129" s="2"/>
      <c r="ABY129" s="2"/>
      <c r="ABZ129" s="2"/>
      <c r="ACA129" s="2"/>
      <c r="ACB129" s="2"/>
      <c r="ACC129" s="2"/>
      <c r="ACD129" s="2"/>
      <c r="ACE129" s="2"/>
      <c r="ACF129" s="2"/>
      <c r="ACG129" s="2"/>
      <c r="ACH129" s="2"/>
      <c r="ACI129" s="2"/>
      <c r="ACJ129" s="2"/>
      <c r="ACK129" s="2"/>
      <c r="ACL129" s="2"/>
      <c r="ACM129" s="2"/>
      <c r="ACN129" s="2"/>
      <c r="ACO129" s="2"/>
      <c r="ACP129" s="2"/>
      <c r="ACQ129" s="2"/>
      <c r="ACR129" s="2"/>
      <c r="ACS129" s="2"/>
      <c r="ACT129" s="2"/>
      <c r="ACU129" s="2"/>
      <c r="ACV129" s="2"/>
      <c r="ACW129" s="2"/>
      <c r="ACX129" s="2"/>
      <c r="ACY129" s="2"/>
      <c r="ACZ129" s="2"/>
      <c r="ADA129" s="2"/>
      <c r="ADB129" s="2"/>
      <c r="ADC129" s="2"/>
      <c r="ADD129" s="2"/>
      <c r="ADE129" s="2"/>
      <c r="ADF129" s="2"/>
      <c r="ADG129" s="2"/>
      <c r="ADH129" s="2"/>
      <c r="ADI129" s="2"/>
      <c r="ADJ129" s="2"/>
      <c r="ADK129" s="2"/>
      <c r="ADL129" s="2"/>
      <c r="ADM129" s="2"/>
      <c r="ADN129" s="2"/>
      <c r="ADO129" s="2"/>
      <c r="ADP129" s="2"/>
      <c r="ADQ129" s="2"/>
      <c r="ADR129" s="2"/>
      <c r="ADS129" s="2"/>
      <c r="ADT129" s="2"/>
      <c r="ADU129" s="2"/>
      <c r="ADV129" s="2"/>
      <c r="ADW129" s="2"/>
      <c r="ADX129" s="2"/>
      <c r="ADY129" s="2"/>
      <c r="ADZ129" s="2"/>
      <c r="AEA129" s="2"/>
      <c r="AEB129" s="2"/>
      <c r="AEC129" s="2"/>
      <c r="AED129" s="2"/>
      <c r="AEE129" s="2"/>
      <c r="AEF129" s="2"/>
      <c r="AEG129" s="2"/>
      <c r="AEH129" s="2"/>
      <c r="AEI129" s="2"/>
      <c r="AEJ129" s="2"/>
      <c r="AEK129" s="2"/>
      <c r="AEL129" s="2"/>
      <c r="AEM129" s="2"/>
      <c r="AEN129" s="2"/>
      <c r="AEO129" s="2"/>
      <c r="AEP129" s="2"/>
      <c r="AEQ129" s="2"/>
      <c r="AER129" s="2"/>
      <c r="AES129" s="2"/>
      <c r="AET129" s="2"/>
      <c r="AEU129" s="2"/>
      <c r="AEV129" s="2"/>
      <c r="AEW129" s="2"/>
      <c r="AEX129" s="2"/>
      <c r="AEY129" s="2"/>
      <c r="AEZ129" s="2"/>
      <c r="AFA129" s="2"/>
      <c r="AFB129" s="2"/>
      <c r="AFC129" s="2"/>
      <c r="AFD129" s="2"/>
      <c r="AFE129" s="2"/>
      <c r="AFF129" s="2"/>
      <c r="AFG129" s="2"/>
      <c r="AFH129" s="2"/>
      <c r="AFI129" s="2"/>
      <c r="AFJ129" s="2"/>
      <c r="AFK129" s="2"/>
      <c r="AFL129" s="2"/>
      <c r="AFM129" s="2"/>
      <c r="AFN129" s="2"/>
      <c r="AFO129" s="2"/>
      <c r="AFP129" s="2"/>
      <c r="AFQ129" s="2"/>
      <c r="AFR129" s="2"/>
      <c r="AFS129" s="2"/>
      <c r="AFT129" s="2"/>
      <c r="AFU129" s="2"/>
      <c r="AFV129" s="2"/>
      <c r="AFW129" s="2"/>
      <c r="AFX129" s="2"/>
      <c r="AFY129" s="2"/>
      <c r="AFZ129" s="2"/>
      <c r="AGA129" s="2"/>
      <c r="AGB129" s="2"/>
      <c r="AGC129" s="2"/>
      <c r="AGD129" s="2"/>
      <c r="AGE129" s="2"/>
      <c r="AGF129" s="2"/>
      <c r="AGG129" s="2"/>
      <c r="AGH129" s="2"/>
      <c r="AGI129" s="2"/>
      <c r="AGJ129" s="2"/>
      <c r="AGK129" s="2"/>
      <c r="AGL129" s="2"/>
      <c r="AGM129" s="2"/>
      <c r="AGN129" s="2"/>
      <c r="AGO129" s="2"/>
      <c r="AGP129" s="2"/>
      <c r="AGQ129" s="2"/>
      <c r="AGR129" s="2"/>
      <c r="AGS129" s="2"/>
      <c r="AGT129" s="2"/>
      <c r="AGU129" s="2"/>
      <c r="AGV129" s="2"/>
      <c r="AGW129" s="2"/>
      <c r="AGX129" s="2"/>
      <c r="AGY129" s="2"/>
      <c r="AGZ129" s="2"/>
      <c r="AHA129" s="2"/>
      <c r="AHB129" s="2"/>
      <c r="AHC129" s="2"/>
      <c r="AHD129" s="2"/>
      <c r="AHE129" s="2"/>
      <c r="AHF129" s="2"/>
      <c r="AHG129" s="2"/>
      <c r="AHH129" s="2"/>
      <c r="AHI129" s="2"/>
      <c r="AHJ129" s="2"/>
      <c r="AHK129" s="2"/>
      <c r="AHL129" s="2"/>
      <c r="AHM129" s="2"/>
      <c r="AHN129" s="2"/>
      <c r="AHO129" s="2"/>
      <c r="AHP129" s="2"/>
      <c r="AHQ129" s="2"/>
      <c r="AHR129" s="2"/>
      <c r="AHS129" s="2"/>
      <c r="AHT129" s="2"/>
      <c r="AHU129" s="2"/>
      <c r="AHV129" s="2"/>
      <c r="AHW129" s="2"/>
      <c r="AHX129" s="2"/>
      <c r="AHY129" s="2"/>
      <c r="AHZ129" s="2"/>
      <c r="AIA129" s="2"/>
      <c r="AIB129" s="2"/>
      <c r="AIC129" s="2"/>
      <c r="AID129" s="2"/>
      <c r="AIE129" s="2"/>
      <c r="AIF129" s="2"/>
      <c r="AIG129" s="2"/>
      <c r="AIH129" s="2"/>
      <c r="AII129" s="2"/>
      <c r="AIJ129" s="2"/>
      <c r="AIK129" s="2"/>
      <c r="AIL129" s="2"/>
      <c r="AIM129" s="2"/>
      <c r="AIN129" s="2"/>
      <c r="AIO129" s="2"/>
      <c r="AIP129" s="2"/>
      <c r="AIQ129" s="2"/>
      <c r="AIR129" s="2"/>
      <c r="AIS129" s="2"/>
      <c r="AIT129" s="2"/>
      <c r="AIU129" s="2"/>
      <c r="AIV129" s="2"/>
      <c r="AIW129" s="2"/>
      <c r="AIX129" s="2"/>
      <c r="AIY129" s="2"/>
      <c r="AIZ129" s="2"/>
      <c r="AJA129" s="2"/>
      <c r="AJB129" s="2"/>
      <c r="AJC129" s="2"/>
      <c r="AJD129" s="2"/>
      <c r="AJE129" s="2"/>
      <c r="AJF129" s="2"/>
      <c r="AJG129" s="2"/>
      <c r="AJH129" s="2"/>
      <c r="AJI129" s="2"/>
      <c r="AJJ129" s="2"/>
      <c r="AJK129" s="2"/>
      <c r="AJL129" s="2"/>
      <c r="AJM129" s="2"/>
      <c r="AJN129" s="2"/>
      <c r="AJO129" s="2"/>
      <c r="AJP129" s="2"/>
      <c r="AJQ129" s="2"/>
      <c r="AJR129" s="2"/>
      <c r="AJS129" s="2"/>
      <c r="AJT129" s="2"/>
      <c r="AJU129" s="2"/>
      <c r="AJV129" s="2"/>
      <c r="AJW129" s="2"/>
      <c r="AJX129" s="2"/>
      <c r="AJY129" s="2"/>
      <c r="AJZ129" s="2"/>
      <c r="AKA129" s="2"/>
      <c r="AKB129" s="2"/>
      <c r="AKC129" s="2"/>
      <c r="AKD129" s="2"/>
      <c r="AKE129" s="2"/>
      <c r="AKF129" s="2"/>
      <c r="AKG129" s="2"/>
      <c r="AKH129" s="2"/>
      <c r="AKI129" s="2"/>
      <c r="AKJ129" s="2"/>
      <c r="AKK129" s="2"/>
      <c r="AKL129" s="2"/>
      <c r="AKM129" s="2"/>
      <c r="AKN129" s="2"/>
      <c r="AKO129" s="2"/>
      <c r="AKP129" s="2"/>
      <c r="AKQ129" s="2"/>
      <c r="AKR129" s="2"/>
      <c r="AKS129" s="2"/>
      <c r="AKT129" s="2"/>
      <c r="AKU129" s="2"/>
      <c r="AKV129" s="2"/>
      <c r="AKW129" s="2"/>
      <c r="AKX129" s="2"/>
      <c r="AKY129" s="2"/>
      <c r="AKZ129" s="2"/>
      <c r="ALA129" s="2"/>
      <c r="ALB129" s="2"/>
      <c r="ALC129" s="2"/>
      <c r="ALD129" s="2"/>
      <c r="ALE129" s="2"/>
      <c r="ALF129" s="2"/>
      <c r="ALG129" s="2"/>
      <c r="ALH129" s="2"/>
      <c r="ALI129" s="2"/>
      <c r="ALJ129" s="2"/>
      <c r="ALK129" s="2"/>
      <c r="ALL129" s="2"/>
      <c r="ALM129" s="2"/>
      <c r="ALN129" s="2"/>
      <c r="ALO129" s="2"/>
      <c r="ALP129" s="2"/>
      <c r="ALQ129" s="2"/>
      <c r="ALR129" s="2"/>
      <c r="ALS129" s="2"/>
      <c r="ALT129" s="2"/>
      <c r="ALU129" s="2"/>
      <c r="ALV129" s="2"/>
      <c r="ALW129" s="2"/>
      <c r="ALX129" s="2"/>
      <c r="ALY129" s="2"/>
      <c r="ALZ129" s="2"/>
      <c r="AMA129" s="2"/>
      <c r="AMB129" s="2"/>
      <c r="AMC129" s="2"/>
      <c r="AMD129" s="2"/>
      <c r="AME129" s="2"/>
      <c r="AMF129" s="2"/>
      <c r="AMG129" s="2"/>
      <c r="AMH129" s="2"/>
      <c r="AMI129" s="2"/>
      <c r="AMJ129" s="2"/>
      <c r="AMK129" s="2"/>
      <c r="AML129" s="2"/>
      <c r="AMM129" s="2"/>
      <c r="AMN129" s="2"/>
      <c r="AMO129" s="2"/>
    </row>
    <row r="130" spans="1:1029" x14ac:dyDescent="0.2">
      <c r="A130" s="3" t="str">
        <f t="shared" si="811"/>
        <v>agtr1_human_4YAY</v>
      </c>
      <c r="B130" s="3" t="s">
        <v>158</v>
      </c>
      <c r="C130" s="3" t="s">
        <v>69</v>
      </c>
      <c r="D130" s="3" t="str">
        <f>IFERROR(MID(VLOOKUP($B130,Seqs!$A:$B,2,0),E130,1),"")</f>
        <v>Y</v>
      </c>
      <c r="E130" s="3">
        <v>26</v>
      </c>
      <c r="F130" s="3" t="str">
        <f>IFERROR(MID(VLOOKUP($B130,Seqs!$A:$B,2,0),G130,1),"")</f>
        <v>Y</v>
      </c>
      <c r="G130" s="3">
        <v>56</v>
      </c>
      <c r="H130" s="3" t="str">
        <f>IFERROR(MID(VLOOKUP($B130,Seqs!$A:$B,2,0),I130,1),"")</f>
        <v>M</v>
      </c>
      <c r="I130" s="23">
        <v>57</v>
      </c>
      <c r="J130" s="3" t="str">
        <f>IFERROR(MID(VLOOKUP($B130,Seqs!$A:$B,2,0),K130,1),"")</f>
        <v>K</v>
      </c>
      <c r="K130" s="23">
        <v>60</v>
      </c>
      <c r="L130" s="3" t="str">
        <f>IFERROR(MID(VLOOKUP($B130,Seqs!$A:$B,2,0),M130,1),"")</f>
        <v>T</v>
      </c>
      <c r="M130" s="3">
        <v>61</v>
      </c>
      <c r="N130" s="3" t="str">
        <f>IFERROR(MID(VLOOKUP($B130,Seqs!$A:$B,2,0),O130,1),"")</f>
        <v>M</v>
      </c>
      <c r="O130" s="3">
        <v>90</v>
      </c>
      <c r="P130" s="3" t="str">
        <f>IFERROR(MID(VLOOKUP($B130,Seqs!$A:$B,2,0),Q130,1),"")</f>
        <v>R</v>
      </c>
      <c r="Q130" s="3">
        <v>93</v>
      </c>
      <c r="R130" s="3" t="str">
        <f>IFERROR(MID(VLOOKUP($B130,Seqs!$A:$B,2,0),S130,1),"")</f>
        <v>F</v>
      </c>
      <c r="S130" s="3">
        <v>96</v>
      </c>
      <c r="T130" s="3" t="str">
        <f>IFERROR(MID(VLOOKUP($B130,Seqs!$A:$B,2,0),U130,1),"")</f>
        <v>G</v>
      </c>
      <c r="U130" s="3">
        <v>97</v>
      </c>
      <c r="V130" s="3" t="str">
        <f>IFERROR(MID(VLOOKUP($B130,Seqs!$A:$B,2,0),W130,1),"")</f>
        <v>H</v>
      </c>
      <c r="W130" s="3">
        <v>132</v>
      </c>
      <c r="X130" s="3" t="str">
        <f>IFERROR(MID(VLOOKUP($B130,Seqs!$A:$B,2,0),Y130,1),"")</f>
        <v/>
      </c>
      <c r="Y130" s="3" t="s">
        <v>23</v>
      </c>
      <c r="Z130" s="3" t="str">
        <f>IFERROR(MID(VLOOKUP($B130,Seqs!$A:$B,2,0),AA130,1),"")</f>
        <v/>
      </c>
      <c r="AA130" s="3" t="s">
        <v>23</v>
      </c>
      <c r="AB130" s="3" t="str">
        <f>IFERROR(MID(VLOOKUP($B130,Seqs!$A:$B,2,0),AC130,1),"")</f>
        <v>R</v>
      </c>
      <c r="AC130" s="9">
        <v>137</v>
      </c>
      <c r="AD130" s="3" t="str">
        <f>IFERROR(MID(VLOOKUP($B130,Seqs!$A:$B,2,0),AE130,1),"")</f>
        <v>R</v>
      </c>
      <c r="AE130" s="3">
        <v>167</v>
      </c>
      <c r="AF130" s="3" t="str">
        <f>IFERROR(MID(VLOOKUP($B130,Seqs!$A:$B,2,0),AG130,1),"")</f>
        <v>C</v>
      </c>
      <c r="AG130" s="3">
        <v>180</v>
      </c>
      <c r="AH130" s="3" t="str">
        <f>IFERROR(MID(VLOOKUP($B130,Seqs!$A:$B,2,0),AI130,1),"")</f>
        <v>F</v>
      </c>
      <c r="AI130" s="3">
        <v>182</v>
      </c>
      <c r="AJ130" s="3" t="str">
        <f>IFERROR(MID(VLOOKUP($B130,Seqs!$A:$B,2,0),AK130,1),"")</f>
        <v>L</v>
      </c>
      <c r="AK130" s="3">
        <v>191</v>
      </c>
      <c r="AL130" s="3" t="str">
        <f>IFERROR(MID(VLOOKUP($B130,Seqs!$A:$B,2,0),AM130,1),"")</f>
        <v>L</v>
      </c>
      <c r="AM130" s="3">
        <v>222</v>
      </c>
      <c r="AN130" s="3" t="str">
        <f>IFERROR(MID(VLOOKUP($B130,Seqs!$A:$B,2,0),AO130,1),"")</f>
        <v>N</v>
      </c>
      <c r="AO130" s="3">
        <v>235</v>
      </c>
      <c r="AP130" s="3" t="str">
        <f>IFERROR(MID(VLOOKUP($B130,Seqs!$A:$B,2,0),AQ130,1),"")</f>
        <v>G</v>
      </c>
      <c r="AQ130" s="3">
        <v>269</v>
      </c>
      <c r="AR130" s="3" t="str">
        <f>IFERROR(MID(VLOOKUP($B130,Seqs!$A:$B,2,0),AS130,1),"")</f>
        <v>D</v>
      </c>
      <c r="AS130" s="3">
        <v>273</v>
      </c>
      <c r="AT130" s="3" t="str">
        <f>IFERROR(MID(VLOOKUP($B130,Seqs!$A:$B,2,0),AU130,1),"")</f>
        <v>N</v>
      </c>
      <c r="AU130" s="3">
        <v>298</v>
      </c>
      <c r="AV130" s="3" t="str">
        <f>IFERROR(MID(VLOOKUP($B130,Seqs!$A:$B,2,0),AW130,1),"")</f>
        <v/>
      </c>
      <c r="AW130" s="3" t="s">
        <v>23</v>
      </c>
      <c r="AX130" s="3" t="str">
        <f>IFERROR(MID(VLOOKUP($B130,Seqs!$A:$B,2,0),AY130,1),"")</f>
        <v/>
      </c>
      <c r="AY130" s="3" t="s">
        <v>23</v>
      </c>
      <c r="AZ130" s="77" t="str">
        <f>VLOOKUP(B130,Classification!A:D,2,0)</f>
        <v>A</v>
      </c>
      <c r="BA130" s="94" t="str">
        <f>VLOOKUP(B130,Classification!A:D,4,0)</f>
        <v>Angiotensin</v>
      </c>
      <c r="BB130" s="27" t="b">
        <f t="shared" si="812"/>
        <v>1</v>
      </c>
      <c r="BC130" s="23">
        <f t="shared" si="589"/>
        <v>234</v>
      </c>
      <c r="BD130" s="4" t="s">
        <v>23</v>
      </c>
      <c r="BE130" s="3" t="s">
        <v>1375</v>
      </c>
      <c r="BF130" s="119">
        <v>2.9</v>
      </c>
      <c r="BG130" s="49" t="s">
        <v>1378</v>
      </c>
      <c r="BH130" s="49" t="s">
        <v>1378</v>
      </c>
      <c r="BI130" s="1"/>
      <c r="BJ130" s="70" t="s">
        <v>1288</v>
      </c>
      <c r="BK130" s="57" t="s">
        <v>1288</v>
      </c>
      <c r="BL130" s="57" t="s">
        <v>1288</v>
      </c>
      <c r="BM130" s="57" t="s">
        <v>1288</v>
      </c>
      <c r="BN130" s="57" t="s">
        <v>1288</v>
      </c>
      <c r="BO130" s="57" t="s">
        <v>1288</v>
      </c>
      <c r="BP130" s="57" t="s">
        <v>1288</v>
      </c>
      <c r="BQ130" s="57" t="s">
        <v>1288</v>
      </c>
      <c r="BR130" s="57" t="s">
        <v>1288</v>
      </c>
      <c r="BS130" s="57" t="s">
        <v>1288</v>
      </c>
      <c r="BT130" s="57" t="s">
        <v>1288</v>
      </c>
      <c r="BU130" s="57" t="s">
        <v>1288</v>
      </c>
      <c r="BV130" s="70">
        <f t="shared" si="590"/>
        <v>26</v>
      </c>
      <c r="BW130" s="71">
        <f t="shared" si="591"/>
        <v>57</v>
      </c>
      <c r="BX130" s="72">
        <f t="shared" si="592"/>
        <v>61</v>
      </c>
      <c r="BY130" s="71">
        <f t="shared" si="593"/>
        <v>93</v>
      </c>
      <c r="BZ130" s="72">
        <f t="shared" si="594"/>
        <v>97</v>
      </c>
      <c r="CA130" s="71" t="str">
        <f t="shared" si="595"/>
        <v>-</v>
      </c>
      <c r="CB130" s="72">
        <f t="shared" si="596"/>
        <v>137</v>
      </c>
      <c r="CC130" s="71">
        <f t="shared" si="597"/>
        <v>180</v>
      </c>
      <c r="CD130" s="72">
        <f t="shared" si="598"/>
        <v>191</v>
      </c>
      <c r="CE130" s="71">
        <f t="shared" si="599"/>
        <v>235</v>
      </c>
      <c r="CF130" s="72">
        <f t="shared" si="600"/>
        <v>273</v>
      </c>
      <c r="CG130" s="71" t="str">
        <f t="shared" si="601"/>
        <v>-</v>
      </c>
      <c r="CH130" s="70">
        <f t="shared" si="602"/>
        <v>56</v>
      </c>
      <c r="CI130" s="71">
        <f t="shared" si="603"/>
        <v>60</v>
      </c>
      <c r="CJ130" s="72">
        <f t="shared" si="604"/>
        <v>90</v>
      </c>
      <c r="CK130" s="72">
        <f t="shared" si="605"/>
        <v>96</v>
      </c>
      <c r="CL130" s="72">
        <f t="shared" si="606"/>
        <v>132</v>
      </c>
      <c r="CM130" s="72" t="str">
        <f t="shared" si="607"/>
        <v>-</v>
      </c>
      <c r="CN130" s="72">
        <f t="shared" si="608"/>
        <v>167</v>
      </c>
      <c r="CO130" s="72">
        <f t="shared" si="609"/>
        <v>182</v>
      </c>
      <c r="CP130" s="72">
        <f t="shared" si="610"/>
        <v>222</v>
      </c>
      <c r="CQ130" s="72">
        <f t="shared" si="611"/>
        <v>269</v>
      </c>
      <c r="CR130" s="72">
        <f t="shared" si="612"/>
        <v>298</v>
      </c>
      <c r="CS130" s="72" t="str">
        <f t="shared" si="613"/>
        <v>-</v>
      </c>
      <c r="CT130" s="23">
        <f t="shared" si="614"/>
        <v>1</v>
      </c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V130" s="2"/>
      <c r="PW130" s="2"/>
      <c r="PX130" s="2"/>
      <c r="PY130" s="2"/>
      <c r="PZ130" s="2"/>
      <c r="QA130" s="2"/>
      <c r="QB130" s="2"/>
      <c r="QC130" s="2"/>
      <c r="QD130" s="2"/>
      <c r="QE130" s="2"/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2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2"/>
      <c r="RF130" s="2"/>
      <c r="RG130" s="2"/>
      <c r="RH130" s="2"/>
      <c r="RI130" s="2"/>
      <c r="RJ130" s="2"/>
      <c r="RK130" s="2"/>
      <c r="RL130" s="2"/>
      <c r="RM130" s="2"/>
      <c r="RN130" s="2"/>
      <c r="RO130" s="2"/>
      <c r="RP130" s="2"/>
      <c r="RQ130" s="2"/>
      <c r="RR130" s="2"/>
      <c r="RS130" s="2"/>
      <c r="RT130" s="2"/>
      <c r="RU130" s="2"/>
      <c r="RV130" s="2"/>
      <c r="RW130" s="2"/>
      <c r="RX130" s="2"/>
      <c r="RY130" s="2"/>
      <c r="RZ130" s="2"/>
      <c r="SA130" s="2"/>
      <c r="SB130" s="2"/>
      <c r="SC130" s="2"/>
      <c r="SD130" s="2"/>
      <c r="SE130" s="2"/>
      <c r="SF130" s="2"/>
      <c r="SG130" s="2"/>
      <c r="SH130" s="2"/>
      <c r="SI130" s="2"/>
      <c r="SJ130" s="2"/>
      <c r="SK130" s="2"/>
      <c r="SL130" s="2"/>
      <c r="SM130" s="2"/>
      <c r="SN130" s="2"/>
      <c r="SO130" s="2"/>
      <c r="SP130" s="2"/>
      <c r="SQ130" s="2"/>
      <c r="SR130" s="2"/>
      <c r="SS130" s="2"/>
      <c r="ST130" s="2"/>
      <c r="SU130" s="2"/>
      <c r="SV130" s="2"/>
      <c r="SW130" s="2"/>
      <c r="SX130" s="2"/>
      <c r="SY130" s="2"/>
      <c r="SZ130" s="2"/>
      <c r="TA130" s="2"/>
      <c r="TB130" s="2"/>
      <c r="TC130" s="2"/>
      <c r="TD130" s="2"/>
      <c r="TE130" s="2"/>
      <c r="TF130" s="2"/>
      <c r="TG130" s="2"/>
      <c r="TH130" s="2"/>
      <c r="TI130" s="2"/>
      <c r="TJ130" s="2"/>
      <c r="TK130" s="2"/>
      <c r="TL130" s="2"/>
      <c r="TM130" s="2"/>
      <c r="TN130" s="2"/>
      <c r="TO130" s="2"/>
      <c r="TP130" s="2"/>
      <c r="TQ130" s="2"/>
      <c r="TR130" s="2"/>
      <c r="TS130" s="2"/>
      <c r="TT130" s="2"/>
      <c r="TU130" s="2"/>
      <c r="TV130" s="2"/>
      <c r="TW130" s="2"/>
      <c r="TX130" s="2"/>
      <c r="TY130" s="2"/>
      <c r="TZ130" s="2"/>
      <c r="UA130" s="2"/>
      <c r="UB130" s="2"/>
      <c r="UC130" s="2"/>
      <c r="UD130" s="2"/>
      <c r="UE130" s="2"/>
      <c r="UF130" s="2"/>
      <c r="UG130" s="2"/>
      <c r="UH130" s="2"/>
      <c r="UI130" s="2"/>
      <c r="UJ130" s="2"/>
      <c r="UK130" s="2"/>
      <c r="UL130" s="2"/>
      <c r="UM130" s="2"/>
      <c r="UN130" s="2"/>
      <c r="UO130" s="2"/>
      <c r="UP130" s="2"/>
      <c r="UQ130" s="2"/>
      <c r="UR130" s="2"/>
      <c r="US130" s="2"/>
      <c r="UT130" s="2"/>
      <c r="UU130" s="2"/>
      <c r="UV130" s="2"/>
      <c r="UW130" s="2"/>
      <c r="UX130" s="2"/>
      <c r="UY130" s="2"/>
      <c r="UZ130" s="2"/>
      <c r="VA130" s="2"/>
      <c r="VB130" s="2"/>
      <c r="VC130" s="2"/>
      <c r="VD130" s="2"/>
      <c r="VE130" s="2"/>
      <c r="VF130" s="2"/>
      <c r="VG130" s="2"/>
      <c r="VH130" s="2"/>
      <c r="VI130" s="2"/>
      <c r="VJ130" s="2"/>
      <c r="VK130" s="2"/>
      <c r="VL130" s="2"/>
      <c r="VM130" s="2"/>
      <c r="VN130" s="2"/>
      <c r="VO130" s="2"/>
      <c r="VP130" s="2"/>
      <c r="VQ130" s="2"/>
      <c r="VR130" s="2"/>
      <c r="VS130" s="2"/>
      <c r="VT130" s="2"/>
      <c r="VU130" s="2"/>
      <c r="VV130" s="2"/>
      <c r="VW130" s="2"/>
      <c r="VX130" s="2"/>
      <c r="VY130" s="2"/>
      <c r="VZ130" s="2"/>
      <c r="WA130" s="2"/>
      <c r="WB130" s="2"/>
      <c r="WC130" s="2"/>
      <c r="WD130" s="2"/>
      <c r="WE130" s="2"/>
      <c r="WF130" s="2"/>
      <c r="WG130" s="2"/>
      <c r="WH130" s="2"/>
      <c r="WI130" s="2"/>
      <c r="WJ130" s="2"/>
      <c r="WK130" s="2"/>
      <c r="WL130" s="2"/>
      <c r="WM130" s="2"/>
      <c r="WN130" s="2"/>
      <c r="WO130" s="2"/>
      <c r="WP130" s="2"/>
      <c r="WQ130" s="2"/>
      <c r="WR130" s="2"/>
      <c r="WS130" s="2"/>
      <c r="WT130" s="2"/>
      <c r="WU130" s="2"/>
      <c r="WV130" s="2"/>
      <c r="WW130" s="2"/>
      <c r="WX130" s="2"/>
      <c r="WY130" s="2"/>
      <c r="WZ130" s="2"/>
      <c r="XA130" s="2"/>
      <c r="XB130" s="2"/>
      <c r="XC130" s="2"/>
      <c r="XD130" s="2"/>
      <c r="XE130" s="2"/>
      <c r="XF130" s="2"/>
      <c r="XG130" s="2"/>
      <c r="XH130" s="2"/>
      <c r="XI130" s="2"/>
      <c r="XJ130" s="2"/>
      <c r="XK130" s="2"/>
      <c r="XL130" s="2"/>
      <c r="XM130" s="2"/>
      <c r="XN130" s="2"/>
      <c r="XO130" s="2"/>
      <c r="XP130" s="2"/>
      <c r="XQ130" s="2"/>
      <c r="XR130" s="2"/>
      <c r="XS130" s="2"/>
      <c r="XT130" s="2"/>
      <c r="XU130" s="2"/>
      <c r="XV130" s="2"/>
      <c r="XW130" s="2"/>
      <c r="XX130" s="2"/>
      <c r="XY130" s="2"/>
      <c r="XZ130" s="2"/>
      <c r="YA130" s="2"/>
      <c r="YB130" s="2"/>
      <c r="YC130" s="2"/>
      <c r="YD130" s="2"/>
      <c r="YE130" s="2"/>
      <c r="YF130" s="2"/>
      <c r="YG130" s="2"/>
      <c r="YH130" s="2"/>
      <c r="YI130" s="2"/>
      <c r="YJ130" s="2"/>
      <c r="YK130" s="2"/>
      <c r="YL130" s="2"/>
      <c r="YM130" s="2"/>
      <c r="YN130" s="2"/>
      <c r="YO130" s="2"/>
      <c r="YP130" s="2"/>
      <c r="YQ130" s="2"/>
      <c r="YR130" s="2"/>
      <c r="YS130" s="2"/>
      <c r="YT130" s="2"/>
      <c r="YU130" s="2"/>
      <c r="YV130" s="2"/>
      <c r="YW130" s="2"/>
      <c r="YX130" s="2"/>
      <c r="YY130" s="2"/>
      <c r="YZ130" s="2"/>
      <c r="ZA130" s="2"/>
      <c r="ZB130" s="2"/>
      <c r="ZC130" s="2"/>
      <c r="ZD130" s="2"/>
      <c r="ZE130" s="2"/>
      <c r="ZF130" s="2"/>
      <c r="ZG130" s="2"/>
      <c r="ZH130" s="2"/>
      <c r="ZI130" s="2"/>
      <c r="ZJ130" s="2"/>
      <c r="ZK130" s="2"/>
      <c r="ZL130" s="2"/>
      <c r="ZM130" s="2"/>
      <c r="ZN130" s="2"/>
      <c r="ZO130" s="2"/>
      <c r="ZP130" s="2"/>
      <c r="ZQ130" s="2"/>
      <c r="ZR130" s="2"/>
      <c r="ZS130" s="2"/>
      <c r="ZT130" s="2"/>
      <c r="ZU130" s="2"/>
      <c r="ZV130" s="2"/>
      <c r="ZW130" s="2"/>
      <c r="ZX130" s="2"/>
      <c r="ZY130" s="2"/>
      <c r="ZZ130" s="2"/>
      <c r="AAA130" s="2"/>
      <c r="AAB130" s="2"/>
      <c r="AAC130" s="2"/>
      <c r="AAD130" s="2"/>
      <c r="AAE130" s="2"/>
      <c r="AAF130" s="2"/>
      <c r="AAG130" s="2"/>
      <c r="AAH130" s="2"/>
      <c r="AAI130" s="2"/>
      <c r="AAJ130" s="2"/>
      <c r="AAK130" s="2"/>
      <c r="AAL130" s="2"/>
      <c r="AAM130" s="2"/>
      <c r="AAN130" s="2"/>
      <c r="AAO130" s="2"/>
      <c r="AAP130" s="2"/>
      <c r="AAQ130" s="2"/>
      <c r="AAR130" s="2"/>
      <c r="AAS130" s="2"/>
      <c r="AAT130" s="2"/>
      <c r="AAU130" s="2"/>
      <c r="AAV130" s="2"/>
      <c r="AAW130" s="2"/>
      <c r="AAX130" s="2"/>
      <c r="AAY130" s="2"/>
      <c r="AAZ130" s="2"/>
      <c r="ABA130" s="2"/>
      <c r="ABB130" s="2"/>
      <c r="ABC130" s="2"/>
      <c r="ABD130" s="2"/>
      <c r="ABE130" s="2"/>
      <c r="ABF130" s="2"/>
      <c r="ABG130" s="2"/>
      <c r="ABH130" s="2"/>
      <c r="ABI130" s="2"/>
      <c r="ABJ130" s="2"/>
      <c r="ABK130" s="2"/>
      <c r="ABL130" s="2"/>
      <c r="ABM130" s="2"/>
      <c r="ABN130" s="2"/>
      <c r="ABO130" s="2"/>
      <c r="ABP130" s="2"/>
      <c r="ABQ130" s="2"/>
      <c r="ABR130" s="2"/>
      <c r="ABS130" s="2"/>
      <c r="ABT130" s="2"/>
      <c r="ABU130" s="2"/>
      <c r="ABV130" s="2"/>
      <c r="ABW130" s="2"/>
      <c r="ABX130" s="2"/>
      <c r="ABY130" s="2"/>
      <c r="ABZ130" s="2"/>
      <c r="ACA130" s="2"/>
      <c r="ACB130" s="2"/>
      <c r="ACC130" s="2"/>
      <c r="ACD130" s="2"/>
      <c r="ACE130" s="2"/>
      <c r="ACF130" s="2"/>
      <c r="ACG130" s="2"/>
      <c r="ACH130" s="2"/>
      <c r="ACI130" s="2"/>
      <c r="ACJ130" s="2"/>
      <c r="ACK130" s="2"/>
      <c r="ACL130" s="2"/>
      <c r="ACM130" s="2"/>
      <c r="ACN130" s="2"/>
      <c r="ACO130" s="2"/>
      <c r="ACP130" s="2"/>
      <c r="ACQ130" s="2"/>
      <c r="ACR130" s="2"/>
      <c r="ACS130" s="2"/>
      <c r="ACT130" s="2"/>
      <c r="ACU130" s="2"/>
      <c r="ACV130" s="2"/>
      <c r="ACW130" s="2"/>
      <c r="ACX130" s="2"/>
      <c r="ACY130" s="2"/>
      <c r="ACZ130" s="2"/>
      <c r="ADA130" s="2"/>
      <c r="ADB130" s="2"/>
      <c r="ADC130" s="2"/>
      <c r="ADD130" s="2"/>
      <c r="ADE130" s="2"/>
      <c r="ADF130" s="2"/>
      <c r="ADG130" s="2"/>
      <c r="ADH130" s="2"/>
      <c r="ADI130" s="2"/>
      <c r="ADJ130" s="2"/>
      <c r="ADK130" s="2"/>
      <c r="ADL130" s="2"/>
      <c r="ADM130" s="2"/>
      <c r="ADN130" s="2"/>
      <c r="ADO130" s="2"/>
      <c r="ADP130" s="2"/>
      <c r="ADQ130" s="2"/>
      <c r="ADR130" s="2"/>
      <c r="ADS130" s="2"/>
      <c r="ADT130" s="2"/>
      <c r="ADU130" s="2"/>
      <c r="ADV130" s="2"/>
      <c r="ADW130" s="2"/>
      <c r="ADX130" s="2"/>
      <c r="ADY130" s="2"/>
      <c r="ADZ130" s="2"/>
      <c r="AEA130" s="2"/>
      <c r="AEB130" s="2"/>
      <c r="AEC130" s="2"/>
      <c r="AED130" s="2"/>
      <c r="AEE130" s="2"/>
      <c r="AEF130" s="2"/>
      <c r="AEG130" s="2"/>
      <c r="AEH130" s="2"/>
      <c r="AEI130" s="2"/>
      <c r="AEJ130" s="2"/>
      <c r="AEK130" s="2"/>
      <c r="AEL130" s="2"/>
      <c r="AEM130" s="2"/>
      <c r="AEN130" s="2"/>
      <c r="AEO130" s="2"/>
      <c r="AEP130" s="2"/>
      <c r="AEQ130" s="2"/>
      <c r="AER130" s="2"/>
      <c r="AES130" s="2"/>
      <c r="AET130" s="2"/>
      <c r="AEU130" s="2"/>
      <c r="AEV130" s="2"/>
      <c r="AEW130" s="2"/>
      <c r="AEX130" s="2"/>
      <c r="AEY130" s="2"/>
      <c r="AEZ130" s="2"/>
      <c r="AFA130" s="2"/>
      <c r="AFB130" s="2"/>
      <c r="AFC130" s="2"/>
      <c r="AFD130" s="2"/>
      <c r="AFE130" s="2"/>
      <c r="AFF130" s="2"/>
      <c r="AFG130" s="2"/>
      <c r="AFH130" s="2"/>
      <c r="AFI130" s="2"/>
      <c r="AFJ130" s="2"/>
      <c r="AFK130" s="2"/>
      <c r="AFL130" s="2"/>
      <c r="AFM130" s="2"/>
      <c r="AFN130" s="2"/>
      <c r="AFO130" s="2"/>
      <c r="AFP130" s="2"/>
      <c r="AFQ130" s="2"/>
      <c r="AFR130" s="2"/>
      <c r="AFS130" s="2"/>
      <c r="AFT130" s="2"/>
      <c r="AFU130" s="2"/>
      <c r="AFV130" s="2"/>
      <c r="AFW130" s="2"/>
      <c r="AFX130" s="2"/>
      <c r="AFY130" s="2"/>
      <c r="AFZ130" s="2"/>
      <c r="AGA130" s="2"/>
      <c r="AGB130" s="2"/>
      <c r="AGC130" s="2"/>
      <c r="AGD130" s="2"/>
      <c r="AGE130" s="2"/>
      <c r="AGF130" s="2"/>
      <c r="AGG130" s="2"/>
      <c r="AGH130" s="2"/>
      <c r="AGI130" s="2"/>
      <c r="AGJ130" s="2"/>
      <c r="AGK130" s="2"/>
      <c r="AGL130" s="2"/>
      <c r="AGM130" s="2"/>
      <c r="AGN130" s="2"/>
      <c r="AGO130" s="2"/>
      <c r="AGP130" s="2"/>
      <c r="AGQ130" s="2"/>
      <c r="AGR130" s="2"/>
      <c r="AGS130" s="2"/>
      <c r="AGT130" s="2"/>
      <c r="AGU130" s="2"/>
      <c r="AGV130" s="2"/>
      <c r="AGW130" s="2"/>
      <c r="AGX130" s="2"/>
      <c r="AGY130" s="2"/>
      <c r="AGZ130" s="2"/>
      <c r="AHA130" s="2"/>
      <c r="AHB130" s="2"/>
      <c r="AHC130" s="2"/>
      <c r="AHD130" s="2"/>
      <c r="AHE130" s="2"/>
      <c r="AHF130" s="2"/>
      <c r="AHG130" s="2"/>
      <c r="AHH130" s="2"/>
      <c r="AHI130" s="2"/>
      <c r="AHJ130" s="2"/>
      <c r="AHK130" s="2"/>
      <c r="AHL130" s="2"/>
      <c r="AHM130" s="2"/>
      <c r="AHN130" s="2"/>
      <c r="AHO130" s="2"/>
      <c r="AHP130" s="2"/>
      <c r="AHQ130" s="2"/>
      <c r="AHR130" s="2"/>
      <c r="AHS130" s="2"/>
      <c r="AHT130" s="2"/>
      <c r="AHU130" s="2"/>
      <c r="AHV130" s="2"/>
      <c r="AHW130" s="2"/>
      <c r="AHX130" s="2"/>
      <c r="AHY130" s="2"/>
      <c r="AHZ130" s="2"/>
      <c r="AIA130" s="2"/>
      <c r="AIB130" s="2"/>
      <c r="AIC130" s="2"/>
      <c r="AID130" s="2"/>
      <c r="AIE130" s="2"/>
      <c r="AIF130" s="2"/>
      <c r="AIG130" s="2"/>
      <c r="AIH130" s="2"/>
      <c r="AII130" s="2"/>
      <c r="AIJ130" s="2"/>
      <c r="AIK130" s="2"/>
      <c r="AIL130" s="2"/>
      <c r="AIM130" s="2"/>
      <c r="AIN130" s="2"/>
      <c r="AIO130" s="2"/>
      <c r="AIP130" s="2"/>
      <c r="AIQ130" s="2"/>
      <c r="AIR130" s="2"/>
      <c r="AIS130" s="2"/>
      <c r="AIT130" s="2"/>
      <c r="AIU130" s="2"/>
      <c r="AIV130" s="2"/>
      <c r="AIW130" s="2"/>
      <c r="AIX130" s="2"/>
      <c r="AIY130" s="2"/>
      <c r="AIZ130" s="2"/>
      <c r="AJA130" s="2"/>
      <c r="AJB130" s="2"/>
      <c r="AJC130" s="2"/>
      <c r="AJD130" s="2"/>
      <c r="AJE130" s="2"/>
      <c r="AJF130" s="2"/>
      <c r="AJG130" s="2"/>
      <c r="AJH130" s="2"/>
      <c r="AJI130" s="2"/>
      <c r="AJJ130" s="2"/>
      <c r="AJK130" s="2"/>
      <c r="AJL130" s="2"/>
      <c r="AJM130" s="2"/>
      <c r="AJN130" s="2"/>
      <c r="AJO130" s="2"/>
      <c r="AJP130" s="2"/>
      <c r="AJQ130" s="2"/>
      <c r="AJR130" s="2"/>
      <c r="AJS130" s="2"/>
      <c r="AJT130" s="2"/>
      <c r="AJU130" s="2"/>
      <c r="AJV130" s="2"/>
      <c r="AJW130" s="2"/>
      <c r="AJX130" s="2"/>
      <c r="AJY130" s="2"/>
      <c r="AJZ130" s="2"/>
      <c r="AKA130" s="2"/>
      <c r="AKB130" s="2"/>
      <c r="AKC130" s="2"/>
      <c r="AKD130" s="2"/>
      <c r="AKE130" s="2"/>
      <c r="AKF130" s="2"/>
      <c r="AKG130" s="2"/>
      <c r="AKH130" s="2"/>
      <c r="AKI130" s="2"/>
      <c r="AKJ130" s="2"/>
      <c r="AKK130" s="2"/>
      <c r="AKL130" s="2"/>
      <c r="AKM130" s="2"/>
      <c r="AKN130" s="2"/>
      <c r="AKO130" s="2"/>
      <c r="AKP130" s="2"/>
      <c r="AKQ130" s="2"/>
      <c r="AKR130" s="2"/>
      <c r="AKS130" s="2"/>
      <c r="AKT130" s="2"/>
      <c r="AKU130" s="2"/>
      <c r="AKV130" s="2"/>
      <c r="AKW130" s="2"/>
      <c r="AKX130" s="2"/>
      <c r="AKY130" s="2"/>
      <c r="AKZ130" s="2"/>
      <c r="ALA130" s="2"/>
      <c r="ALB130" s="2"/>
      <c r="ALC130" s="2"/>
      <c r="ALD130" s="2"/>
      <c r="ALE130" s="2"/>
      <c r="ALF130" s="2"/>
      <c r="ALG130" s="2"/>
      <c r="ALH130" s="2"/>
      <c r="ALI130" s="2"/>
      <c r="ALJ130" s="2"/>
      <c r="ALK130" s="2"/>
      <c r="ALL130" s="2"/>
      <c r="ALM130" s="2"/>
      <c r="ALN130" s="2"/>
      <c r="ALO130" s="2"/>
      <c r="ALP130" s="2"/>
      <c r="ALQ130" s="2"/>
      <c r="ALR130" s="2"/>
      <c r="ALS130" s="2"/>
      <c r="ALT130" s="2"/>
      <c r="ALU130" s="2"/>
      <c r="ALV130" s="2"/>
      <c r="ALW130" s="2"/>
      <c r="ALX130" s="2"/>
      <c r="ALY130" s="2"/>
      <c r="ALZ130" s="2"/>
      <c r="AMA130" s="2"/>
      <c r="AMB130" s="2"/>
      <c r="AMC130" s="2"/>
      <c r="AMD130" s="2"/>
      <c r="AME130" s="2"/>
      <c r="AMF130" s="2"/>
      <c r="AMG130" s="2"/>
      <c r="AMH130" s="2"/>
      <c r="AMI130" s="2"/>
      <c r="AMJ130" s="2"/>
      <c r="AMK130" s="2"/>
      <c r="AML130" s="2"/>
      <c r="AMM130" s="2"/>
      <c r="AMN130" s="2"/>
      <c r="AMO130" s="2"/>
    </row>
    <row r="131" spans="1:1029" x14ac:dyDescent="0.2">
      <c r="A131" s="3" t="str">
        <f t="shared" si="811"/>
        <v>agtr1_human_4YAY_dist</v>
      </c>
      <c r="B131" s="3" t="s">
        <v>158</v>
      </c>
      <c r="C131" s="3" t="s">
        <v>1160</v>
      </c>
      <c r="D131" s="3" t="str">
        <f>IFERROR(MID(VLOOKUP($B131,Seqs!$A:$B,2,0),E131,1),"")</f>
        <v>Y</v>
      </c>
      <c r="E131" s="3">
        <v>26</v>
      </c>
      <c r="F131" s="3" t="str">
        <f>IFERROR(MID(VLOOKUP($B131,Seqs!$A:$B,2,0),G131,1),"")</f>
        <v>Y</v>
      </c>
      <c r="G131" s="3">
        <v>56</v>
      </c>
      <c r="H131" s="3" t="str">
        <f>IFERROR(MID(VLOOKUP($B131,Seqs!$A:$B,2,0),I131,1),"")</f>
        <v>M</v>
      </c>
      <c r="I131" s="23">
        <v>57</v>
      </c>
      <c r="J131" s="3" t="str">
        <f>IFERROR(MID(VLOOKUP($B131,Seqs!$A:$B,2,0),K131,1),"")</f>
        <v>K</v>
      </c>
      <c r="K131" s="23">
        <v>60</v>
      </c>
      <c r="L131" s="3" t="str">
        <f>IFERROR(MID(VLOOKUP($B131,Seqs!$A:$B,2,0),M131,1),"")</f>
        <v>T</v>
      </c>
      <c r="M131" s="3">
        <v>61</v>
      </c>
      <c r="N131" s="3" t="str">
        <f>IFERROR(MID(VLOOKUP($B131,Seqs!$A:$B,2,0),O131,1),"")</f>
        <v>M</v>
      </c>
      <c r="O131" s="3">
        <v>90</v>
      </c>
      <c r="P131" s="3" t="str">
        <f>IFERROR(MID(VLOOKUP($B131,Seqs!$A:$B,2,0),Q131,1),"")</f>
        <v>R</v>
      </c>
      <c r="Q131" s="3">
        <v>93</v>
      </c>
      <c r="R131" s="3" t="str">
        <f>IFERROR(MID(VLOOKUP($B131,Seqs!$A:$B,2,0),S131,1),"")</f>
        <v>F</v>
      </c>
      <c r="S131" s="3">
        <v>96</v>
      </c>
      <c r="T131" s="3" t="str">
        <f>IFERROR(MID(VLOOKUP($B131,Seqs!$A:$B,2,0),U131,1),"")</f>
        <v>G</v>
      </c>
      <c r="U131" s="3">
        <v>97</v>
      </c>
      <c r="V131" s="3" t="str">
        <f>IFERROR(MID(VLOOKUP($B131,Seqs!$A:$B,2,0),W131,1),"")</f>
        <v>H</v>
      </c>
      <c r="W131" s="3">
        <v>132</v>
      </c>
      <c r="X131" s="3" t="str">
        <f>IFERROR(MID(VLOOKUP($B131,Seqs!$A:$B,2,0),Y131,1),"")</f>
        <v/>
      </c>
      <c r="Y131" s="3" t="s">
        <v>23</v>
      </c>
      <c r="Z131" s="3" t="str">
        <f>IFERROR(MID(VLOOKUP($B131,Seqs!$A:$B,2,0),AA131,1),"")</f>
        <v/>
      </c>
      <c r="AA131" s="3" t="s">
        <v>23</v>
      </c>
      <c r="AB131" s="3" t="str">
        <f>IFERROR(MID(VLOOKUP($B131,Seqs!$A:$B,2,0),AC131,1),"")</f>
        <v>R</v>
      </c>
      <c r="AC131" s="9">
        <v>137</v>
      </c>
      <c r="AD131" s="3" t="str">
        <f>IFERROR(MID(VLOOKUP($B131,Seqs!$A:$B,2,0),AE131,1),"")</f>
        <v>R</v>
      </c>
      <c r="AE131" s="3">
        <v>167</v>
      </c>
      <c r="AF131" s="3" t="str">
        <f>IFERROR(MID(VLOOKUP($B131,Seqs!$A:$B,2,0),AG131,1),"")</f>
        <v>C</v>
      </c>
      <c r="AG131" s="3">
        <v>180</v>
      </c>
      <c r="AH131" s="3" t="str">
        <f>IFERROR(MID(VLOOKUP($B131,Seqs!$A:$B,2,0),AI131,1),"")</f>
        <v>F</v>
      </c>
      <c r="AI131" s="3">
        <v>182</v>
      </c>
      <c r="AJ131" s="3" t="str">
        <f>IFERROR(MID(VLOOKUP($B131,Seqs!$A:$B,2,0),AK131,1),"")</f>
        <v>L</v>
      </c>
      <c r="AK131" s="3">
        <v>191</v>
      </c>
      <c r="AL131" s="3" t="str">
        <f>IFERROR(MID(VLOOKUP($B131,Seqs!$A:$B,2,0),AM131,1),"")</f>
        <v>L</v>
      </c>
      <c r="AM131" s="3">
        <v>222</v>
      </c>
      <c r="AN131" s="3" t="str">
        <f>IFERROR(MID(VLOOKUP($B131,Seqs!$A:$B,2,0),AO131,1),"")</f>
        <v>N</v>
      </c>
      <c r="AO131" s="3">
        <v>235</v>
      </c>
      <c r="AP131" s="3" t="str">
        <f>IFERROR(MID(VLOOKUP($B131,Seqs!$A:$B,2,0),AQ131,1),"")</f>
        <v>G</v>
      </c>
      <c r="AQ131" s="3">
        <v>269</v>
      </c>
      <c r="AR131" s="3" t="str">
        <f>IFERROR(MID(VLOOKUP($B131,Seqs!$A:$B,2,0),AS131,1),"")</f>
        <v>D</v>
      </c>
      <c r="AS131" s="3">
        <v>273</v>
      </c>
      <c r="AT131" s="3" t="str">
        <f>IFERROR(MID(VLOOKUP($B131,Seqs!$A:$B,2,0),AU131,1),"")</f>
        <v>F</v>
      </c>
      <c r="AU131" s="3">
        <v>304</v>
      </c>
      <c r="AV131" s="3" t="str">
        <f>IFERROR(MID(VLOOKUP($B131,Seqs!$A:$B,2,0),AW131,1),"")</f>
        <v>G</v>
      </c>
      <c r="AW131" s="3">
        <v>306</v>
      </c>
      <c r="AX131" s="3" t="str">
        <f>IFERROR(MID(VLOOKUP($B131,Seqs!$A:$B,2,0),AY131,1),"")</f>
        <v>L</v>
      </c>
      <c r="AY131" s="3">
        <v>317</v>
      </c>
      <c r="AZ131" s="77" t="str">
        <f>VLOOKUP(B131,Classification!A:D,2,0)</f>
        <v>A</v>
      </c>
      <c r="BA131" s="94" t="str">
        <f>VLOOKUP(B131,Classification!A:D,4,0)</f>
        <v>Angiotensin</v>
      </c>
      <c r="BB131" s="27" t="b">
        <f t="shared" si="812"/>
        <v>1</v>
      </c>
      <c r="BC131" s="23">
        <f t="shared" si="589"/>
        <v>251</v>
      </c>
      <c r="BD131" s="5"/>
      <c r="BE131" s="3" t="s">
        <v>1375</v>
      </c>
      <c r="BF131" s="119">
        <v>2.9</v>
      </c>
      <c r="BG131" s="49" t="s">
        <v>1378</v>
      </c>
      <c r="BH131" s="49" t="s">
        <v>1378</v>
      </c>
      <c r="BI131" s="1"/>
      <c r="BJ131" s="70" t="s">
        <v>1288</v>
      </c>
      <c r="BK131" s="57" t="s">
        <v>1288</v>
      </c>
      <c r="BL131" s="57" t="s">
        <v>1288</v>
      </c>
      <c r="BM131" s="57" t="s">
        <v>1288</v>
      </c>
      <c r="BN131" s="57" t="s">
        <v>1288</v>
      </c>
      <c r="BO131" s="57" t="s">
        <v>1288</v>
      </c>
      <c r="BP131" s="57" t="s">
        <v>1288</v>
      </c>
      <c r="BQ131" s="57" t="s">
        <v>1288</v>
      </c>
      <c r="BR131" s="57" t="s">
        <v>1288</v>
      </c>
      <c r="BS131" s="57" t="s">
        <v>1288</v>
      </c>
      <c r="BT131" s="57" t="s">
        <v>1288</v>
      </c>
      <c r="BU131" s="57" t="s">
        <v>1288</v>
      </c>
      <c r="BV131" s="70">
        <f t="shared" si="590"/>
        <v>26</v>
      </c>
      <c r="BW131" s="71">
        <f t="shared" si="591"/>
        <v>57</v>
      </c>
      <c r="BX131" s="72">
        <f t="shared" si="592"/>
        <v>61</v>
      </c>
      <c r="BY131" s="71">
        <f t="shared" si="593"/>
        <v>93</v>
      </c>
      <c r="BZ131" s="72">
        <f t="shared" si="594"/>
        <v>97</v>
      </c>
      <c r="CA131" s="71" t="str">
        <f t="shared" si="595"/>
        <v>-</v>
      </c>
      <c r="CB131" s="72">
        <f t="shared" si="596"/>
        <v>137</v>
      </c>
      <c r="CC131" s="71">
        <f t="shared" si="597"/>
        <v>180</v>
      </c>
      <c r="CD131" s="72">
        <f t="shared" si="598"/>
        <v>191</v>
      </c>
      <c r="CE131" s="71">
        <f t="shared" si="599"/>
        <v>235</v>
      </c>
      <c r="CF131" s="72">
        <f t="shared" si="600"/>
        <v>273</v>
      </c>
      <c r="CG131" s="71">
        <f t="shared" si="601"/>
        <v>306</v>
      </c>
      <c r="CH131" s="70">
        <f t="shared" si="602"/>
        <v>56</v>
      </c>
      <c r="CI131" s="71">
        <f t="shared" si="603"/>
        <v>60</v>
      </c>
      <c r="CJ131" s="72">
        <f t="shared" si="604"/>
        <v>90</v>
      </c>
      <c r="CK131" s="72">
        <f t="shared" si="605"/>
        <v>96</v>
      </c>
      <c r="CL131" s="72">
        <f t="shared" si="606"/>
        <v>132</v>
      </c>
      <c r="CM131" s="72" t="str">
        <f t="shared" si="607"/>
        <v>-</v>
      </c>
      <c r="CN131" s="72">
        <f t="shared" si="608"/>
        <v>167</v>
      </c>
      <c r="CO131" s="72">
        <f t="shared" si="609"/>
        <v>182</v>
      </c>
      <c r="CP131" s="72">
        <f t="shared" si="610"/>
        <v>222</v>
      </c>
      <c r="CQ131" s="72">
        <f t="shared" si="611"/>
        <v>269</v>
      </c>
      <c r="CR131" s="72">
        <f t="shared" si="612"/>
        <v>304</v>
      </c>
      <c r="CS131" s="72">
        <f t="shared" si="613"/>
        <v>317</v>
      </c>
      <c r="CT131" s="23">
        <f t="shared" si="614"/>
        <v>1</v>
      </c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  <c r="RS131" s="2"/>
      <c r="RT131" s="2"/>
      <c r="RU131" s="2"/>
      <c r="RV131" s="2"/>
      <c r="RW131" s="2"/>
      <c r="RX131" s="2"/>
      <c r="RY131" s="2"/>
      <c r="RZ131" s="2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/>
      <c r="TS131" s="2"/>
      <c r="TT131" s="2"/>
      <c r="TU131" s="2"/>
      <c r="TV131" s="2"/>
      <c r="TW131" s="2"/>
      <c r="TX131" s="2"/>
      <c r="TY131" s="2"/>
      <c r="TZ131" s="2"/>
      <c r="UA131" s="2"/>
      <c r="UB131" s="2"/>
      <c r="UC131" s="2"/>
      <c r="UD131" s="2"/>
      <c r="UE131" s="2"/>
      <c r="UF131" s="2"/>
      <c r="UG131" s="2"/>
      <c r="UH131" s="2"/>
      <c r="UI131" s="2"/>
      <c r="UJ131" s="2"/>
      <c r="UK131" s="2"/>
      <c r="UL131" s="2"/>
      <c r="UM131" s="2"/>
      <c r="UN131" s="2"/>
      <c r="UO131" s="2"/>
      <c r="UP131" s="2"/>
      <c r="UQ131" s="2"/>
      <c r="UR131" s="2"/>
      <c r="US131" s="2"/>
      <c r="UT131" s="2"/>
      <c r="UU131" s="2"/>
      <c r="UV131" s="2"/>
      <c r="UW131" s="2"/>
      <c r="UX131" s="2"/>
      <c r="UY131" s="2"/>
      <c r="UZ131" s="2"/>
      <c r="VA131" s="2"/>
      <c r="VB131" s="2"/>
      <c r="VC131" s="2"/>
      <c r="VD131" s="2"/>
      <c r="VE131" s="2"/>
      <c r="VF131" s="2"/>
      <c r="VG131" s="2"/>
      <c r="VH131" s="2"/>
      <c r="VI131" s="2"/>
      <c r="VJ131" s="2"/>
      <c r="VK131" s="2"/>
      <c r="VL131" s="2"/>
      <c r="VM131" s="2"/>
      <c r="VN131" s="2"/>
      <c r="VO131" s="2"/>
      <c r="VP131" s="2"/>
      <c r="VQ131" s="2"/>
      <c r="VR131" s="2"/>
      <c r="VS131" s="2"/>
      <c r="VT131" s="2"/>
      <c r="VU131" s="2"/>
      <c r="VV131" s="2"/>
      <c r="VW131" s="2"/>
      <c r="VX131" s="2"/>
      <c r="VY131" s="2"/>
      <c r="VZ131" s="2"/>
      <c r="WA131" s="2"/>
      <c r="WB131" s="2"/>
      <c r="WC131" s="2"/>
      <c r="WD131" s="2"/>
      <c r="WE131" s="2"/>
      <c r="WF131" s="2"/>
      <c r="WG131" s="2"/>
      <c r="WH131" s="2"/>
      <c r="WI131" s="2"/>
      <c r="WJ131" s="2"/>
      <c r="WK131" s="2"/>
      <c r="WL131" s="2"/>
      <c r="WM131" s="2"/>
      <c r="WN131" s="2"/>
      <c r="WO131" s="2"/>
      <c r="WP131" s="2"/>
      <c r="WQ131" s="2"/>
      <c r="WR131" s="2"/>
      <c r="WS131" s="2"/>
      <c r="WT131" s="2"/>
      <c r="WU131" s="2"/>
      <c r="WV131" s="2"/>
      <c r="WW131" s="2"/>
      <c r="WX131" s="2"/>
      <c r="WY131" s="2"/>
      <c r="WZ131" s="2"/>
      <c r="XA131" s="2"/>
      <c r="XB131" s="2"/>
      <c r="XC131" s="2"/>
      <c r="XD131" s="2"/>
      <c r="XE131" s="2"/>
      <c r="XF131" s="2"/>
      <c r="XG131" s="2"/>
      <c r="XH131" s="2"/>
      <c r="XI131" s="2"/>
      <c r="XJ131" s="2"/>
      <c r="XK131" s="2"/>
      <c r="XL131" s="2"/>
      <c r="XM131" s="2"/>
      <c r="XN131" s="2"/>
      <c r="XO131" s="2"/>
      <c r="XP131" s="2"/>
      <c r="XQ131" s="2"/>
      <c r="XR131" s="2"/>
      <c r="XS131" s="2"/>
      <c r="XT131" s="2"/>
      <c r="XU131" s="2"/>
      <c r="XV131" s="2"/>
      <c r="XW131" s="2"/>
      <c r="XX131" s="2"/>
      <c r="XY131" s="2"/>
      <c r="XZ131" s="2"/>
      <c r="YA131" s="2"/>
      <c r="YB131" s="2"/>
      <c r="YC131" s="2"/>
      <c r="YD131" s="2"/>
      <c r="YE131" s="2"/>
      <c r="YF131" s="2"/>
      <c r="YG131" s="2"/>
      <c r="YH131" s="2"/>
      <c r="YI131" s="2"/>
      <c r="YJ131" s="2"/>
      <c r="YK131" s="2"/>
      <c r="YL131" s="2"/>
      <c r="YM131" s="2"/>
      <c r="YN131" s="2"/>
      <c r="YO131" s="2"/>
      <c r="YP131" s="2"/>
      <c r="YQ131" s="2"/>
      <c r="YR131" s="2"/>
      <c r="YS131" s="2"/>
      <c r="YT131" s="2"/>
      <c r="YU131" s="2"/>
      <c r="YV131" s="2"/>
      <c r="YW131" s="2"/>
      <c r="YX131" s="2"/>
      <c r="YY131" s="2"/>
      <c r="YZ131" s="2"/>
      <c r="ZA131" s="2"/>
      <c r="ZB131" s="2"/>
      <c r="ZC131" s="2"/>
      <c r="ZD131" s="2"/>
      <c r="ZE131" s="2"/>
      <c r="ZF131" s="2"/>
      <c r="ZG131" s="2"/>
      <c r="ZH131" s="2"/>
      <c r="ZI131" s="2"/>
      <c r="ZJ131" s="2"/>
      <c r="ZK131" s="2"/>
      <c r="ZL131" s="2"/>
      <c r="ZM131" s="2"/>
      <c r="ZN131" s="2"/>
      <c r="ZO131" s="2"/>
      <c r="ZP131" s="2"/>
      <c r="ZQ131" s="2"/>
      <c r="ZR131" s="2"/>
      <c r="ZS131" s="2"/>
      <c r="ZT131" s="2"/>
      <c r="ZU131" s="2"/>
      <c r="ZV131" s="2"/>
      <c r="ZW131" s="2"/>
      <c r="ZX131" s="2"/>
      <c r="ZY131" s="2"/>
      <c r="ZZ131" s="2"/>
      <c r="AAA131" s="2"/>
      <c r="AAB131" s="2"/>
      <c r="AAC131" s="2"/>
      <c r="AAD131" s="2"/>
      <c r="AAE131" s="2"/>
      <c r="AAF131" s="2"/>
      <c r="AAG131" s="2"/>
      <c r="AAH131" s="2"/>
      <c r="AAI131" s="2"/>
      <c r="AAJ131" s="2"/>
      <c r="AAK131" s="2"/>
      <c r="AAL131" s="2"/>
      <c r="AAM131" s="2"/>
      <c r="AAN131" s="2"/>
      <c r="AAO131" s="2"/>
      <c r="AAP131" s="2"/>
      <c r="AAQ131" s="2"/>
      <c r="AAR131" s="2"/>
      <c r="AAS131" s="2"/>
      <c r="AAT131" s="2"/>
      <c r="AAU131" s="2"/>
      <c r="AAV131" s="2"/>
      <c r="AAW131" s="2"/>
      <c r="AAX131" s="2"/>
      <c r="AAY131" s="2"/>
      <c r="AAZ131" s="2"/>
      <c r="ABA131" s="2"/>
      <c r="ABB131" s="2"/>
      <c r="ABC131" s="2"/>
      <c r="ABD131" s="2"/>
      <c r="ABE131" s="2"/>
      <c r="ABF131" s="2"/>
      <c r="ABG131" s="2"/>
      <c r="ABH131" s="2"/>
      <c r="ABI131" s="2"/>
      <c r="ABJ131" s="2"/>
      <c r="ABK131" s="2"/>
      <c r="ABL131" s="2"/>
      <c r="ABM131" s="2"/>
      <c r="ABN131" s="2"/>
      <c r="ABO131" s="2"/>
      <c r="ABP131" s="2"/>
      <c r="ABQ131" s="2"/>
      <c r="ABR131" s="2"/>
      <c r="ABS131" s="2"/>
      <c r="ABT131" s="2"/>
      <c r="ABU131" s="2"/>
      <c r="ABV131" s="2"/>
      <c r="ABW131" s="2"/>
      <c r="ABX131" s="2"/>
      <c r="ABY131" s="2"/>
      <c r="ABZ131" s="2"/>
      <c r="ACA131" s="2"/>
      <c r="ACB131" s="2"/>
      <c r="ACC131" s="2"/>
      <c r="ACD131" s="2"/>
      <c r="ACE131" s="2"/>
      <c r="ACF131" s="2"/>
      <c r="ACG131" s="2"/>
      <c r="ACH131" s="2"/>
      <c r="ACI131" s="2"/>
      <c r="ACJ131" s="2"/>
      <c r="ACK131" s="2"/>
      <c r="ACL131" s="2"/>
      <c r="ACM131" s="2"/>
      <c r="ACN131" s="2"/>
      <c r="ACO131" s="2"/>
      <c r="ACP131" s="2"/>
      <c r="ACQ131" s="2"/>
      <c r="ACR131" s="2"/>
      <c r="ACS131" s="2"/>
      <c r="ACT131" s="2"/>
      <c r="ACU131" s="2"/>
      <c r="ACV131" s="2"/>
      <c r="ACW131" s="2"/>
      <c r="ACX131" s="2"/>
      <c r="ACY131" s="2"/>
      <c r="ACZ131" s="2"/>
      <c r="ADA131" s="2"/>
      <c r="ADB131" s="2"/>
      <c r="ADC131" s="2"/>
      <c r="ADD131" s="2"/>
      <c r="ADE131" s="2"/>
      <c r="ADF131" s="2"/>
      <c r="ADG131" s="2"/>
      <c r="ADH131" s="2"/>
      <c r="ADI131" s="2"/>
      <c r="ADJ131" s="2"/>
      <c r="ADK131" s="2"/>
      <c r="ADL131" s="2"/>
      <c r="ADM131" s="2"/>
      <c r="ADN131" s="2"/>
      <c r="ADO131" s="2"/>
      <c r="ADP131" s="2"/>
      <c r="ADQ131" s="2"/>
      <c r="ADR131" s="2"/>
      <c r="ADS131" s="2"/>
      <c r="ADT131" s="2"/>
      <c r="ADU131" s="2"/>
      <c r="ADV131" s="2"/>
      <c r="ADW131" s="2"/>
      <c r="ADX131" s="2"/>
      <c r="ADY131" s="2"/>
      <c r="ADZ131" s="2"/>
      <c r="AEA131" s="2"/>
      <c r="AEB131" s="2"/>
      <c r="AEC131" s="2"/>
      <c r="AED131" s="2"/>
      <c r="AEE131" s="2"/>
      <c r="AEF131" s="2"/>
      <c r="AEG131" s="2"/>
      <c r="AEH131" s="2"/>
      <c r="AEI131" s="2"/>
      <c r="AEJ131" s="2"/>
      <c r="AEK131" s="2"/>
      <c r="AEL131" s="2"/>
      <c r="AEM131" s="2"/>
      <c r="AEN131" s="2"/>
      <c r="AEO131" s="2"/>
      <c r="AEP131" s="2"/>
      <c r="AEQ131" s="2"/>
      <c r="AER131" s="2"/>
      <c r="AES131" s="2"/>
      <c r="AET131" s="2"/>
      <c r="AEU131" s="2"/>
      <c r="AEV131" s="2"/>
      <c r="AEW131" s="2"/>
      <c r="AEX131" s="2"/>
      <c r="AEY131" s="2"/>
      <c r="AEZ131" s="2"/>
      <c r="AFA131" s="2"/>
      <c r="AFB131" s="2"/>
      <c r="AFC131" s="2"/>
      <c r="AFD131" s="2"/>
      <c r="AFE131" s="2"/>
      <c r="AFF131" s="2"/>
      <c r="AFG131" s="2"/>
      <c r="AFH131" s="2"/>
      <c r="AFI131" s="2"/>
      <c r="AFJ131" s="2"/>
      <c r="AFK131" s="2"/>
      <c r="AFL131" s="2"/>
      <c r="AFM131" s="2"/>
      <c r="AFN131" s="2"/>
      <c r="AFO131" s="2"/>
      <c r="AFP131" s="2"/>
      <c r="AFQ131" s="2"/>
      <c r="AFR131" s="2"/>
      <c r="AFS131" s="2"/>
      <c r="AFT131" s="2"/>
      <c r="AFU131" s="2"/>
      <c r="AFV131" s="2"/>
      <c r="AFW131" s="2"/>
      <c r="AFX131" s="2"/>
      <c r="AFY131" s="2"/>
      <c r="AFZ131" s="2"/>
      <c r="AGA131" s="2"/>
      <c r="AGB131" s="2"/>
      <c r="AGC131" s="2"/>
      <c r="AGD131" s="2"/>
      <c r="AGE131" s="2"/>
      <c r="AGF131" s="2"/>
      <c r="AGG131" s="2"/>
      <c r="AGH131" s="2"/>
      <c r="AGI131" s="2"/>
      <c r="AGJ131" s="2"/>
      <c r="AGK131" s="2"/>
      <c r="AGL131" s="2"/>
      <c r="AGM131" s="2"/>
      <c r="AGN131" s="2"/>
      <c r="AGO131" s="2"/>
      <c r="AGP131" s="2"/>
      <c r="AGQ131" s="2"/>
      <c r="AGR131" s="2"/>
      <c r="AGS131" s="2"/>
      <c r="AGT131" s="2"/>
      <c r="AGU131" s="2"/>
      <c r="AGV131" s="2"/>
      <c r="AGW131" s="2"/>
      <c r="AGX131" s="2"/>
      <c r="AGY131" s="2"/>
      <c r="AGZ131" s="2"/>
      <c r="AHA131" s="2"/>
      <c r="AHB131" s="2"/>
      <c r="AHC131" s="2"/>
      <c r="AHD131" s="2"/>
      <c r="AHE131" s="2"/>
      <c r="AHF131" s="2"/>
      <c r="AHG131" s="2"/>
      <c r="AHH131" s="2"/>
      <c r="AHI131" s="2"/>
      <c r="AHJ131" s="2"/>
      <c r="AHK131" s="2"/>
      <c r="AHL131" s="2"/>
      <c r="AHM131" s="2"/>
      <c r="AHN131" s="2"/>
      <c r="AHO131" s="2"/>
      <c r="AHP131" s="2"/>
      <c r="AHQ131" s="2"/>
      <c r="AHR131" s="2"/>
      <c r="AHS131" s="2"/>
      <c r="AHT131" s="2"/>
      <c r="AHU131" s="2"/>
      <c r="AHV131" s="2"/>
      <c r="AHW131" s="2"/>
      <c r="AHX131" s="2"/>
      <c r="AHY131" s="2"/>
      <c r="AHZ131" s="2"/>
      <c r="AIA131" s="2"/>
      <c r="AIB131" s="2"/>
      <c r="AIC131" s="2"/>
      <c r="AID131" s="2"/>
      <c r="AIE131" s="2"/>
      <c r="AIF131" s="2"/>
      <c r="AIG131" s="2"/>
      <c r="AIH131" s="2"/>
      <c r="AII131" s="2"/>
      <c r="AIJ131" s="2"/>
      <c r="AIK131" s="2"/>
      <c r="AIL131" s="2"/>
      <c r="AIM131" s="2"/>
      <c r="AIN131" s="2"/>
      <c r="AIO131" s="2"/>
      <c r="AIP131" s="2"/>
      <c r="AIQ131" s="2"/>
      <c r="AIR131" s="2"/>
      <c r="AIS131" s="2"/>
      <c r="AIT131" s="2"/>
      <c r="AIU131" s="2"/>
      <c r="AIV131" s="2"/>
      <c r="AIW131" s="2"/>
      <c r="AIX131" s="2"/>
      <c r="AIY131" s="2"/>
      <c r="AIZ131" s="2"/>
      <c r="AJA131" s="2"/>
      <c r="AJB131" s="2"/>
      <c r="AJC131" s="2"/>
      <c r="AJD131" s="2"/>
      <c r="AJE131" s="2"/>
      <c r="AJF131" s="2"/>
      <c r="AJG131" s="2"/>
      <c r="AJH131" s="2"/>
      <c r="AJI131" s="2"/>
      <c r="AJJ131" s="2"/>
      <c r="AJK131" s="2"/>
      <c r="AJL131" s="2"/>
      <c r="AJM131" s="2"/>
      <c r="AJN131" s="2"/>
      <c r="AJO131" s="2"/>
      <c r="AJP131" s="2"/>
      <c r="AJQ131" s="2"/>
      <c r="AJR131" s="2"/>
      <c r="AJS131" s="2"/>
      <c r="AJT131" s="2"/>
      <c r="AJU131" s="2"/>
      <c r="AJV131" s="2"/>
      <c r="AJW131" s="2"/>
      <c r="AJX131" s="2"/>
      <c r="AJY131" s="2"/>
      <c r="AJZ131" s="2"/>
      <c r="AKA131" s="2"/>
      <c r="AKB131" s="2"/>
      <c r="AKC131" s="2"/>
      <c r="AKD131" s="2"/>
      <c r="AKE131" s="2"/>
      <c r="AKF131" s="2"/>
      <c r="AKG131" s="2"/>
      <c r="AKH131" s="2"/>
      <c r="AKI131" s="2"/>
      <c r="AKJ131" s="2"/>
      <c r="AKK131" s="2"/>
      <c r="AKL131" s="2"/>
      <c r="AKM131" s="2"/>
      <c r="AKN131" s="2"/>
      <c r="AKO131" s="2"/>
      <c r="AKP131" s="2"/>
      <c r="AKQ131" s="2"/>
      <c r="AKR131" s="2"/>
      <c r="AKS131" s="2"/>
      <c r="AKT131" s="2"/>
      <c r="AKU131" s="2"/>
      <c r="AKV131" s="2"/>
      <c r="AKW131" s="2"/>
      <c r="AKX131" s="2"/>
      <c r="AKY131" s="2"/>
      <c r="AKZ131" s="2"/>
      <c r="ALA131" s="2"/>
      <c r="ALB131" s="2"/>
      <c r="ALC131" s="2"/>
      <c r="ALD131" s="2"/>
      <c r="ALE131" s="2"/>
      <c r="ALF131" s="2"/>
      <c r="ALG131" s="2"/>
      <c r="ALH131" s="2"/>
      <c r="ALI131" s="2"/>
      <c r="ALJ131" s="2"/>
      <c r="ALK131" s="2"/>
      <c r="ALL131" s="2"/>
      <c r="ALM131" s="2"/>
      <c r="ALN131" s="2"/>
      <c r="ALO131" s="2"/>
      <c r="ALP131" s="2"/>
      <c r="ALQ131" s="2"/>
      <c r="ALR131" s="2"/>
      <c r="ALS131" s="2"/>
      <c r="ALT131" s="2"/>
      <c r="ALU131" s="2"/>
      <c r="ALV131" s="2"/>
      <c r="ALW131" s="2"/>
      <c r="ALX131" s="2"/>
      <c r="ALY131" s="2"/>
      <c r="ALZ131" s="2"/>
      <c r="AMA131" s="2"/>
      <c r="AMB131" s="2"/>
      <c r="AMC131" s="2"/>
      <c r="AMD131" s="2"/>
      <c r="AME131" s="2"/>
      <c r="AMF131" s="2"/>
      <c r="AMG131" s="2"/>
      <c r="AMH131" s="2"/>
      <c r="AMI131" s="2"/>
      <c r="AMJ131" s="2"/>
      <c r="AMK131" s="2"/>
      <c r="AML131" s="2"/>
      <c r="AMM131" s="2"/>
      <c r="AMN131" s="2"/>
      <c r="AMO131" s="2"/>
    </row>
    <row r="132" spans="1:1029" x14ac:dyDescent="0.2">
      <c r="A132" s="3" t="str">
        <f t="shared" si="811"/>
        <v>agtr1_human_4ZUD</v>
      </c>
      <c r="B132" s="3" t="s">
        <v>158</v>
      </c>
      <c r="C132" s="3" t="s">
        <v>1337</v>
      </c>
      <c r="D132" s="3" t="str">
        <f>IFERROR(MID(VLOOKUP($B132,Seqs!$A:$B,2,0),E132,1),"")</f>
        <v>H</v>
      </c>
      <c r="E132" s="3">
        <v>24</v>
      </c>
      <c r="F132" s="3" t="str">
        <f>IFERROR(MID(VLOOKUP($B132,Seqs!$A:$B,2,0),G132,1),"")</f>
        <v>Y</v>
      </c>
      <c r="G132" s="3">
        <v>56</v>
      </c>
      <c r="H132" s="3" t="str">
        <f>IFERROR(MID(VLOOKUP($B132,Seqs!$A:$B,2,0),I132,1),"")</f>
        <v>M</v>
      </c>
      <c r="I132" s="23">
        <v>57</v>
      </c>
      <c r="J132" s="3" t="str">
        <f>IFERROR(MID(VLOOKUP($B132,Seqs!$A:$B,2,0),K132,1),"")</f>
        <v>K</v>
      </c>
      <c r="K132" s="23">
        <v>60</v>
      </c>
      <c r="L132" s="3" t="str">
        <f>IFERROR(MID(VLOOKUP($B132,Seqs!$A:$B,2,0),M132,1),"")</f>
        <v>T</v>
      </c>
      <c r="M132" s="3">
        <v>61</v>
      </c>
      <c r="N132" s="3" t="str">
        <f>IFERROR(MID(VLOOKUP($B132,Seqs!$A:$B,2,0),O132,1),"")</f>
        <v>M</v>
      </c>
      <c r="O132" s="3">
        <v>90</v>
      </c>
      <c r="P132" s="3" t="str">
        <f>IFERROR(MID(VLOOKUP($B132,Seqs!$A:$B,2,0),Q132,1),"")</f>
        <v>R</v>
      </c>
      <c r="Q132" s="3">
        <v>93</v>
      </c>
      <c r="R132" s="3" t="str">
        <f>IFERROR(MID(VLOOKUP($B132,Seqs!$A:$B,2,0),S132,1),"")</f>
        <v>F</v>
      </c>
      <c r="S132" s="3">
        <v>96</v>
      </c>
      <c r="T132" s="3" t="str">
        <f>IFERROR(MID(VLOOKUP($B132,Seqs!$A:$B,2,0),U132,1),"")</f>
        <v>G</v>
      </c>
      <c r="U132" s="3">
        <v>97</v>
      </c>
      <c r="V132" s="3" t="str">
        <f>IFERROR(MID(VLOOKUP($B132,Seqs!$A:$B,2,0),W132,1),"")</f>
        <v>H</v>
      </c>
      <c r="W132" s="3">
        <v>132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M</v>
      </c>
      <c r="AC132" s="9">
        <v>142</v>
      </c>
      <c r="AD132" s="3" t="str">
        <f>IFERROR(MID(VLOOKUP($B132,Seqs!$A:$B,2,0),AE132,1),"")</f>
        <v>R</v>
      </c>
      <c r="AE132" s="3">
        <v>167</v>
      </c>
      <c r="AF132" s="3" t="str">
        <f>IFERROR(MID(VLOOKUP($B132,Seqs!$A:$B,2,0),AG132,1),"")</f>
        <v>C</v>
      </c>
      <c r="AG132" s="3">
        <v>180</v>
      </c>
      <c r="AH132" s="3" t="str">
        <f>IFERROR(MID(VLOOKUP($B132,Seqs!$A:$B,2,0),AI132,1),"")</f>
        <v>F</v>
      </c>
      <c r="AI132" s="3">
        <v>182</v>
      </c>
      <c r="AJ132" s="3" t="str">
        <f>IFERROR(MID(VLOOKUP($B132,Seqs!$A:$B,2,0),AK132,1),"")</f>
        <v>L</v>
      </c>
      <c r="AK132" s="3">
        <v>191</v>
      </c>
      <c r="AL132" s="3" t="str">
        <f>IFERROR(MID(VLOOKUP($B132,Seqs!$A:$B,2,0),AM132,1),"")</f>
        <v>L</v>
      </c>
      <c r="AM132" s="3">
        <v>222</v>
      </c>
      <c r="AN132" s="3" t="str">
        <f>IFERROR(MID(VLOOKUP($B132,Seqs!$A:$B,2,0),AO132,1),"")</f>
        <v>D</v>
      </c>
      <c r="AO132" s="3">
        <v>236</v>
      </c>
      <c r="AP132" s="3" t="str">
        <f>IFERROR(MID(VLOOKUP($B132,Seqs!$A:$B,2,0),AQ132,1),"")</f>
        <v>G</v>
      </c>
      <c r="AQ132" s="3">
        <v>269</v>
      </c>
      <c r="AR132" s="3" t="str">
        <f>IFERROR(MID(VLOOKUP($B132,Seqs!$A:$B,2,0),AS132,1),"")</f>
        <v>D</v>
      </c>
      <c r="AS132" s="3">
        <v>273</v>
      </c>
      <c r="AT132" s="3" t="str">
        <f>IFERROR(MID(VLOOKUP($B132,Seqs!$A:$B,2,0),AU132,1),"")</f>
        <v>F</v>
      </c>
      <c r="AU132" s="3">
        <v>304</v>
      </c>
      <c r="AV132" s="3" t="str">
        <f>IFERROR(MID(VLOOKUP($B132,Seqs!$A:$B,2,0),AW132,1),"")</f>
        <v/>
      </c>
      <c r="AW132" s="3" t="s">
        <v>23</v>
      </c>
      <c r="AX132" s="3" t="str">
        <f>IFERROR(MID(VLOOKUP($B132,Seqs!$A:$B,2,0),AY132,1),"")</f>
        <v/>
      </c>
      <c r="AY132" s="3" t="s">
        <v>23</v>
      </c>
      <c r="AZ132" s="77" t="str">
        <f>VLOOKUP(B132,Classification!A:D,2,0)</f>
        <v>A</v>
      </c>
      <c r="BA132" s="94" t="str">
        <f>VLOOKUP(B132,Classification!A:D,4,0)</f>
        <v>Angiotensin</v>
      </c>
      <c r="BB132" s="27" t="b">
        <f t="shared" si="812"/>
        <v>1</v>
      </c>
      <c r="BC132" s="23">
        <f t="shared" si="589"/>
        <v>236</v>
      </c>
      <c r="BD132" s="2" t="s">
        <v>1377</v>
      </c>
      <c r="BE132" s="3" t="s">
        <v>1375</v>
      </c>
      <c r="BF132" s="119">
        <v>2.8</v>
      </c>
      <c r="BG132" s="49" t="s">
        <v>1378</v>
      </c>
      <c r="BH132" s="49" t="s">
        <v>1378</v>
      </c>
      <c r="BI132" s="1"/>
      <c r="BJ132" s="70" t="s">
        <v>1288</v>
      </c>
      <c r="BK132" s="57" t="s">
        <v>1288</v>
      </c>
      <c r="BL132" s="57" t="s">
        <v>1288</v>
      </c>
      <c r="BM132" s="57" t="s">
        <v>1288</v>
      </c>
      <c r="BN132" s="57" t="s">
        <v>1288</v>
      </c>
      <c r="BO132" s="57" t="s">
        <v>1288</v>
      </c>
      <c r="BP132" s="57" t="s">
        <v>1288</v>
      </c>
      <c r="BQ132" s="57" t="s">
        <v>1288</v>
      </c>
      <c r="BR132" s="57" t="s">
        <v>1288</v>
      </c>
      <c r="BS132" s="57" t="s">
        <v>1288</v>
      </c>
      <c r="BT132" s="57" t="s">
        <v>1288</v>
      </c>
      <c r="BU132" s="57" t="s">
        <v>1288</v>
      </c>
      <c r="BV132" s="70">
        <f t="shared" si="590"/>
        <v>24</v>
      </c>
      <c r="BW132" s="71">
        <f t="shared" si="591"/>
        <v>57</v>
      </c>
      <c r="BX132" s="72">
        <f t="shared" si="592"/>
        <v>61</v>
      </c>
      <c r="BY132" s="71">
        <f t="shared" si="593"/>
        <v>93</v>
      </c>
      <c r="BZ132" s="72">
        <f t="shared" si="594"/>
        <v>97</v>
      </c>
      <c r="CA132" s="71" t="str">
        <f t="shared" si="595"/>
        <v>-</v>
      </c>
      <c r="CB132" s="72">
        <f t="shared" si="596"/>
        <v>142</v>
      </c>
      <c r="CC132" s="71">
        <f t="shared" si="597"/>
        <v>180</v>
      </c>
      <c r="CD132" s="72">
        <f t="shared" si="598"/>
        <v>191</v>
      </c>
      <c r="CE132" s="71">
        <f t="shared" si="599"/>
        <v>236</v>
      </c>
      <c r="CF132" s="72">
        <f t="shared" si="600"/>
        <v>273</v>
      </c>
      <c r="CG132" s="71" t="str">
        <f t="shared" si="601"/>
        <v>-</v>
      </c>
      <c r="CH132" s="70">
        <f t="shared" si="602"/>
        <v>56</v>
      </c>
      <c r="CI132" s="71">
        <f t="shared" si="603"/>
        <v>60</v>
      </c>
      <c r="CJ132" s="72">
        <f t="shared" si="604"/>
        <v>90</v>
      </c>
      <c r="CK132" s="72">
        <f t="shared" si="605"/>
        <v>96</v>
      </c>
      <c r="CL132" s="72">
        <f t="shared" si="606"/>
        <v>132</v>
      </c>
      <c r="CM132" s="72" t="str">
        <f t="shared" si="607"/>
        <v>-</v>
      </c>
      <c r="CN132" s="72">
        <f t="shared" si="608"/>
        <v>167</v>
      </c>
      <c r="CO132" s="72">
        <f t="shared" si="609"/>
        <v>182</v>
      </c>
      <c r="CP132" s="72">
        <f t="shared" si="610"/>
        <v>222</v>
      </c>
      <c r="CQ132" s="72">
        <f t="shared" si="611"/>
        <v>269</v>
      </c>
      <c r="CR132" s="72">
        <f t="shared" si="612"/>
        <v>304</v>
      </c>
      <c r="CS132" s="72" t="str">
        <f t="shared" si="613"/>
        <v>-</v>
      </c>
      <c r="CT132" s="23">
        <f t="shared" si="614"/>
        <v>1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29" s="12" customFormat="1" x14ac:dyDescent="0.2">
      <c r="A133" s="9" t="str">
        <f t="shared" ref="A133" si="813">CONCATENATE(B133,"_",C133)</f>
        <v>agtr1_human_6DO1</v>
      </c>
      <c r="B133" s="9" t="s">
        <v>158</v>
      </c>
      <c r="C133" s="9" t="s">
        <v>1556</v>
      </c>
      <c r="D133" s="9" t="str">
        <f>IFERROR(MID(VLOOKUP($B133,Seqs!$A:$B,2,0),E133,1),"")</f>
        <v>H</v>
      </c>
      <c r="E133" s="9">
        <v>24</v>
      </c>
      <c r="F133" s="9" t="str">
        <f>IFERROR(MID(VLOOKUP($B133,Seqs!$A:$B,2,0),G133,1),"")</f>
        <v>Y</v>
      </c>
      <c r="G133" s="9">
        <v>56</v>
      </c>
      <c r="H133" s="9" t="str">
        <f>IFERROR(MID(VLOOKUP($B133,Seqs!$A:$B,2,0),I133,1),"")</f>
        <v/>
      </c>
      <c r="I133" s="109" t="s">
        <v>23</v>
      </c>
      <c r="J133" s="9" t="str">
        <f>IFERROR(MID(VLOOKUP($B133,Seqs!$A:$B,2,0),K133,1),"")</f>
        <v/>
      </c>
      <c r="K133" s="109" t="s">
        <v>23</v>
      </c>
      <c r="L133" s="9" t="str">
        <f>IFERROR(MID(VLOOKUP($B133,Seqs!$A:$B,2,0),M133,1),"")</f>
        <v>T</v>
      </c>
      <c r="M133" s="9">
        <v>61</v>
      </c>
      <c r="N133" s="9" t="str">
        <f>IFERROR(MID(VLOOKUP($B133,Seqs!$A:$B,2,0),O133,1),"")</f>
        <v>M</v>
      </c>
      <c r="O133" s="9">
        <v>90</v>
      </c>
      <c r="P133" s="9" t="str">
        <f>IFERROR(MID(VLOOKUP($B133,Seqs!$A:$B,2,0),Q133,1),"")</f>
        <v>R</v>
      </c>
      <c r="Q133" s="9">
        <v>93</v>
      </c>
      <c r="R133" s="9" t="str">
        <f>IFERROR(MID(VLOOKUP($B133,Seqs!$A:$B,2,0),S133,1),"")</f>
        <v>F</v>
      </c>
      <c r="S133" s="9">
        <v>96</v>
      </c>
      <c r="T133" s="9" t="str">
        <f>IFERROR(MID(VLOOKUP($B133,Seqs!$A:$B,2,0),U133,1),"")</f>
        <v>G</v>
      </c>
      <c r="U133" s="9">
        <v>97</v>
      </c>
      <c r="V133" s="9" t="str">
        <f>IFERROR(MID(VLOOKUP($B133,Seqs!$A:$B,2,0),W133,1),"")</f>
        <v>H</v>
      </c>
      <c r="W133" s="9">
        <v>132</v>
      </c>
      <c r="X133" s="9" t="str">
        <f>IFERROR(MID(VLOOKUP($B133,Seqs!$A:$B,2,0),Y133,1),"")</f>
        <v>P</v>
      </c>
      <c r="Y133" s="9">
        <v>133</v>
      </c>
      <c r="Z133" s="9" t="str">
        <f>IFERROR(MID(VLOOKUP($B133,Seqs!$A:$B,2,0),AA133,1),"")</f>
        <v>R</v>
      </c>
      <c r="AA133" s="9">
        <v>140</v>
      </c>
      <c r="AB133" s="9" t="str">
        <f>IFERROR(MID(VLOOKUP($B133,Seqs!$A:$B,2,0),AC133,1),"")</f>
        <v>T</v>
      </c>
      <c r="AC133" s="9">
        <v>141</v>
      </c>
      <c r="AD133" s="9" t="str">
        <f>IFERROR(MID(VLOOKUP($B133,Seqs!$A:$B,2,0),AE133,1),"")</f>
        <v>R</v>
      </c>
      <c r="AE133" s="9">
        <v>167</v>
      </c>
      <c r="AF133" s="9" t="str">
        <f>IFERROR(MID(VLOOKUP($B133,Seqs!$A:$B,2,0),AG133,1),"")</f>
        <v>C</v>
      </c>
      <c r="AG133" s="9">
        <v>180</v>
      </c>
      <c r="AH133" s="9" t="str">
        <f>IFERROR(MID(VLOOKUP($B133,Seqs!$A:$B,2,0),AI133,1),"")</f>
        <v>F</v>
      </c>
      <c r="AI133" s="9">
        <v>182</v>
      </c>
      <c r="AJ133" s="9" t="str">
        <f>IFERROR(MID(VLOOKUP($B133,Seqs!$A:$B,2,0),AK133,1),"")</f>
        <v>P</v>
      </c>
      <c r="AK133" s="9">
        <v>192</v>
      </c>
      <c r="AL133" s="9" t="str">
        <f>IFERROR(MID(VLOOKUP($B133,Seqs!$A:$B,2,0),AM133,1),"")</f>
        <v>N</v>
      </c>
      <c r="AM133" s="9">
        <v>231</v>
      </c>
      <c r="AN133" s="9" t="str">
        <f>IFERROR(MID(VLOOKUP($B133,Seqs!$A:$B,2,0),AO133,1),"")</f>
        <v>T</v>
      </c>
      <c r="AO133" s="9">
        <v>336</v>
      </c>
      <c r="AP133" s="9" t="str">
        <f>IFERROR(MID(VLOOKUP($B133,Seqs!$A:$B,2,0),AQ133,1),"")</f>
        <v/>
      </c>
      <c r="AQ133" s="9">
        <v>368</v>
      </c>
      <c r="AR133" s="9" t="str">
        <f>IFERROR(MID(VLOOKUP($B133,Seqs!$A:$B,2,0),AS133,1),"")</f>
        <v/>
      </c>
      <c r="AS133" s="9">
        <v>372</v>
      </c>
      <c r="AT133" s="9" t="str">
        <f>IFERROR(MID(VLOOKUP($B133,Seqs!$A:$B,2,0),AU133,1),"")</f>
        <v/>
      </c>
      <c r="AU133" s="9">
        <v>404</v>
      </c>
      <c r="AV133" s="9" t="str">
        <f>IFERROR(MID(VLOOKUP($B133,Seqs!$A:$B,2,0),AW133,1),"")</f>
        <v/>
      </c>
      <c r="AW133" s="9">
        <v>405</v>
      </c>
      <c r="AX133" s="9" t="str">
        <f>IFERROR(MID(VLOOKUP($B133,Seqs!$A:$B,2,0),AY133,1),"")</f>
        <v/>
      </c>
      <c r="AY133" s="9">
        <v>416</v>
      </c>
      <c r="AZ133" s="110" t="str">
        <f>VLOOKUP(B133,Classification!A:D,2,0)</f>
        <v>A</v>
      </c>
      <c r="BA133" s="98" t="str">
        <f>VLOOKUP(B133,Classification!A:D,4,0)</f>
        <v>Angiotensin</v>
      </c>
      <c r="BB133" s="36" t="b">
        <f t="shared" ref="BB133" si="814">AND(E133&lt;G133,OR(G133&lt;I133,I133="-"),OR(I133&lt;K133,I133="-"),OR(K133&lt;M133,K133="-"),M133&lt;O133,OR(O133&lt;Q133,Q133="-"),OR(Q133&lt;S133,Q133="-"),OR(S133&lt;U133,S133="-"),U133&lt;W133,OR(W133&lt;Y133,Y133="-"),OR(Y133&lt;AA133,Y133="-"),OR(AA133&lt;AC133,AA133="-"),AC133&lt;AE133,OR(AE133&lt;AG133,AG133="-"),OR(AG133&lt;AI133,AG133="-"),OR(AI133&lt;AK133,AI133="-"),AK133&lt;AM133,AM133&lt;AO133,AO133&lt;AQ133,AQ133&lt;AS133,AS133&lt;AU133,OR(AU133&lt;AW133,AW133="-"),OR(AW133&lt;AY133,AW133="-"))</f>
        <v>1</v>
      </c>
      <c r="BC133" s="109">
        <f t="shared" ref="BC133" si="815">_xlfn.AGGREGATE(9,6,CH133:CS133)-_xlfn.AGGREGATE(9,6,BV133:CG133)+12</f>
        <v>260</v>
      </c>
      <c r="BD133" s="40" t="s">
        <v>1376</v>
      </c>
      <c r="BE133" s="9" t="s">
        <v>1292</v>
      </c>
      <c r="BF133" s="120">
        <v>2.9</v>
      </c>
      <c r="BG133" s="51" t="s">
        <v>1</v>
      </c>
      <c r="BH133" s="51" t="s">
        <v>1</v>
      </c>
      <c r="BJ133" s="111" t="s">
        <v>1288</v>
      </c>
      <c r="BK133" s="112" t="s">
        <v>1288</v>
      </c>
      <c r="BL133" s="112" t="s">
        <v>1288</v>
      </c>
      <c r="BM133" s="112" t="s">
        <v>1288</v>
      </c>
      <c r="BN133" s="112" t="s">
        <v>1288</v>
      </c>
      <c r="BO133" s="112" t="s">
        <v>1288</v>
      </c>
      <c r="BP133" s="112" t="s">
        <v>1288</v>
      </c>
      <c r="BQ133" s="112" t="s">
        <v>1288</v>
      </c>
      <c r="BR133" s="112" t="s">
        <v>1288</v>
      </c>
      <c r="BS133" s="112" t="s">
        <v>1288</v>
      </c>
      <c r="BT133" s="112" t="s">
        <v>1288</v>
      </c>
      <c r="BU133" s="112" t="s">
        <v>1288</v>
      </c>
      <c r="BV133" s="111">
        <f t="shared" ref="BV133" si="816">E133</f>
        <v>24</v>
      </c>
      <c r="BW133" s="113" t="str">
        <f t="shared" ref="BW133" si="817">I133</f>
        <v>-</v>
      </c>
      <c r="BX133" s="114">
        <f t="shared" ref="BX133" si="818">M133</f>
        <v>61</v>
      </c>
      <c r="BY133" s="113">
        <f t="shared" ref="BY133" si="819">Q133</f>
        <v>93</v>
      </c>
      <c r="BZ133" s="114">
        <f t="shared" ref="BZ133" si="820">U133</f>
        <v>97</v>
      </c>
      <c r="CA133" s="113">
        <f t="shared" ref="CA133" si="821">Y133</f>
        <v>133</v>
      </c>
      <c r="CB133" s="114">
        <f t="shared" ref="CB133" si="822">AC133</f>
        <v>141</v>
      </c>
      <c r="CC133" s="113">
        <f t="shared" ref="CC133" si="823">AG133</f>
        <v>180</v>
      </c>
      <c r="CD133" s="114">
        <f t="shared" ref="CD133" si="824">AK133</f>
        <v>192</v>
      </c>
      <c r="CE133" s="113">
        <f t="shared" ref="CE133" si="825">AO133</f>
        <v>336</v>
      </c>
      <c r="CF133" s="114">
        <f t="shared" ref="CF133" si="826">AS133</f>
        <v>372</v>
      </c>
      <c r="CG133" s="113">
        <f t="shared" ref="CG133" si="827">AW133</f>
        <v>405</v>
      </c>
      <c r="CH133" s="111">
        <f t="shared" ref="CH133" si="828">G133</f>
        <v>56</v>
      </c>
      <c r="CI133" s="113" t="str">
        <f t="shared" ref="CI133" si="829">K133</f>
        <v>-</v>
      </c>
      <c r="CJ133" s="114">
        <f t="shared" ref="CJ133" si="830">O133</f>
        <v>90</v>
      </c>
      <c r="CK133" s="114">
        <f t="shared" ref="CK133" si="831">S133</f>
        <v>96</v>
      </c>
      <c r="CL133" s="114">
        <f t="shared" ref="CL133" si="832">W133</f>
        <v>132</v>
      </c>
      <c r="CM133" s="114">
        <f t="shared" ref="CM133" si="833">AA133</f>
        <v>140</v>
      </c>
      <c r="CN133" s="114">
        <f t="shared" ref="CN133" si="834">AE133</f>
        <v>167</v>
      </c>
      <c r="CO133" s="114">
        <f t="shared" ref="CO133" si="835">AI133</f>
        <v>182</v>
      </c>
      <c r="CP133" s="114">
        <f t="shared" ref="CP133" si="836">AM133</f>
        <v>231</v>
      </c>
      <c r="CQ133" s="114">
        <f t="shared" ref="CQ133" si="837">AQ133</f>
        <v>368</v>
      </c>
      <c r="CR133" s="114">
        <f t="shared" ref="CR133" si="838">AU133</f>
        <v>404</v>
      </c>
      <c r="CS133" s="114">
        <f t="shared" ref="CS133" si="839">AY133</f>
        <v>416</v>
      </c>
      <c r="CT133" s="109" t="e">
        <f t="shared" ref="CT133" si="840">M133-K133</f>
        <v>#VALUE!</v>
      </c>
    </row>
    <row r="134" spans="1:1029" x14ac:dyDescent="0.2">
      <c r="A134" s="3" t="str">
        <f t="shared" ref="A134:A144" si="841">CONCATENATE(B134,"_",C134)</f>
        <v>agtr2_human__wt</v>
      </c>
      <c r="B134" s="3" t="s">
        <v>159</v>
      </c>
      <c r="C134" s="3" t="s">
        <v>100</v>
      </c>
      <c r="D134" s="3" t="str">
        <f>IFERROR(MID(VLOOKUP($B134,Seqs!$A:$B,2,0),E134,1),"")</f>
        <v>D</v>
      </c>
      <c r="E134" s="3">
        <v>45</v>
      </c>
      <c r="F134" s="3" t="str">
        <f>IFERROR(MID(VLOOKUP($B134,Seqs!$A:$B,2,0),G134,1),"")</f>
        <v>Q</v>
      </c>
      <c r="G134" s="3">
        <v>72</v>
      </c>
      <c r="H134" s="3" t="str">
        <f>IFERROR(MID(VLOOKUP($B134,Seqs!$A:$B,2,0),I134,1),"")</f>
        <v/>
      </c>
      <c r="I134" s="23" t="s">
        <v>23</v>
      </c>
      <c r="J134" s="3" t="str">
        <f>IFERROR(MID(VLOOKUP($B134,Seqs!$A:$B,2,0),K134,1),"")</f>
        <v/>
      </c>
      <c r="K134" s="23" t="s">
        <v>23</v>
      </c>
      <c r="L134" s="3" t="str">
        <f>IFERROR(MID(VLOOKUP($B134,Seqs!$A:$B,2,0),M134,1),"")</f>
        <v>V</v>
      </c>
      <c r="M134" s="3">
        <v>78</v>
      </c>
      <c r="N134" s="3" t="str">
        <f>IFERROR(MID(VLOOKUP($B134,Seqs!$A:$B,2,0),O134,1),"")</f>
        <v>Y</v>
      </c>
      <c r="O134" s="3">
        <v>106</v>
      </c>
      <c r="P134" s="3" t="str">
        <f>IFERROR(MID(VLOOKUP($B134,Seqs!$A:$B,2,0),Q134,1),"")</f>
        <v>R</v>
      </c>
      <c r="Q134" s="3">
        <v>107</v>
      </c>
      <c r="R134" s="3" t="str">
        <f>IFERROR(MID(VLOOKUP($B134,Seqs!$A:$B,2,0),S134,1),"")</f>
        <v>F</v>
      </c>
      <c r="S134" s="3">
        <v>112</v>
      </c>
      <c r="T134" s="3" t="str">
        <f>IFERROR(MID(VLOOKUP($B134,Seqs!$A:$B,2,0),U134,1),"")</f>
        <v>G</v>
      </c>
      <c r="U134" s="3">
        <v>113</v>
      </c>
      <c r="V134" s="3" t="str">
        <f>IFERROR(MID(VLOOKUP($B134,Seqs!$A:$B,2,0),W134,1),"")</f>
        <v>Y</v>
      </c>
      <c r="W134" s="3">
        <v>148</v>
      </c>
      <c r="X134" s="3" t="str">
        <f>IFERROR(MID(VLOOKUP($B134,Seqs!$A:$B,2,0),Y134,1),"")</f>
        <v>P</v>
      </c>
      <c r="Y134" s="3">
        <v>149</v>
      </c>
      <c r="Z134" s="3" t="str">
        <f>IFERROR(MID(VLOOKUP($B134,Seqs!$A:$B,2,0),AA134,1),"")</f>
        <v>R</v>
      </c>
      <c r="AA134" s="3">
        <v>155</v>
      </c>
      <c r="AB134" s="3" t="str">
        <f>IFERROR(MID(VLOOKUP($B134,Seqs!$A:$B,2,0),AC134,1),"")</f>
        <v>N</v>
      </c>
      <c r="AC134" s="3">
        <v>156</v>
      </c>
      <c r="AD134" s="3" t="str">
        <f>IFERROR(MID(VLOOKUP($B134,Seqs!$A:$B,2,0),AE134,1),"")</f>
        <v>R</v>
      </c>
      <c r="AE134" s="3">
        <v>182</v>
      </c>
      <c r="AF134" s="3" t="str">
        <f>IFERROR(MID(VLOOKUP($B134,Seqs!$A:$B,2,0),AG134,1),"")</f>
        <v>C</v>
      </c>
      <c r="AG134" s="3">
        <v>195</v>
      </c>
      <c r="AH134" s="3" t="str">
        <f>IFERROR(MID(VLOOKUP($B134,Seqs!$A:$B,2,0),AI134,1),"")</f>
        <v>M</v>
      </c>
      <c r="AI134" s="3">
        <v>197</v>
      </c>
      <c r="AJ134" s="3" t="str">
        <f>IFERROR(MID(VLOOKUP($B134,Seqs!$A:$B,2,0),AK134,1),"")</f>
        <v>K</v>
      </c>
      <c r="AK134" s="3">
        <v>203</v>
      </c>
      <c r="AL134" s="3" t="str">
        <f>IFERROR(MID(VLOOKUP($B134,Seqs!$A:$B,2,0),AM134,1),"")</f>
        <v>T</v>
      </c>
      <c r="AM134" s="3">
        <v>241</v>
      </c>
      <c r="AN134" s="3" t="str">
        <f>IFERROR(MID(VLOOKUP($B134,Seqs!$A:$B,2,0),AO134,1),"")</f>
        <v>G</v>
      </c>
      <c r="AO134" s="3">
        <v>245</v>
      </c>
      <c r="AP134" s="3" t="str">
        <f>IFERROR(MID(VLOOKUP($B134,Seqs!$A:$B,2,0),AQ134,1),"")</f>
        <v>G</v>
      </c>
      <c r="AQ134" s="3">
        <v>285</v>
      </c>
      <c r="AR134" s="3" t="str">
        <f>IFERROR(MID(VLOOKUP($B134,Seqs!$A:$B,2,0),AS134,1),"")</f>
        <v>S</v>
      </c>
      <c r="AS134" s="3">
        <v>289</v>
      </c>
      <c r="AT134" s="3" t="str">
        <f>IFERROR(MID(VLOOKUP($B134,Seqs!$A:$B,2,0),AU134,1),"")</f>
        <v>V</v>
      </c>
      <c r="AU134" s="3">
        <v>321</v>
      </c>
      <c r="AV134" s="3" t="str">
        <f>IFERROR(MID(VLOOKUP($B134,Seqs!$A:$B,2,0),AW134,1),"")</f>
        <v>G</v>
      </c>
      <c r="AW134" s="3">
        <v>322</v>
      </c>
      <c r="AX134" s="3" t="str">
        <f>IFERROR(MID(VLOOKUP($B134,Seqs!$A:$B,2,0),AY134,1),"")</f>
        <v>P</v>
      </c>
      <c r="AY134" s="3">
        <v>336</v>
      </c>
      <c r="AZ134" s="77" t="str">
        <f>VLOOKUP(B134,Classification!A:D,2,0)</f>
        <v>A</v>
      </c>
      <c r="BA134" s="94" t="str">
        <f>VLOOKUP(B134,Classification!A:D,4,0)</f>
        <v>Angiotensin</v>
      </c>
      <c r="BB134" s="27" t="b">
        <f t="shared" ref="BB134:BB144" si="842">AND(E134&lt;G134,OR(G134&lt;I134,I134="-"),OR(I134&lt;K134,I134="-"),OR(K134&lt;M134,K134="-"),M134&lt;O134,OR(O134&lt;Q134,Q134="-"),OR(Q134&lt;S134,Q134="-"),OR(S134&lt;U134,S134="-"),U134&lt;W134,OR(W134&lt;Y134,Y134="-"),OR(Y134&lt;AA134,Y134="-"),OR(AA134&lt;AC134,AA134="-"),AC134&lt;AE134,OR(AE134&lt;AG134,AG134="-"),OR(AG134&lt;AI134,AG134="-"),OR(AI134&lt;AK134,AI134="-"),AK134&lt;AM134,AM134&lt;AO134,AO134&lt;AQ134,AQ134&lt;AS134,AS134&lt;AU134,OR(AU134&lt;AW134,AW134="-"),OR(AW134&lt;AY134,AW134="-"))</f>
        <v>1</v>
      </c>
      <c r="BC134" s="23">
        <f t="shared" ref="BC134:BC144" si="843">_xlfn.AGGREGATE(9,6,CH134:CS134)-_xlfn.AGGREGATE(9,6,BV134:CG134)+12</f>
        <v>265</v>
      </c>
      <c r="BD134" s="2" t="s">
        <v>23</v>
      </c>
      <c r="BE134" s="3" t="s">
        <v>23</v>
      </c>
      <c r="BF134" s="119" t="s">
        <v>23</v>
      </c>
      <c r="BG134" s="49" t="s">
        <v>1378</v>
      </c>
      <c r="BH134" s="49" t="s">
        <v>1378</v>
      </c>
      <c r="BI134" s="1"/>
      <c r="BJ134" s="70" t="s">
        <v>1288</v>
      </c>
      <c r="BK134" s="57" t="s">
        <v>1288</v>
      </c>
      <c r="BL134" s="57" t="s">
        <v>1288</v>
      </c>
      <c r="BM134" s="57" t="s">
        <v>1288</v>
      </c>
      <c r="BN134" s="57" t="s">
        <v>1288</v>
      </c>
      <c r="BO134" s="57" t="s">
        <v>1288</v>
      </c>
      <c r="BP134" s="57" t="s">
        <v>1288</v>
      </c>
      <c r="BQ134" s="57" t="s">
        <v>1288</v>
      </c>
      <c r="BR134" s="57" t="s">
        <v>1288</v>
      </c>
      <c r="BS134" s="57" t="s">
        <v>1288</v>
      </c>
      <c r="BT134" s="57" t="s">
        <v>1288</v>
      </c>
      <c r="BU134" s="57" t="s">
        <v>1288</v>
      </c>
      <c r="BV134" s="70">
        <f t="shared" ref="BV134:BV144" si="844">E134</f>
        <v>45</v>
      </c>
      <c r="BW134" s="71" t="str">
        <f t="shared" ref="BW134:BW144" si="845">I134</f>
        <v>-</v>
      </c>
      <c r="BX134" s="72">
        <f t="shared" ref="BX134:BX144" si="846">M134</f>
        <v>78</v>
      </c>
      <c r="BY134" s="71">
        <f t="shared" ref="BY134:BY144" si="847">Q134</f>
        <v>107</v>
      </c>
      <c r="BZ134" s="72">
        <f t="shared" ref="BZ134:BZ144" si="848">U134</f>
        <v>113</v>
      </c>
      <c r="CA134" s="71">
        <f t="shared" ref="CA134:CA144" si="849">Y134</f>
        <v>149</v>
      </c>
      <c r="CB134" s="72">
        <f t="shared" ref="CB134:CB144" si="850">AC134</f>
        <v>156</v>
      </c>
      <c r="CC134" s="71">
        <f t="shared" ref="CC134:CC144" si="851">AG134</f>
        <v>195</v>
      </c>
      <c r="CD134" s="72">
        <f t="shared" ref="CD134:CD144" si="852">AK134</f>
        <v>203</v>
      </c>
      <c r="CE134" s="71">
        <f t="shared" ref="CE134:CE144" si="853">AO134</f>
        <v>245</v>
      </c>
      <c r="CF134" s="72">
        <f t="shared" ref="CF134:CF144" si="854">AS134</f>
        <v>289</v>
      </c>
      <c r="CG134" s="71">
        <f t="shared" ref="CG134:CG144" si="855">AW134</f>
        <v>322</v>
      </c>
      <c r="CH134" s="70">
        <f t="shared" ref="CH134:CH144" si="856">G134</f>
        <v>72</v>
      </c>
      <c r="CI134" s="71" t="str">
        <f t="shared" ref="CI134:CI144" si="857">K134</f>
        <v>-</v>
      </c>
      <c r="CJ134" s="72">
        <f t="shared" ref="CJ134:CJ144" si="858">O134</f>
        <v>106</v>
      </c>
      <c r="CK134" s="72">
        <f t="shared" ref="CK134:CK144" si="859">S134</f>
        <v>112</v>
      </c>
      <c r="CL134" s="72">
        <f t="shared" ref="CL134:CL144" si="860">W134</f>
        <v>148</v>
      </c>
      <c r="CM134" s="72">
        <f t="shared" ref="CM134:CM144" si="861">AA134</f>
        <v>155</v>
      </c>
      <c r="CN134" s="72">
        <f t="shared" ref="CN134:CN144" si="862">AE134</f>
        <v>182</v>
      </c>
      <c r="CO134" s="72">
        <f t="shared" ref="CO134:CO144" si="863">AI134</f>
        <v>197</v>
      </c>
      <c r="CP134" s="72">
        <f t="shared" ref="CP134:CP144" si="864">AM134</f>
        <v>241</v>
      </c>
      <c r="CQ134" s="72">
        <f t="shared" ref="CQ134:CQ144" si="865">AQ134</f>
        <v>285</v>
      </c>
      <c r="CR134" s="72">
        <f t="shared" ref="CR134:CR144" si="866">AU134</f>
        <v>321</v>
      </c>
      <c r="CS134" s="72">
        <f t="shared" ref="CS134:CS144" si="867">AY134</f>
        <v>336</v>
      </c>
      <c r="CT134" s="23" t="e">
        <f t="shared" ref="CT134:CT144" si="868">M134-K134</f>
        <v>#VALUE!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29" x14ac:dyDescent="0.2">
      <c r="A135" s="3" t="str">
        <f t="shared" si="841"/>
        <v>agtr2_human_5UNF</v>
      </c>
      <c r="B135" s="3" t="s">
        <v>159</v>
      </c>
      <c r="C135" s="3" t="s">
        <v>1393</v>
      </c>
      <c r="D135" s="3" t="str">
        <f>IFERROR(MID(VLOOKUP($B135,Seqs!$A:$B,2,0),E135,1),"")</f>
        <v>A</v>
      </c>
      <c r="E135" s="3">
        <v>46</v>
      </c>
      <c r="F135" s="3" t="str">
        <f>IFERROR(MID(VLOOKUP($B135,Seqs!$A:$B,2,0),G135,1),"")</f>
        <v>Q</v>
      </c>
      <c r="G135" s="3">
        <v>72</v>
      </c>
      <c r="H135" s="3" t="str">
        <f>IFERROR(MID(VLOOKUP($B135,Seqs!$A:$B,2,0),I135,1),"")</f>
        <v/>
      </c>
      <c r="I135" s="23" t="s">
        <v>23</v>
      </c>
      <c r="J135" s="3" t="str">
        <f>IFERROR(MID(VLOOKUP($B135,Seqs!$A:$B,2,0),K135,1),"")</f>
        <v/>
      </c>
      <c r="K135" s="23" t="s">
        <v>23</v>
      </c>
      <c r="L135" s="3" t="str">
        <f>IFERROR(MID(VLOOKUP($B135,Seqs!$A:$B,2,0),M135,1),"")</f>
        <v>V</v>
      </c>
      <c r="M135" s="3">
        <v>78</v>
      </c>
      <c r="N135" s="3" t="str">
        <f>IFERROR(MID(VLOOKUP($B135,Seqs!$A:$B,2,0),O135,1),"")</f>
        <v>Y</v>
      </c>
      <c r="O135" s="3">
        <v>106</v>
      </c>
      <c r="P135" s="3" t="str">
        <f>IFERROR(MID(VLOOKUP($B135,Seqs!$A:$B,2,0),Q135,1),"")</f>
        <v>R</v>
      </c>
      <c r="Q135" s="3">
        <v>107</v>
      </c>
      <c r="R135" s="3" t="str">
        <f>IFERROR(MID(VLOOKUP($B135,Seqs!$A:$B,2,0),S135,1),"")</f>
        <v>F</v>
      </c>
      <c r="S135" s="3">
        <v>112</v>
      </c>
      <c r="T135" s="3" t="str">
        <f>IFERROR(MID(VLOOKUP($B135,Seqs!$A:$B,2,0),U135,1),"")</f>
        <v>G</v>
      </c>
      <c r="U135" s="3">
        <v>113</v>
      </c>
      <c r="V135" s="3" t="str">
        <f>IFERROR(MID(VLOOKUP($B135,Seqs!$A:$B,2,0),W135,1),"")</f>
        <v>Y</v>
      </c>
      <c r="W135" s="3">
        <v>148</v>
      </c>
      <c r="X135" s="3" t="str">
        <f>IFERROR(MID(VLOOKUP($B135,Seqs!$A:$B,2,0),Y135,1),"")</f>
        <v/>
      </c>
      <c r="Y135" s="3" t="s">
        <v>23</v>
      </c>
      <c r="Z135" s="3" t="str">
        <f>IFERROR(MID(VLOOKUP($B135,Seqs!$A:$B,2,0),AA135,1),"")</f>
        <v/>
      </c>
      <c r="AA135" s="3" t="s">
        <v>23</v>
      </c>
      <c r="AB135" s="3" t="str">
        <f>IFERROR(MID(VLOOKUP($B135,Seqs!$A:$B,2,0),AC135,1),"")</f>
        <v>W</v>
      </c>
      <c r="AC135" s="3">
        <v>158</v>
      </c>
      <c r="AD135" s="3" t="str">
        <f>IFERROR(MID(VLOOKUP($B135,Seqs!$A:$B,2,0),AE135,1),"")</f>
        <v>R</v>
      </c>
      <c r="AE135" s="3">
        <v>182</v>
      </c>
      <c r="AF135" s="3" t="str">
        <f>IFERROR(MID(VLOOKUP($B135,Seqs!$A:$B,2,0),AG135,1),"")</f>
        <v>C</v>
      </c>
      <c r="AG135" s="3">
        <v>195</v>
      </c>
      <c r="AH135" s="3" t="str">
        <f>IFERROR(MID(VLOOKUP($B135,Seqs!$A:$B,2,0),AI135,1),"")</f>
        <v>M</v>
      </c>
      <c r="AI135" s="3">
        <v>197</v>
      </c>
      <c r="AJ135" s="3" t="str">
        <f>IFERROR(MID(VLOOKUP($B135,Seqs!$A:$B,2,0),AK135,1),"")</f>
        <v>Y</v>
      </c>
      <c r="AK135" s="3">
        <v>204</v>
      </c>
      <c r="AL135" s="3" t="str">
        <f>IFERROR(MID(VLOOKUP($B135,Seqs!$A:$B,2,0),AM135,1),"")</f>
        <v>T</v>
      </c>
      <c r="AM135" s="3">
        <v>241</v>
      </c>
      <c r="AN135" s="3" t="str">
        <f>IFERROR(MID(VLOOKUP($B135,Seqs!$A:$B,2,0),AO135,1),"")</f>
        <v>G</v>
      </c>
      <c r="AO135" s="3">
        <v>245</v>
      </c>
      <c r="AP135" s="3" t="str">
        <f>IFERROR(MID(VLOOKUP($B135,Seqs!$A:$B,2,0),AQ135,1),"")</f>
        <v>G</v>
      </c>
      <c r="AQ135" s="3">
        <v>285</v>
      </c>
      <c r="AR135" s="3" t="str">
        <f>IFERROR(MID(VLOOKUP($B135,Seqs!$A:$B,2,0),AS135,1),"")</f>
        <v>C</v>
      </c>
      <c r="AS135" s="3">
        <v>290</v>
      </c>
      <c r="AT135" s="3" t="str">
        <f>IFERROR(MID(VLOOKUP($B135,Seqs!$A:$B,2,0),AU135,1),"")</f>
        <v>V</v>
      </c>
      <c r="AU135" s="3">
        <v>321</v>
      </c>
      <c r="AV135" s="3" t="str">
        <f>IFERROR(MID(VLOOKUP($B135,Seqs!$A:$B,2,0),AW135,1),"")</f>
        <v>G</v>
      </c>
      <c r="AW135" s="3">
        <v>322</v>
      </c>
      <c r="AX135" s="3" t="str">
        <f>IFERROR(MID(VLOOKUP($B135,Seqs!$A:$B,2,0),AY135,1),"")</f>
        <v>R</v>
      </c>
      <c r="AY135" s="3">
        <v>334</v>
      </c>
      <c r="AZ135" s="77"/>
      <c r="BA135" s="94" t="str">
        <f>VLOOKUP(B135,Classification!A:D,4,0)</f>
        <v>Angiotensin</v>
      </c>
      <c r="BB135" s="27" t="b">
        <f t="shared" si="842"/>
        <v>1</v>
      </c>
      <c r="BC135" s="23">
        <f t="shared" si="843"/>
        <v>252</v>
      </c>
      <c r="BD135" s="2" t="s">
        <v>23</v>
      </c>
      <c r="BE135" s="3" t="s">
        <v>1292</v>
      </c>
      <c r="BF135" s="119">
        <v>2.8</v>
      </c>
      <c r="BG135" s="49" t="s">
        <v>1378</v>
      </c>
      <c r="BH135" s="49" t="s">
        <v>1</v>
      </c>
      <c r="BI135" s="1"/>
      <c r="BJ135" s="70" t="s">
        <v>1288</v>
      </c>
      <c r="BK135" s="57" t="s">
        <v>1288</v>
      </c>
      <c r="BL135" s="57" t="s">
        <v>1288</v>
      </c>
      <c r="BM135" s="57" t="s">
        <v>1288</v>
      </c>
      <c r="BN135" s="57" t="s">
        <v>1288</v>
      </c>
      <c r="BO135" s="57" t="s">
        <v>1288</v>
      </c>
      <c r="BP135" s="57" t="s">
        <v>1288</v>
      </c>
      <c r="BQ135" s="57" t="s">
        <v>1288</v>
      </c>
      <c r="BR135" s="57" t="s">
        <v>1288</v>
      </c>
      <c r="BS135" s="57" t="s">
        <v>1288</v>
      </c>
      <c r="BT135" s="57" t="s">
        <v>1288</v>
      </c>
      <c r="BU135" s="57" t="s">
        <v>1288</v>
      </c>
      <c r="BV135" s="70">
        <f t="shared" si="844"/>
        <v>46</v>
      </c>
      <c r="BW135" s="71" t="str">
        <f t="shared" si="845"/>
        <v>-</v>
      </c>
      <c r="BX135" s="72">
        <f t="shared" si="846"/>
        <v>78</v>
      </c>
      <c r="BY135" s="71">
        <f t="shared" si="847"/>
        <v>107</v>
      </c>
      <c r="BZ135" s="72">
        <f t="shared" si="848"/>
        <v>113</v>
      </c>
      <c r="CA135" s="71" t="str">
        <f t="shared" si="849"/>
        <v>-</v>
      </c>
      <c r="CB135" s="72">
        <f t="shared" si="850"/>
        <v>158</v>
      </c>
      <c r="CC135" s="71">
        <f t="shared" si="851"/>
        <v>195</v>
      </c>
      <c r="CD135" s="72">
        <f t="shared" si="852"/>
        <v>204</v>
      </c>
      <c r="CE135" s="71">
        <f t="shared" si="853"/>
        <v>245</v>
      </c>
      <c r="CF135" s="72">
        <f t="shared" si="854"/>
        <v>290</v>
      </c>
      <c r="CG135" s="71">
        <f t="shared" si="855"/>
        <v>322</v>
      </c>
      <c r="CH135" s="70">
        <f t="shared" si="856"/>
        <v>72</v>
      </c>
      <c r="CI135" s="71" t="str">
        <f t="shared" si="857"/>
        <v>-</v>
      </c>
      <c r="CJ135" s="72">
        <f t="shared" si="858"/>
        <v>106</v>
      </c>
      <c r="CK135" s="72">
        <f t="shared" si="859"/>
        <v>112</v>
      </c>
      <c r="CL135" s="72">
        <f t="shared" si="860"/>
        <v>148</v>
      </c>
      <c r="CM135" s="72" t="str">
        <f t="shared" si="861"/>
        <v>-</v>
      </c>
      <c r="CN135" s="72">
        <f t="shared" si="862"/>
        <v>182</v>
      </c>
      <c r="CO135" s="72">
        <f t="shared" si="863"/>
        <v>197</v>
      </c>
      <c r="CP135" s="72">
        <f t="shared" si="864"/>
        <v>241</v>
      </c>
      <c r="CQ135" s="72">
        <f t="shared" si="865"/>
        <v>285</v>
      </c>
      <c r="CR135" s="72">
        <f t="shared" si="866"/>
        <v>321</v>
      </c>
      <c r="CS135" s="72">
        <f t="shared" si="867"/>
        <v>334</v>
      </c>
      <c r="CT135" s="23" t="e">
        <f t="shared" si="868"/>
        <v>#VALUE!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29" x14ac:dyDescent="0.2">
      <c r="A136" s="3" t="str">
        <f t="shared" si="841"/>
        <v>agtr2_human_5UNG</v>
      </c>
      <c r="B136" s="3" t="s">
        <v>159</v>
      </c>
      <c r="C136" s="3" t="s">
        <v>1395</v>
      </c>
      <c r="D136" s="3" t="str">
        <f>IFERROR(MID(VLOOKUP($B136,Seqs!$A:$B,2,0),E136,1),"")</f>
        <v>D</v>
      </c>
      <c r="E136" s="3">
        <v>45</v>
      </c>
      <c r="F136" s="3" t="str">
        <f>IFERROR(MID(VLOOKUP($B136,Seqs!$A:$B,2,0),G136,1),"")</f>
        <v>C</v>
      </c>
      <c r="G136" s="3">
        <v>71</v>
      </c>
      <c r="H136" s="3" t="str">
        <f>IFERROR(MID(VLOOKUP($B136,Seqs!$A:$B,2,0),I136,1),"")</f>
        <v/>
      </c>
      <c r="I136" s="23" t="s">
        <v>23</v>
      </c>
      <c r="J136" s="3" t="str">
        <f>IFERROR(MID(VLOOKUP($B136,Seqs!$A:$B,2,0),K136,1),"")</f>
        <v/>
      </c>
      <c r="K136" s="23" t="s">
        <v>23</v>
      </c>
      <c r="L136" s="3" t="str">
        <f>IFERROR(MID(VLOOKUP($B136,Seqs!$A:$B,2,0),M136,1),"")</f>
        <v>V</v>
      </c>
      <c r="M136" s="3">
        <v>78</v>
      </c>
      <c r="N136" s="3" t="str">
        <f>IFERROR(MID(VLOOKUP($B136,Seqs!$A:$B,2,0),O136,1),"")</f>
        <v>Y</v>
      </c>
      <c r="O136" s="3">
        <v>106</v>
      </c>
      <c r="P136" s="3" t="str">
        <f>IFERROR(MID(VLOOKUP($B136,Seqs!$A:$B,2,0),Q136,1),"")</f>
        <v>R</v>
      </c>
      <c r="Q136" s="3">
        <v>107</v>
      </c>
      <c r="R136" s="3" t="str">
        <f>IFERROR(MID(VLOOKUP($B136,Seqs!$A:$B,2,0),S136,1),"")</f>
        <v>F</v>
      </c>
      <c r="S136" s="3">
        <v>112</v>
      </c>
      <c r="T136" s="3" t="str">
        <f>IFERROR(MID(VLOOKUP($B136,Seqs!$A:$B,2,0),U136,1),"")</f>
        <v>G</v>
      </c>
      <c r="U136" s="3">
        <v>113</v>
      </c>
      <c r="V136" s="3" t="str">
        <f>IFERROR(MID(VLOOKUP($B136,Seqs!$A:$B,2,0),W136,1),"")</f>
        <v>Y</v>
      </c>
      <c r="W136" s="3">
        <v>148</v>
      </c>
      <c r="X136" s="3" t="str">
        <f>IFERROR(MID(VLOOKUP($B136,Seqs!$A:$B,2,0),Y136,1),"")</f>
        <v/>
      </c>
      <c r="Y136" s="3" t="s">
        <v>23</v>
      </c>
      <c r="Z136" s="3" t="str">
        <f>IFERROR(MID(VLOOKUP($B136,Seqs!$A:$B,2,0),AA136,1),"")</f>
        <v/>
      </c>
      <c r="AA136" s="3" t="s">
        <v>23</v>
      </c>
      <c r="AB136" s="3" t="str">
        <f>IFERROR(MID(VLOOKUP($B136,Seqs!$A:$B,2,0),AC136,1),"")</f>
        <v>Q</v>
      </c>
      <c r="AC136" s="3">
        <v>159</v>
      </c>
      <c r="AD136" s="3" t="str">
        <f>IFERROR(MID(VLOOKUP($B136,Seqs!$A:$B,2,0),AE136,1),"")</f>
        <v>R</v>
      </c>
      <c r="AE136" s="3">
        <v>182</v>
      </c>
      <c r="AF136" s="3" t="str">
        <f>IFERROR(MID(VLOOKUP($B136,Seqs!$A:$B,2,0),AG136,1),"")</f>
        <v>C</v>
      </c>
      <c r="AG136" s="3">
        <v>195</v>
      </c>
      <c r="AH136" s="3" t="str">
        <f>IFERROR(MID(VLOOKUP($B136,Seqs!$A:$B,2,0),AI136,1),"")</f>
        <v>M</v>
      </c>
      <c r="AI136" s="3">
        <v>197</v>
      </c>
      <c r="AJ136" s="3" t="str">
        <f>IFERROR(MID(VLOOKUP($B136,Seqs!$A:$B,2,0),AK136,1),"")</f>
        <v>K</v>
      </c>
      <c r="AK136" s="3">
        <v>203</v>
      </c>
      <c r="AL136" s="3" t="str">
        <f>IFERROR(MID(VLOOKUP($B136,Seqs!$A:$B,2,0),AM136,1),"")</f>
        <v>T</v>
      </c>
      <c r="AM136" s="3">
        <v>241</v>
      </c>
      <c r="AN136" s="3" t="str">
        <f>IFERROR(MID(VLOOKUP($B136,Seqs!$A:$B,2,0),AO136,1),"")</f>
        <v>G</v>
      </c>
      <c r="AO136" s="3">
        <v>245</v>
      </c>
      <c r="AP136" s="3" t="str">
        <f>IFERROR(MID(VLOOKUP($B136,Seqs!$A:$B,2,0),AQ136,1),"")</f>
        <v>G</v>
      </c>
      <c r="AQ136" s="3">
        <v>285</v>
      </c>
      <c r="AR136" s="3" t="str">
        <f>IFERROR(MID(VLOOKUP($B136,Seqs!$A:$B,2,0),AS136,1),"")</f>
        <v>S</v>
      </c>
      <c r="AS136" s="3">
        <v>289</v>
      </c>
      <c r="AT136" s="3" t="str">
        <f>IFERROR(MID(VLOOKUP($B136,Seqs!$A:$B,2,0),AU136,1),"")</f>
        <v>V</v>
      </c>
      <c r="AU136" s="3">
        <v>321</v>
      </c>
      <c r="AV136" s="3" t="str">
        <f>IFERROR(MID(VLOOKUP($B136,Seqs!$A:$B,2,0),AW136,1),"")</f>
        <v>G</v>
      </c>
      <c r="AW136" s="3">
        <v>322</v>
      </c>
      <c r="AX136" s="3" t="str">
        <f>IFERROR(MID(VLOOKUP($B136,Seqs!$A:$B,2,0),AY136,1),"")</f>
        <v>R</v>
      </c>
      <c r="AY136" s="3">
        <v>334</v>
      </c>
      <c r="AZ136" s="77" t="str">
        <f>VLOOKUP(B136,Classification!A:D,2,0)</f>
        <v>A</v>
      </c>
      <c r="BA136" s="94" t="str">
        <f>VLOOKUP(B136,Classification!A:D,4,0)</f>
        <v>Angiotensin</v>
      </c>
      <c r="BB136" s="27" t="b">
        <f t="shared" si="842"/>
        <v>1</v>
      </c>
      <c r="BC136" s="23">
        <f t="shared" si="843"/>
        <v>253</v>
      </c>
      <c r="BD136" s="2" t="s">
        <v>1376</v>
      </c>
      <c r="BE136" s="3" t="s">
        <v>1292</v>
      </c>
      <c r="BF136" s="119">
        <v>2.8</v>
      </c>
      <c r="BG136" s="49" t="s">
        <v>1378</v>
      </c>
      <c r="BH136" s="49" t="s">
        <v>1282</v>
      </c>
      <c r="BI136" s="1"/>
      <c r="BJ136" s="70" t="s">
        <v>1288</v>
      </c>
      <c r="BK136" s="57" t="s">
        <v>1288</v>
      </c>
      <c r="BL136" s="57" t="s">
        <v>1288</v>
      </c>
      <c r="BM136" s="57" t="s">
        <v>1288</v>
      </c>
      <c r="BN136" s="57" t="s">
        <v>1288</v>
      </c>
      <c r="BO136" s="57" t="s">
        <v>1288</v>
      </c>
      <c r="BP136" s="57" t="s">
        <v>1288</v>
      </c>
      <c r="BQ136" s="57" t="s">
        <v>1288</v>
      </c>
      <c r="BR136" s="57" t="s">
        <v>1288</v>
      </c>
      <c r="BS136" s="57" t="s">
        <v>1288</v>
      </c>
      <c r="BT136" s="57" t="s">
        <v>1288</v>
      </c>
      <c r="BU136" s="57" t="s">
        <v>1288</v>
      </c>
      <c r="BV136" s="70">
        <f t="shared" si="844"/>
        <v>45</v>
      </c>
      <c r="BW136" s="71" t="str">
        <f t="shared" si="845"/>
        <v>-</v>
      </c>
      <c r="BX136" s="72">
        <f t="shared" si="846"/>
        <v>78</v>
      </c>
      <c r="BY136" s="71">
        <f t="shared" si="847"/>
        <v>107</v>
      </c>
      <c r="BZ136" s="72">
        <f t="shared" si="848"/>
        <v>113</v>
      </c>
      <c r="CA136" s="71" t="str">
        <f t="shared" si="849"/>
        <v>-</v>
      </c>
      <c r="CB136" s="72">
        <f t="shared" si="850"/>
        <v>159</v>
      </c>
      <c r="CC136" s="71">
        <f t="shared" si="851"/>
        <v>195</v>
      </c>
      <c r="CD136" s="72">
        <f t="shared" si="852"/>
        <v>203</v>
      </c>
      <c r="CE136" s="71">
        <f t="shared" si="853"/>
        <v>245</v>
      </c>
      <c r="CF136" s="72">
        <f t="shared" si="854"/>
        <v>289</v>
      </c>
      <c r="CG136" s="71">
        <f t="shared" si="855"/>
        <v>322</v>
      </c>
      <c r="CH136" s="70">
        <f t="shared" si="856"/>
        <v>71</v>
      </c>
      <c r="CI136" s="71" t="str">
        <f t="shared" si="857"/>
        <v>-</v>
      </c>
      <c r="CJ136" s="72">
        <f t="shared" si="858"/>
        <v>106</v>
      </c>
      <c r="CK136" s="72">
        <f t="shared" si="859"/>
        <v>112</v>
      </c>
      <c r="CL136" s="72">
        <f t="shared" si="860"/>
        <v>148</v>
      </c>
      <c r="CM136" s="72" t="str">
        <f t="shared" si="861"/>
        <v>-</v>
      </c>
      <c r="CN136" s="72">
        <f t="shared" si="862"/>
        <v>182</v>
      </c>
      <c r="CO136" s="72">
        <f t="shared" si="863"/>
        <v>197</v>
      </c>
      <c r="CP136" s="72">
        <f t="shared" si="864"/>
        <v>241</v>
      </c>
      <c r="CQ136" s="72">
        <f t="shared" si="865"/>
        <v>285</v>
      </c>
      <c r="CR136" s="72">
        <f t="shared" si="866"/>
        <v>321</v>
      </c>
      <c r="CS136" s="72">
        <f t="shared" si="867"/>
        <v>334</v>
      </c>
      <c r="CT136" s="23" t="e">
        <f t="shared" si="868"/>
        <v>#VALUE!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29" x14ac:dyDescent="0.2">
      <c r="A137" s="3" t="str">
        <f t="shared" si="841"/>
        <v>agtr2_human_5UNH</v>
      </c>
      <c r="B137" s="3" t="s">
        <v>159</v>
      </c>
      <c r="C137" s="3" t="s">
        <v>1396</v>
      </c>
      <c r="D137" s="3" t="str">
        <f>IFERROR(MID(VLOOKUP($B137,Seqs!$A:$B,2,0),E137,1),"")</f>
        <v>D</v>
      </c>
      <c r="E137" s="3">
        <v>45</v>
      </c>
      <c r="F137" s="3" t="str">
        <f>IFERROR(MID(VLOOKUP($B137,Seqs!$A:$B,2,0),G137,1),"")</f>
        <v>C</v>
      </c>
      <c r="G137" s="3">
        <v>70</v>
      </c>
      <c r="H137" s="3" t="str">
        <f>IFERROR(MID(VLOOKUP($B137,Seqs!$A:$B,2,0),I137,1),"")</f>
        <v/>
      </c>
      <c r="I137" s="23" t="s">
        <v>23</v>
      </c>
      <c r="J137" s="3" t="str">
        <f>IFERROR(MID(VLOOKUP($B137,Seqs!$A:$B,2,0),K137,1),"")</f>
        <v/>
      </c>
      <c r="K137" s="23" t="s">
        <v>23</v>
      </c>
      <c r="L137" s="3" t="str">
        <f>IFERROR(MID(VLOOKUP($B137,Seqs!$A:$B,2,0),M137,1),"")</f>
        <v>K</v>
      </c>
      <c r="M137" s="3">
        <v>77</v>
      </c>
      <c r="N137" s="3" t="str">
        <f>IFERROR(MID(VLOOKUP($B137,Seqs!$A:$B,2,0),O137,1),"")</f>
        <v>Y</v>
      </c>
      <c r="O137" s="3">
        <v>106</v>
      </c>
      <c r="P137" s="3" t="str">
        <f>IFERROR(MID(VLOOKUP($B137,Seqs!$A:$B,2,0),Q137,1),"")</f>
        <v>R</v>
      </c>
      <c r="Q137" s="3">
        <v>107</v>
      </c>
      <c r="R137" s="3" t="str">
        <f>IFERROR(MID(VLOOKUP($B137,Seqs!$A:$B,2,0),S137,1),"")</f>
        <v>F</v>
      </c>
      <c r="S137" s="3">
        <v>112</v>
      </c>
      <c r="T137" s="3" t="str">
        <f>IFERROR(MID(VLOOKUP($B137,Seqs!$A:$B,2,0),U137,1),"")</f>
        <v>G</v>
      </c>
      <c r="U137" s="3">
        <v>113</v>
      </c>
      <c r="V137" s="3" t="str">
        <f>IFERROR(MID(VLOOKUP($B137,Seqs!$A:$B,2,0),W137,1),"")</f>
        <v>Y</v>
      </c>
      <c r="W137" s="3">
        <v>148</v>
      </c>
      <c r="X137" s="3" t="str">
        <f>IFERROR(MID(VLOOKUP($B137,Seqs!$A:$B,2,0),Y137,1),"")</f>
        <v/>
      </c>
      <c r="Y137" s="3" t="s">
        <v>23</v>
      </c>
      <c r="Z137" s="3" t="str">
        <f>IFERROR(MID(VLOOKUP($B137,Seqs!$A:$B,2,0),AA137,1),"")</f>
        <v/>
      </c>
      <c r="AA137" s="3" t="s">
        <v>23</v>
      </c>
      <c r="AB137" s="3" t="str">
        <f>IFERROR(MID(VLOOKUP($B137,Seqs!$A:$B,2,0),AC137,1),"")</f>
        <v>Y</v>
      </c>
      <c r="AC137" s="3">
        <v>162</v>
      </c>
      <c r="AD137" s="3" t="str">
        <f>IFERROR(MID(VLOOKUP($B137,Seqs!$A:$B,2,0),AE137,1),"")</f>
        <v>R</v>
      </c>
      <c r="AE137" s="3">
        <v>182</v>
      </c>
      <c r="AF137" s="3" t="str">
        <f>IFERROR(MID(VLOOKUP($B137,Seqs!$A:$B,2,0),AG137,1),"")</f>
        <v>C</v>
      </c>
      <c r="AG137" s="3">
        <v>195</v>
      </c>
      <c r="AH137" s="3" t="str">
        <f>IFERROR(MID(VLOOKUP($B137,Seqs!$A:$B,2,0),AI137,1),"")</f>
        <v>M</v>
      </c>
      <c r="AI137" s="3">
        <v>197</v>
      </c>
      <c r="AJ137" s="3" t="str">
        <f>IFERROR(MID(VLOOKUP($B137,Seqs!$A:$B,2,0),AK137,1),"")</f>
        <v>Y</v>
      </c>
      <c r="AK137" s="3">
        <v>204</v>
      </c>
      <c r="AL137" s="3" t="str">
        <f>IFERROR(MID(VLOOKUP($B137,Seqs!$A:$B,2,0),AM137,1),"")</f>
        <v>T</v>
      </c>
      <c r="AM137" s="3">
        <v>241</v>
      </c>
      <c r="AN137" s="3" t="str">
        <f>IFERROR(MID(VLOOKUP($B137,Seqs!$A:$B,2,0),AO137,1),"")</f>
        <v>G</v>
      </c>
      <c r="AO137" s="3">
        <v>245</v>
      </c>
      <c r="AP137" s="3" t="str">
        <f>IFERROR(MID(VLOOKUP($B137,Seqs!$A:$B,2,0),AQ137,1),"")</f>
        <v>G</v>
      </c>
      <c r="AQ137" s="3">
        <v>285</v>
      </c>
      <c r="AR137" s="3" t="str">
        <f>IFERROR(MID(VLOOKUP($B137,Seqs!$A:$B,2,0),AS137,1),"")</f>
        <v>S</v>
      </c>
      <c r="AS137" s="3">
        <v>289</v>
      </c>
      <c r="AT137" s="3" t="str">
        <f>IFERROR(MID(VLOOKUP($B137,Seqs!$A:$B,2,0),AU137,1),"")</f>
        <v>V</v>
      </c>
      <c r="AU137" s="3">
        <v>321</v>
      </c>
      <c r="AV137" s="3" t="str">
        <f>IFERROR(MID(VLOOKUP($B137,Seqs!$A:$B,2,0),AW137,1),"")</f>
        <v>G</v>
      </c>
      <c r="AW137" s="3">
        <v>322</v>
      </c>
      <c r="AX137" s="3" t="str">
        <f>IFERROR(MID(VLOOKUP($B137,Seqs!$A:$B,2,0),AY137,1),"")</f>
        <v>V</v>
      </c>
      <c r="AY137" s="3">
        <v>332</v>
      </c>
      <c r="AZ137" s="77" t="str">
        <f>VLOOKUP(B137,Classification!A:D,2,0)</f>
        <v>A</v>
      </c>
      <c r="BA137" s="94" t="str">
        <f>VLOOKUP(B137,Classification!A:D,4,0)</f>
        <v>Angiotensin</v>
      </c>
      <c r="BB137" s="27" t="b">
        <f t="shared" si="842"/>
        <v>1</v>
      </c>
      <c r="BC137" s="23">
        <f t="shared" si="843"/>
        <v>247</v>
      </c>
      <c r="BD137" s="2" t="s">
        <v>23</v>
      </c>
      <c r="BE137" s="3" t="s">
        <v>1292</v>
      </c>
      <c r="BF137" s="119">
        <v>2.9</v>
      </c>
      <c r="BG137" s="49" t="s">
        <v>1378</v>
      </c>
      <c r="BH137" s="49" t="s">
        <v>1282</v>
      </c>
      <c r="BI137" s="1"/>
      <c r="BJ137" s="70" t="s">
        <v>1288</v>
      </c>
      <c r="BK137" s="57" t="s">
        <v>1288</v>
      </c>
      <c r="BL137" s="57" t="s">
        <v>1288</v>
      </c>
      <c r="BM137" s="57" t="s">
        <v>1288</v>
      </c>
      <c r="BN137" s="57" t="s">
        <v>1288</v>
      </c>
      <c r="BO137" s="57" t="s">
        <v>1288</v>
      </c>
      <c r="BP137" s="57" t="s">
        <v>1288</v>
      </c>
      <c r="BQ137" s="57" t="s">
        <v>1288</v>
      </c>
      <c r="BR137" s="57" t="s">
        <v>1288</v>
      </c>
      <c r="BS137" s="57" t="s">
        <v>1288</v>
      </c>
      <c r="BT137" s="57" t="s">
        <v>1288</v>
      </c>
      <c r="BU137" s="57" t="s">
        <v>1288</v>
      </c>
      <c r="BV137" s="70">
        <f t="shared" si="844"/>
        <v>45</v>
      </c>
      <c r="BW137" s="71" t="str">
        <f t="shared" si="845"/>
        <v>-</v>
      </c>
      <c r="BX137" s="72">
        <f t="shared" si="846"/>
        <v>77</v>
      </c>
      <c r="BY137" s="71">
        <f t="shared" si="847"/>
        <v>107</v>
      </c>
      <c r="BZ137" s="72">
        <f t="shared" si="848"/>
        <v>113</v>
      </c>
      <c r="CA137" s="71" t="str">
        <f t="shared" si="849"/>
        <v>-</v>
      </c>
      <c r="CB137" s="72">
        <f t="shared" si="850"/>
        <v>162</v>
      </c>
      <c r="CC137" s="71">
        <f t="shared" si="851"/>
        <v>195</v>
      </c>
      <c r="CD137" s="72">
        <f t="shared" si="852"/>
        <v>204</v>
      </c>
      <c r="CE137" s="71">
        <f t="shared" si="853"/>
        <v>245</v>
      </c>
      <c r="CF137" s="72">
        <f t="shared" si="854"/>
        <v>289</v>
      </c>
      <c r="CG137" s="71">
        <f t="shared" si="855"/>
        <v>322</v>
      </c>
      <c r="CH137" s="70">
        <f t="shared" si="856"/>
        <v>70</v>
      </c>
      <c r="CI137" s="71" t="str">
        <f t="shared" si="857"/>
        <v>-</v>
      </c>
      <c r="CJ137" s="72">
        <f t="shared" si="858"/>
        <v>106</v>
      </c>
      <c r="CK137" s="72">
        <f t="shared" si="859"/>
        <v>112</v>
      </c>
      <c r="CL137" s="72">
        <f t="shared" si="860"/>
        <v>148</v>
      </c>
      <c r="CM137" s="72" t="str">
        <f t="shared" si="861"/>
        <v>-</v>
      </c>
      <c r="CN137" s="72">
        <f t="shared" si="862"/>
        <v>182</v>
      </c>
      <c r="CO137" s="72">
        <f t="shared" si="863"/>
        <v>197</v>
      </c>
      <c r="CP137" s="72">
        <f t="shared" si="864"/>
        <v>241</v>
      </c>
      <c r="CQ137" s="72">
        <f t="shared" si="865"/>
        <v>285</v>
      </c>
      <c r="CR137" s="72">
        <f t="shared" si="866"/>
        <v>321</v>
      </c>
      <c r="CS137" s="72">
        <f t="shared" si="867"/>
        <v>332</v>
      </c>
      <c r="CT137" s="23" t="e">
        <f t="shared" si="868"/>
        <v>#VALUE!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29" x14ac:dyDescent="0.2">
      <c r="A138" s="3" t="str">
        <f t="shared" ref="A138" si="869">CONCATENATE(B138,"_",C138)</f>
        <v>agtr2_human_5XJM</v>
      </c>
      <c r="B138" s="3" t="s">
        <v>159</v>
      </c>
      <c r="C138" s="3" t="s">
        <v>1512</v>
      </c>
      <c r="D138" s="3" t="str">
        <f>IFERROR(MID(VLOOKUP($B138,Seqs!$A:$B,2,0),E138,1),"")</f>
        <v>A</v>
      </c>
      <c r="E138" s="3">
        <v>46</v>
      </c>
      <c r="F138" s="3" t="str">
        <f>IFERROR(MID(VLOOKUP($B138,Seqs!$A:$B,2,0),G138,1),"")</f>
        <v>K</v>
      </c>
      <c r="G138" s="3">
        <v>73</v>
      </c>
      <c r="H138" s="3" t="str">
        <f>IFERROR(MID(VLOOKUP($B138,Seqs!$A:$B,2,0),I138,1),"")</f>
        <v/>
      </c>
      <c r="I138" s="23" t="s">
        <v>23</v>
      </c>
      <c r="J138" s="3" t="str">
        <f>IFERROR(MID(VLOOKUP($B138,Seqs!$A:$B,2,0),K138,1),"")</f>
        <v/>
      </c>
      <c r="K138" s="23" t="s">
        <v>23</v>
      </c>
      <c r="L138" s="3" t="str">
        <f>IFERROR(MID(VLOOKUP($B138,Seqs!$A:$B,2,0),M138,1),"")</f>
        <v>V</v>
      </c>
      <c r="M138" s="3">
        <v>78</v>
      </c>
      <c r="N138" s="3" t="str">
        <f>IFERROR(MID(VLOOKUP($B138,Seqs!$A:$B,2,0),O138,1),"")</f>
        <v>Y</v>
      </c>
      <c r="O138" s="3">
        <v>106</v>
      </c>
      <c r="P138" s="3" t="str">
        <f>IFERROR(MID(VLOOKUP($B138,Seqs!$A:$B,2,0),Q138,1),"")</f>
        <v>R</v>
      </c>
      <c r="Q138" s="3">
        <v>107</v>
      </c>
      <c r="R138" s="3" t="str">
        <f>IFERROR(MID(VLOOKUP($B138,Seqs!$A:$B,2,0),S138,1),"")</f>
        <v>F</v>
      </c>
      <c r="S138" s="3">
        <v>112</v>
      </c>
      <c r="T138" s="3" t="str">
        <f>IFERROR(MID(VLOOKUP($B138,Seqs!$A:$B,2,0),U138,1),"")</f>
        <v>G</v>
      </c>
      <c r="U138" s="3">
        <v>113</v>
      </c>
      <c r="V138" s="3" t="str">
        <f>IFERROR(MID(VLOOKUP($B138,Seqs!$A:$B,2,0),W138,1),"")</f>
        <v>Y</v>
      </c>
      <c r="W138" s="3">
        <v>148</v>
      </c>
      <c r="X138" s="3" t="str">
        <f>IFERROR(MID(VLOOKUP($B138,Seqs!$A:$B,2,0),Y138,1),"")</f>
        <v/>
      </c>
      <c r="Y138" s="3" t="s">
        <v>23</v>
      </c>
      <c r="Z138" s="3" t="str">
        <f>IFERROR(MID(VLOOKUP($B138,Seqs!$A:$B,2,0),AA138,1),"")</f>
        <v/>
      </c>
      <c r="AA138" s="3" t="s">
        <v>23</v>
      </c>
      <c r="AB138" s="3" t="str">
        <f>IFERROR(MID(VLOOKUP($B138,Seqs!$A:$B,2,0),AC138,1),"")</f>
        <v>R</v>
      </c>
      <c r="AC138" s="3">
        <v>155</v>
      </c>
      <c r="AD138" s="3" t="str">
        <f>IFERROR(MID(VLOOKUP($B138,Seqs!$A:$B,2,0),AE138,1),"")</f>
        <v>F</v>
      </c>
      <c r="AE138" s="3">
        <v>181</v>
      </c>
      <c r="AF138" s="3" t="str">
        <f>IFERROR(MID(VLOOKUP($B138,Seqs!$A:$B,2,0),AG138,1),"")</f>
        <v>C</v>
      </c>
      <c r="AG138" s="3">
        <v>195</v>
      </c>
      <c r="AH138" s="3" t="str">
        <f>IFERROR(MID(VLOOKUP($B138,Seqs!$A:$B,2,0),AI138,1),"")</f>
        <v>M</v>
      </c>
      <c r="AI138" s="3">
        <v>197</v>
      </c>
      <c r="AJ138" s="3" t="str">
        <f>IFERROR(MID(VLOOKUP($B138,Seqs!$A:$B,2,0),AK138,1),"")</f>
        <v>K</v>
      </c>
      <c r="AK138" s="3">
        <v>203</v>
      </c>
      <c r="AL138" s="3" t="str">
        <f>IFERROR(MID(VLOOKUP($B138,Seqs!$A:$B,2,0),AM138,1),"")</f>
        <v>N</v>
      </c>
      <c r="AM138" s="3">
        <v>242</v>
      </c>
      <c r="AN138" s="3" t="str">
        <f>IFERROR(MID(VLOOKUP($B138,Seqs!$A:$B,2,0),AO138,1),"")</f>
        <v>N</v>
      </c>
      <c r="AO138" s="3">
        <v>247</v>
      </c>
      <c r="AP138" s="3" t="str">
        <f>IFERROR(MID(VLOOKUP($B138,Seqs!$A:$B,2,0),AQ138,1),"")</f>
        <v>G</v>
      </c>
      <c r="AQ138" s="3">
        <v>285</v>
      </c>
      <c r="AR138" s="3" t="str">
        <f>IFERROR(MID(VLOOKUP($B138,Seqs!$A:$B,2,0),AS138,1),"")</f>
        <v>S</v>
      </c>
      <c r="AS138" s="3">
        <v>289</v>
      </c>
      <c r="AT138" s="3" t="str">
        <f>IFERROR(MID(VLOOKUP($B138,Seqs!$A:$B,2,0),AU138,1),"")</f>
        <v>F</v>
      </c>
      <c r="AU138" s="3">
        <v>320</v>
      </c>
      <c r="AV138" s="3" t="str">
        <f>IFERROR(MID(VLOOKUP($B138,Seqs!$A:$B,2,0),AW138,1),"")</f>
        <v/>
      </c>
      <c r="AW138" s="3" t="s">
        <v>23</v>
      </c>
      <c r="AX138" s="3" t="str">
        <f>IFERROR(MID(VLOOKUP($B138,Seqs!$A:$B,2,0),AY138,1),"")</f>
        <v/>
      </c>
      <c r="AY138" s="3" t="s">
        <v>23</v>
      </c>
      <c r="AZ138" s="77" t="str">
        <f>VLOOKUP(B138,Classification!A:D,2,0)</f>
        <v>A</v>
      </c>
      <c r="BA138" s="94" t="str">
        <f>VLOOKUP(B138,Classification!A:D,4,0)</f>
        <v>Angiotensin</v>
      </c>
      <c r="BB138" s="27" t="b">
        <f t="shared" ref="BB138" si="870">AND(E138&lt;G138,OR(G138&lt;I138,I138="-"),OR(I138&lt;K138,I138="-"),OR(K138&lt;M138,K138="-"),M138&lt;O138,OR(O138&lt;Q138,Q138="-"),OR(Q138&lt;S138,Q138="-"),OR(S138&lt;U138,S138="-"),U138&lt;W138,OR(W138&lt;Y138,Y138="-"),OR(Y138&lt;AA138,Y138="-"),OR(AA138&lt;AC138,AA138="-"),AC138&lt;AE138,OR(AE138&lt;AG138,AG138="-"),OR(AG138&lt;AI138,AG138="-"),OR(AI138&lt;AK138,AI138="-"),AK138&lt;AM138,AM138&lt;AO138,AO138&lt;AQ138,AQ138&lt;AS138,AS138&lt;AU138,OR(AU138&lt;AW138,AW138="-"),OR(AW138&lt;AY138,AW138="-"))</f>
        <v>1</v>
      </c>
      <c r="BC138" s="23">
        <f t="shared" ref="BC138" si="871">_xlfn.AGGREGATE(9,6,CH138:CS138)-_xlfn.AGGREGATE(9,6,BV138:CG138)+12</f>
        <v>243</v>
      </c>
      <c r="BD138" s="2" t="s">
        <v>23</v>
      </c>
      <c r="BE138" s="3" t="s">
        <v>1292</v>
      </c>
      <c r="BF138" s="119">
        <v>3.2</v>
      </c>
      <c r="BG138" s="49" t="s">
        <v>1</v>
      </c>
      <c r="BH138" s="49" t="s">
        <v>1</v>
      </c>
      <c r="BI138" s="1"/>
      <c r="BJ138" s="70" t="s">
        <v>1288</v>
      </c>
      <c r="BK138" s="57" t="s">
        <v>1288</v>
      </c>
      <c r="BL138" s="57" t="s">
        <v>1288</v>
      </c>
      <c r="BM138" s="57" t="s">
        <v>1288</v>
      </c>
      <c r="BN138" s="57" t="s">
        <v>1288</v>
      </c>
      <c r="BO138" s="57" t="s">
        <v>1288</v>
      </c>
      <c r="BP138" s="57" t="s">
        <v>1288</v>
      </c>
      <c r="BQ138" s="57" t="s">
        <v>1288</v>
      </c>
      <c r="BR138" s="57" t="s">
        <v>1288</v>
      </c>
      <c r="BS138" s="57" t="s">
        <v>1288</v>
      </c>
      <c r="BT138" s="57" t="s">
        <v>1288</v>
      </c>
      <c r="BU138" s="57" t="s">
        <v>1288</v>
      </c>
      <c r="BV138" s="70">
        <f t="shared" ref="BV138" si="872">E138</f>
        <v>46</v>
      </c>
      <c r="BW138" s="71" t="str">
        <f t="shared" ref="BW138" si="873">I138</f>
        <v>-</v>
      </c>
      <c r="BX138" s="72">
        <f t="shared" ref="BX138" si="874">M138</f>
        <v>78</v>
      </c>
      <c r="BY138" s="71">
        <f t="shared" ref="BY138" si="875">Q138</f>
        <v>107</v>
      </c>
      <c r="BZ138" s="72">
        <f t="shared" ref="BZ138" si="876">U138</f>
        <v>113</v>
      </c>
      <c r="CA138" s="71" t="str">
        <f t="shared" ref="CA138" si="877">Y138</f>
        <v>-</v>
      </c>
      <c r="CB138" s="72">
        <f t="shared" ref="CB138" si="878">AC138</f>
        <v>155</v>
      </c>
      <c r="CC138" s="71">
        <f t="shared" ref="CC138" si="879">AG138</f>
        <v>195</v>
      </c>
      <c r="CD138" s="72">
        <f t="shared" ref="CD138" si="880">AK138</f>
        <v>203</v>
      </c>
      <c r="CE138" s="71">
        <f t="shared" ref="CE138" si="881">AO138</f>
        <v>247</v>
      </c>
      <c r="CF138" s="72">
        <f t="shared" ref="CF138" si="882">AS138</f>
        <v>289</v>
      </c>
      <c r="CG138" s="71" t="str">
        <f t="shared" ref="CG138" si="883">AW138</f>
        <v>-</v>
      </c>
      <c r="CH138" s="70">
        <f t="shared" ref="CH138" si="884">G138</f>
        <v>73</v>
      </c>
      <c r="CI138" s="71" t="str">
        <f t="shared" ref="CI138" si="885">K138</f>
        <v>-</v>
      </c>
      <c r="CJ138" s="72">
        <f t="shared" ref="CJ138" si="886">O138</f>
        <v>106</v>
      </c>
      <c r="CK138" s="72">
        <f t="shared" ref="CK138" si="887">S138</f>
        <v>112</v>
      </c>
      <c r="CL138" s="72">
        <f t="shared" ref="CL138" si="888">W138</f>
        <v>148</v>
      </c>
      <c r="CM138" s="72" t="str">
        <f t="shared" ref="CM138" si="889">AA138</f>
        <v>-</v>
      </c>
      <c r="CN138" s="72">
        <f t="shared" ref="CN138" si="890">AE138</f>
        <v>181</v>
      </c>
      <c r="CO138" s="72">
        <f t="shared" ref="CO138" si="891">AI138</f>
        <v>197</v>
      </c>
      <c r="CP138" s="72">
        <f t="shared" ref="CP138" si="892">AM138</f>
        <v>242</v>
      </c>
      <c r="CQ138" s="72">
        <f t="shared" ref="CQ138" si="893">AQ138</f>
        <v>285</v>
      </c>
      <c r="CR138" s="72">
        <f t="shared" ref="CR138" si="894">AU138</f>
        <v>320</v>
      </c>
      <c r="CS138" s="72" t="str">
        <f t="shared" ref="CS138" si="895">AY138</f>
        <v>-</v>
      </c>
      <c r="CT138" s="23" t="e">
        <f t="shared" ref="CT138" si="896">M138-K138</f>
        <v>#VALUE!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29" x14ac:dyDescent="0.2">
      <c r="A139" s="3" t="str">
        <f t="shared" si="841"/>
        <v>apj_human__wt</v>
      </c>
      <c r="B139" s="3" t="s">
        <v>160</v>
      </c>
      <c r="C139" s="3" t="s">
        <v>100</v>
      </c>
      <c r="D139" s="3" t="str">
        <f>IFERROR(MID(VLOOKUP($B139,Seqs!$A:$B,2,0),E139,1),"")</f>
        <v>A</v>
      </c>
      <c r="E139" s="3">
        <v>29</v>
      </c>
      <c r="F139" s="3" t="str">
        <f>IFERROR(MID(VLOOKUP($B139,Seqs!$A:$B,2,0),G139,1),"")</f>
        <v>S</v>
      </c>
      <c r="G139" s="3">
        <v>56</v>
      </c>
      <c r="H139" s="3" t="str">
        <f>IFERROR(MID(VLOOKUP($B139,Seqs!$A:$B,2,0),I139,1),"")</f>
        <v>S</v>
      </c>
      <c r="I139" s="23">
        <v>57</v>
      </c>
      <c r="J139" s="3" t="str">
        <f>IFERROR(MID(VLOOKUP($B139,Seqs!$A:$B,2,0),K139,1),"")</f>
        <v>R</v>
      </c>
      <c r="K139" s="23">
        <v>61</v>
      </c>
      <c r="L139" s="3" t="str">
        <f>IFERROR(MID(VLOOKUP($B139,Seqs!$A:$B,2,0),M139,1),"")</f>
        <v>R</v>
      </c>
      <c r="M139" s="3">
        <v>62</v>
      </c>
      <c r="N139" s="3" t="str">
        <f>IFERROR(MID(VLOOKUP($B139,Seqs!$A:$B,2,0),O139,1),"")</f>
        <v>D</v>
      </c>
      <c r="O139" s="3">
        <v>92</v>
      </c>
      <c r="P139" s="3" t="str">
        <f>IFERROR(MID(VLOOKUP($B139,Seqs!$A:$B,2,0),Q139,1),"")</f>
        <v>D</v>
      </c>
      <c r="Q139" s="3">
        <v>94</v>
      </c>
      <c r="R139" s="3" t="str">
        <f>IFERROR(MID(VLOOKUP($B139,Seqs!$A:$B,2,0),S139,1),"")</f>
        <v>F</v>
      </c>
      <c r="S139" s="3">
        <v>97</v>
      </c>
      <c r="T139" s="3" t="str">
        <f>IFERROR(MID(VLOOKUP($B139,Seqs!$A:$B,2,0),U139,1),"")</f>
        <v>G</v>
      </c>
      <c r="U139" s="3">
        <v>98</v>
      </c>
      <c r="V139" s="3" t="str">
        <f>IFERROR(MID(VLOOKUP($B139,Seqs!$A:$B,2,0),W139,1),"")</f>
        <v>R</v>
      </c>
      <c r="W139" s="3">
        <v>133</v>
      </c>
      <c r="X139" s="3" t="str">
        <f>IFERROR(MID(VLOOKUP($B139,Seqs!$A:$B,2,0),Y139,1),"")</f>
        <v>P</v>
      </c>
      <c r="Y139" s="3">
        <v>134</v>
      </c>
      <c r="Z139" s="3" t="str">
        <f>IFERROR(MID(VLOOKUP($B139,Seqs!$A:$B,2,0),AA139,1),"")</f>
        <v>R</v>
      </c>
      <c r="AA139" s="3">
        <v>141</v>
      </c>
      <c r="AB139" s="3" t="str">
        <f>IFERROR(MID(VLOOKUP($B139,Seqs!$A:$B,2,0),AC139,1),"")</f>
        <v>L</v>
      </c>
      <c r="AC139" s="3">
        <v>142</v>
      </c>
      <c r="AD139" s="3" t="str">
        <f>IFERROR(MID(VLOOKUP($B139,Seqs!$A:$B,2,0),AE139,1),"")</f>
        <v>R</v>
      </c>
      <c r="AE139" s="3">
        <v>168</v>
      </c>
      <c r="AF139" s="3" t="str">
        <f>IFERROR(MID(VLOOKUP($B139,Seqs!$A:$B,2,0),AG139,1),"")</f>
        <v>C</v>
      </c>
      <c r="AG139" s="3">
        <v>181</v>
      </c>
      <c r="AH139" s="3" t="str">
        <f>IFERROR(MID(VLOOKUP($B139,Seqs!$A:$B,2,0),AI139,1),"")</f>
        <v>M</v>
      </c>
      <c r="AI139" s="3">
        <v>183</v>
      </c>
      <c r="AJ139" s="3" t="str">
        <f>IFERROR(MID(VLOOKUP($B139,Seqs!$A:$B,2,0),AK139,1),"")</f>
        <v>S</v>
      </c>
      <c r="AK139" s="3">
        <v>193</v>
      </c>
      <c r="AL139" s="3" t="str">
        <f>IFERROR(MID(VLOOKUP($B139,Seqs!$A:$B,2,0),AM139,1),"")</f>
        <v>E</v>
      </c>
      <c r="AM139" s="3">
        <v>235</v>
      </c>
      <c r="AN139" s="3" t="str">
        <f>IFERROR(MID(VLOOKUP($B139,Seqs!$A:$B,2,0),AO139,1),"")</f>
        <v>K</v>
      </c>
      <c r="AO139" s="3">
        <v>242</v>
      </c>
      <c r="AP139" s="3" t="str">
        <f>IFERROR(MID(VLOOKUP($B139,Seqs!$A:$B,2,0),AQ139,1),"")</f>
        <v>L</v>
      </c>
      <c r="AQ139" s="3">
        <v>276</v>
      </c>
      <c r="AR139" s="3" t="str">
        <f>IFERROR(MID(VLOOKUP($B139,Seqs!$A:$B,2,0),AS139,1),"")</f>
        <v>P</v>
      </c>
      <c r="AS139" s="3">
        <v>280</v>
      </c>
      <c r="AT139" s="3" t="str">
        <f>IFERROR(MID(VLOOKUP($B139,Seqs!$A:$B,2,0),AU139,1),"")</f>
        <v>F</v>
      </c>
      <c r="AU139" s="3">
        <v>312</v>
      </c>
      <c r="AV139" s="3" t="str">
        <f>IFERROR(MID(VLOOKUP($B139,Seqs!$A:$B,2,0),AW139,1),"")</f>
        <v>D</v>
      </c>
      <c r="AW139" s="3">
        <v>313</v>
      </c>
      <c r="AX139" s="3" t="str">
        <f>IFERROR(MID(VLOOKUP($B139,Seqs!$A:$B,2,0),AY139,1),"")</f>
        <v>G</v>
      </c>
      <c r="AY139" s="3">
        <v>327</v>
      </c>
      <c r="AZ139" s="77" t="str">
        <f>VLOOKUP(B139,Classification!A:D,2,0)</f>
        <v>A</v>
      </c>
      <c r="BA139" s="94" t="str">
        <f>VLOOKUP(B139,Classification!A:D,4,0)</f>
        <v>Apelin</v>
      </c>
      <c r="BB139" s="27" t="b">
        <f t="shared" si="842"/>
        <v>1</v>
      </c>
      <c r="BC139" s="23">
        <f t="shared" si="843"/>
        <v>268</v>
      </c>
      <c r="BD139" s="2"/>
      <c r="BE139" s="3" t="s">
        <v>23</v>
      </c>
      <c r="BF139" s="119" t="s">
        <v>23</v>
      </c>
      <c r="BG139" s="49" t="s">
        <v>1282</v>
      </c>
      <c r="BH139" s="49" t="s">
        <v>1282</v>
      </c>
      <c r="BI139" s="1"/>
      <c r="BJ139" s="70" t="s">
        <v>1288</v>
      </c>
      <c r="BK139" s="57" t="s">
        <v>1288</v>
      </c>
      <c r="BL139" s="57" t="s">
        <v>1288</v>
      </c>
      <c r="BM139" s="57" t="s">
        <v>1288</v>
      </c>
      <c r="BN139" s="57" t="s">
        <v>1288</v>
      </c>
      <c r="BO139" s="57" t="s">
        <v>1288</v>
      </c>
      <c r="BP139" s="57" t="s">
        <v>1288</v>
      </c>
      <c r="BQ139" s="57" t="s">
        <v>1288</v>
      </c>
      <c r="BR139" s="57" t="s">
        <v>1288</v>
      </c>
      <c r="BS139" s="57" t="s">
        <v>1288</v>
      </c>
      <c r="BT139" s="57" t="s">
        <v>1288</v>
      </c>
      <c r="BU139" s="57" t="s">
        <v>1288</v>
      </c>
      <c r="BV139" s="70">
        <f t="shared" si="844"/>
        <v>29</v>
      </c>
      <c r="BW139" s="71">
        <f t="shared" si="845"/>
        <v>57</v>
      </c>
      <c r="BX139" s="72">
        <f t="shared" si="846"/>
        <v>62</v>
      </c>
      <c r="BY139" s="71">
        <f t="shared" si="847"/>
        <v>94</v>
      </c>
      <c r="BZ139" s="72">
        <f t="shared" si="848"/>
        <v>98</v>
      </c>
      <c r="CA139" s="71">
        <f t="shared" si="849"/>
        <v>134</v>
      </c>
      <c r="CB139" s="72">
        <f t="shared" si="850"/>
        <v>142</v>
      </c>
      <c r="CC139" s="71">
        <f t="shared" si="851"/>
        <v>181</v>
      </c>
      <c r="CD139" s="72">
        <f t="shared" si="852"/>
        <v>193</v>
      </c>
      <c r="CE139" s="71">
        <f t="shared" si="853"/>
        <v>242</v>
      </c>
      <c r="CF139" s="72">
        <f t="shared" si="854"/>
        <v>280</v>
      </c>
      <c r="CG139" s="71">
        <f t="shared" si="855"/>
        <v>313</v>
      </c>
      <c r="CH139" s="70">
        <f t="shared" si="856"/>
        <v>56</v>
      </c>
      <c r="CI139" s="71">
        <f t="shared" si="857"/>
        <v>61</v>
      </c>
      <c r="CJ139" s="72">
        <f t="shared" si="858"/>
        <v>92</v>
      </c>
      <c r="CK139" s="72">
        <f t="shared" si="859"/>
        <v>97</v>
      </c>
      <c r="CL139" s="72">
        <f t="shared" si="860"/>
        <v>133</v>
      </c>
      <c r="CM139" s="72">
        <f t="shared" si="861"/>
        <v>141</v>
      </c>
      <c r="CN139" s="72">
        <f t="shared" si="862"/>
        <v>168</v>
      </c>
      <c r="CO139" s="72">
        <f t="shared" si="863"/>
        <v>183</v>
      </c>
      <c r="CP139" s="72">
        <f t="shared" si="864"/>
        <v>235</v>
      </c>
      <c r="CQ139" s="72">
        <f t="shared" si="865"/>
        <v>276</v>
      </c>
      <c r="CR139" s="72">
        <f t="shared" si="866"/>
        <v>312</v>
      </c>
      <c r="CS139" s="72">
        <f t="shared" si="867"/>
        <v>327</v>
      </c>
      <c r="CT139" s="23">
        <f t="shared" si="868"/>
        <v>1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29" x14ac:dyDescent="0.2">
      <c r="A140" s="3" t="str">
        <f t="shared" si="841"/>
        <v>apj_human_5VBL</v>
      </c>
      <c r="B140" s="3" t="s">
        <v>160</v>
      </c>
      <c r="C140" s="3" t="s">
        <v>1415</v>
      </c>
      <c r="D140" s="3" t="str">
        <f>IFERROR(MID(VLOOKUP($B140,Seqs!$A:$B,2,0),E140,1),"")</f>
        <v>A</v>
      </c>
      <c r="E140" s="3">
        <v>29</v>
      </c>
      <c r="F140" s="3" t="str">
        <f>IFERROR(MID(VLOOKUP($B140,Seqs!$A:$B,2,0),G140,1),"")</f>
        <v>S</v>
      </c>
      <c r="G140" s="3">
        <v>56</v>
      </c>
      <c r="H140" s="3" t="str">
        <f>IFERROR(MID(VLOOKUP($B140,Seqs!$A:$B,2,0),I140,1),"")</f>
        <v>S</v>
      </c>
      <c r="I140" s="23">
        <v>57</v>
      </c>
      <c r="J140" s="3" t="str">
        <f>IFERROR(MID(VLOOKUP($B140,Seqs!$A:$B,2,0),K140,1),"")</f>
        <v>R</v>
      </c>
      <c r="K140" s="23">
        <v>61</v>
      </c>
      <c r="L140" s="3" t="str">
        <f>IFERROR(MID(VLOOKUP($B140,Seqs!$A:$B,2,0),M140,1),"")</f>
        <v>R</v>
      </c>
      <c r="M140" s="3">
        <v>62</v>
      </c>
      <c r="N140" s="3" t="str">
        <f>IFERROR(MID(VLOOKUP($B140,Seqs!$A:$B,2,0),O140,1),"")</f>
        <v>D</v>
      </c>
      <c r="O140" s="3">
        <v>92</v>
      </c>
      <c r="P140" s="3" t="str">
        <f>IFERROR(MID(VLOOKUP($B140,Seqs!$A:$B,2,0),Q140,1),"")</f>
        <v>D</v>
      </c>
      <c r="Q140" s="3">
        <v>94</v>
      </c>
      <c r="R140" s="3" t="str">
        <f>IFERROR(MID(VLOOKUP($B140,Seqs!$A:$B,2,0),S140,1),"")</f>
        <v>F</v>
      </c>
      <c r="S140" s="3">
        <v>97</v>
      </c>
      <c r="T140" s="3" t="str">
        <f>IFERROR(MID(VLOOKUP($B140,Seqs!$A:$B,2,0),U140,1),"")</f>
        <v>G</v>
      </c>
      <c r="U140" s="3">
        <v>98</v>
      </c>
      <c r="V140" s="3" t="str">
        <f>IFERROR(MID(VLOOKUP($B140,Seqs!$A:$B,2,0),W140,1),"")</f>
        <v>R</v>
      </c>
      <c r="W140" s="3">
        <v>133</v>
      </c>
      <c r="X140" s="3" t="str">
        <f>IFERROR(MID(VLOOKUP($B140,Seqs!$A:$B,2,0),Y140,1),"")</f>
        <v/>
      </c>
      <c r="Y140" s="3" t="s">
        <v>23</v>
      </c>
      <c r="Z140" s="3" t="str">
        <f>IFERROR(MID(VLOOKUP($B140,Seqs!$A:$B,2,0),AA140,1),"")</f>
        <v/>
      </c>
      <c r="AA140" s="3" t="s">
        <v>23</v>
      </c>
      <c r="AB140" s="3" t="str">
        <f>IFERROR(MID(VLOOKUP($B140,Seqs!$A:$B,2,0),AC140,1),"")</f>
        <v>R</v>
      </c>
      <c r="AC140" s="3">
        <v>141</v>
      </c>
      <c r="AD140" s="3" t="str">
        <f>IFERROR(MID(VLOOKUP($B140,Seqs!$A:$B,2,0),AE140,1),"")</f>
        <v>R</v>
      </c>
      <c r="AE140" s="3">
        <v>168</v>
      </c>
      <c r="AF140" s="3" t="str">
        <f>IFERROR(MID(VLOOKUP($B140,Seqs!$A:$B,2,0),AG140,1),"")</f>
        <v>C</v>
      </c>
      <c r="AG140" s="3">
        <v>181</v>
      </c>
      <c r="AH140" s="3" t="str">
        <f>IFERROR(MID(VLOOKUP($B140,Seqs!$A:$B,2,0),AI140,1),"")</f>
        <v>M</v>
      </c>
      <c r="AI140" s="3">
        <v>183</v>
      </c>
      <c r="AJ140" s="3" t="str">
        <f>IFERROR(MID(VLOOKUP($B140,Seqs!$A:$B,2,0),AK140,1),"")</f>
        <v>S</v>
      </c>
      <c r="AK140" s="3">
        <v>193</v>
      </c>
      <c r="AL140" s="3" t="str">
        <f>IFERROR(MID(VLOOKUP($B140,Seqs!$A:$B,2,0),AM140,1),"")</f>
        <v>A</v>
      </c>
      <c r="AM140" s="3">
        <v>229</v>
      </c>
      <c r="AN140" s="3" t="str">
        <f>IFERROR(MID(VLOOKUP($B140,Seqs!$A:$B,2,0),AO140,1),"")</f>
        <v>R</v>
      </c>
      <c r="AO140" s="3">
        <v>244</v>
      </c>
      <c r="AP140" s="3" t="str">
        <f>IFERROR(MID(VLOOKUP($B140,Seqs!$A:$B,2,0),AQ140,1),"")</f>
        <v>L</v>
      </c>
      <c r="AQ140" s="3">
        <v>276</v>
      </c>
      <c r="AR140" s="3" t="str">
        <f>IFERROR(MID(VLOOKUP($B140,Seqs!$A:$B,2,0),AS140,1),"")</f>
        <v>P</v>
      </c>
      <c r="AS140" s="3">
        <v>280</v>
      </c>
      <c r="AT140" s="3" t="str">
        <f>IFERROR(MID(VLOOKUP($B140,Seqs!$A:$B,2,0),AU140,1),"")</f>
        <v>F</v>
      </c>
      <c r="AU140" s="3">
        <v>312</v>
      </c>
      <c r="AV140" s="3" t="str">
        <f>IFERROR(MID(VLOOKUP($B140,Seqs!$A:$B,2,0),AW140,1),"")</f>
        <v>D</v>
      </c>
      <c r="AW140" s="3">
        <v>313</v>
      </c>
      <c r="AX140" s="3" t="str">
        <f>IFERROR(MID(VLOOKUP($B140,Seqs!$A:$B,2,0),AY140,1),"")</f>
        <v>G</v>
      </c>
      <c r="AY140" s="3">
        <v>327</v>
      </c>
      <c r="AZ140" s="77" t="str">
        <f>VLOOKUP(B140,Classification!A:D,2,0)</f>
        <v>A</v>
      </c>
      <c r="BA140" s="94" t="str">
        <f>VLOOKUP(B140,Classification!A:D,4,0)</f>
        <v>Apelin</v>
      </c>
      <c r="BB140" s="27" t="b">
        <f t="shared" si="842"/>
        <v>1</v>
      </c>
      <c r="BC140" s="23">
        <f t="shared" si="843"/>
        <v>254</v>
      </c>
      <c r="BD140" s="2" t="s">
        <v>1377</v>
      </c>
      <c r="BE140" s="3" t="s">
        <v>1375</v>
      </c>
      <c r="BF140" s="119">
        <v>2.6</v>
      </c>
      <c r="BG140" s="49" t="s">
        <v>1282</v>
      </c>
      <c r="BH140" s="49" t="s">
        <v>1282</v>
      </c>
      <c r="BI140" s="1"/>
      <c r="BJ140" s="70" t="s">
        <v>1288</v>
      </c>
      <c r="BK140" s="57" t="s">
        <v>1288</v>
      </c>
      <c r="BL140" s="57" t="s">
        <v>1288</v>
      </c>
      <c r="BM140" s="57" t="s">
        <v>1288</v>
      </c>
      <c r="BN140" s="57" t="s">
        <v>1288</v>
      </c>
      <c r="BO140" s="57" t="s">
        <v>1288</v>
      </c>
      <c r="BP140" s="57" t="s">
        <v>1288</v>
      </c>
      <c r="BQ140" s="57" t="s">
        <v>1288</v>
      </c>
      <c r="BR140" s="57" t="s">
        <v>1288</v>
      </c>
      <c r="BS140" s="57" t="s">
        <v>1288</v>
      </c>
      <c r="BT140" s="57" t="s">
        <v>1288</v>
      </c>
      <c r="BU140" s="57" t="s">
        <v>1288</v>
      </c>
      <c r="BV140" s="70">
        <f t="shared" si="844"/>
        <v>29</v>
      </c>
      <c r="BW140" s="71">
        <f t="shared" si="845"/>
        <v>57</v>
      </c>
      <c r="BX140" s="72">
        <f t="shared" si="846"/>
        <v>62</v>
      </c>
      <c r="BY140" s="71">
        <f t="shared" si="847"/>
        <v>94</v>
      </c>
      <c r="BZ140" s="72">
        <f t="shared" si="848"/>
        <v>98</v>
      </c>
      <c r="CA140" s="71" t="str">
        <f t="shared" si="849"/>
        <v>-</v>
      </c>
      <c r="CB140" s="72">
        <f t="shared" si="850"/>
        <v>141</v>
      </c>
      <c r="CC140" s="71">
        <f t="shared" si="851"/>
        <v>181</v>
      </c>
      <c r="CD140" s="72">
        <f t="shared" si="852"/>
        <v>193</v>
      </c>
      <c r="CE140" s="71">
        <f t="shared" si="853"/>
        <v>244</v>
      </c>
      <c r="CF140" s="72">
        <f t="shared" si="854"/>
        <v>280</v>
      </c>
      <c r="CG140" s="71">
        <f t="shared" si="855"/>
        <v>313</v>
      </c>
      <c r="CH140" s="70">
        <f t="shared" si="856"/>
        <v>56</v>
      </c>
      <c r="CI140" s="71">
        <f t="shared" si="857"/>
        <v>61</v>
      </c>
      <c r="CJ140" s="72">
        <f t="shared" si="858"/>
        <v>92</v>
      </c>
      <c r="CK140" s="72">
        <f t="shared" si="859"/>
        <v>97</v>
      </c>
      <c r="CL140" s="72">
        <f t="shared" si="860"/>
        <v>133</v>
      </c>
      <c r="CM140" s="72" t="str">
        <f t="shared" si="861"/>
        <v>-</v>
      </c>
      <c r="CN140" s="72">
        <f t="shared" si="862"/>
        <v>168</v>
      </c>
      <c r="CO140" s="72">
        <f t="shared" si="863"/>
        <v>183</v>
      </c>
      <c r="CP140" s="72">
        <f t="shared" si="864"/>
        <v>229</v>
      </c>
      <c r="CQ140" s="72">
        <f t="shared" si="865"/>
        <v>276</v>
      </c>
      <c r="CR140" s="72">
        <f t="shared" si="866"/>
        <v>312</v>
      </c>
      <c r="CS140" s="72">
        <f t="shared" si="867"/>
        <v>327</v>
      </c>
      <c r="CT140" s="23">
        <f t="shared" si="868"/>
        <v>1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</row>
    <row r="141" spans="1:1029" x14ac:dyDescent="0.2">
      <c r="A141" s="3" t="str">
        <f t="shared" si="841"/>
        <v>c5ar1_human__wt</v>
      </c>
      <c r="B141" s="3" t="s">
        <v>165</v>
      </c>
      <c r="C141" s="3" t="s">
        <v>100</v>
      </c>
      <c r="D141" s="3" t="str">
        <f>IFERROR(MID(VLOOKUP($B141,Seqs!$A:$B,2,0),E141,1),"")</f>
        <v>R</v>
      </c>
      <c r="E141" s="3">
        <v>34</v>
      </c>
      <c r="F141" s="3" t="str">
        <f>IFERROR(MID(VLOOKUP($B141,Seqs!$A:$B,2,0),G141,1),"")</f>
        <v>E</v>
      </c>
      <c r="G141" s="3">
        <v>65</v>
      </c>
      <c r="H141" s="3" t="str">
        <f>IFERROR(MID(VLOOKUP($B141,Seqs!$A:$B,2,0),I141,1),"")</f>
        <v/>
      </c>
      <c r="I141" s="23" t="s">
        <v>23</v>
      </c>
      <c r="J141" s="3" t="str">
        <f>IFERROR(MID(VLOOKUP($B141,Seqs!$A:$B,2,0),K141,1),"")</f>
        <v/>
      </c>
      <c r="K141" s="23" t="s">
        <v>23</v>
      </c>
      <c r="L141" s="3" t="str">
        <f>IFERROR(MID(VLOOKUP($B141,Seqs!$A:$B,2,0),M141,1),"")</f>
        <v>T</v>
      </c>
      <c r="M141" s="3">
        <v>69</v>
      </c>
      <c r="N141" s="3" t="str">
        <f>IFERROR(MID(VLOOKUP($B141,Seqs!$A:$B,2,0),O141,1),"")</f>
        <v>H</v>
      </c>
      <c r="O141" s="3">
        <v>99</v>
      </c>
      <c r="P141" s="3" t="str">
        <f>IFERROR(MID(VLOOKUP($B141,Seqs!$A:$B,2,0),Q141,1),"")</f>
        <v>H</v>
      </c>
      <c r="Q141" s="3">
        <v>101</v>
      </c>
      <c r="R141" s="3" t="str">
        <f>IFERROR(MID(VLOOKUP($B141,Seqs!$A:$B,2,0),S141,1),"")</f>
        <v>F</v>
      </c>
      <c r="S141" s="3">
        <v>104</v>
      </c>
      <c r="T141" s="3" t="str">
        <f>IFERROR(MID(VLOOKUP($B141,Seqs!$A:$B,2,0),U141,1),"")</f>
        <v>G</v>
      </c>
      <c r="U141" s="3">
        <v>105</v>
      </c>
      <c r="V141" s="3" t="str">
        <f>IFERROR(MID(VLOOKUP($B141,Seqs!$A:$B,2,0),W141,1),"")</f>
        <v>K</v>
      </c>
      <c r="W141" s="3">
        <v>140</v>
      </c>
      <c r="X141" s="3" t="str">
        <f>IFERROR(MID(VLOOKUP($B141,Seqs!$A:$B,2,0),Y141,1),"")</f>
        <v>P</v>
      </c>
      <c r="Y141" s="3">
        <v>141</v>
      </c>
      <c r="Z141" s="3" t="str">
        <f>IFERROR(MID(VLOOKUP($B141,Seqs!$A:$B,2,0),AA141,1),"")</f>
        <v>R</v>
      </c>
      <c r="AA141" s="3">
        <v>148</v>
      </c>
      <c r="AB141" s="3" t="str">
        <f>IFERROR(MID(VLOOKUP($B141,Seqs!$A:$B,2,0),AC141,1),"")</f>
        <v>G</v>
      </c>
      <c r="AC141" s="3">
        <v>149</v>
      </c>
      <c r="AD141" s="3" t="str">
        <f>IFERROR(MID(VLOOKUP($B141,Seqs!$A:$B,2,0),AE141,1),"")</f>
        <v>R</v>
      </c>
      <c r="AE141" s="3">
        <v>175</v>
      </c>
      <c r="AF141" s="3" t="str">
        <f>IFERROR(MID(VLOOKUP($B141,Seqs!$A:$B,2,0),AG141,1),"")</f>
        <v>C</v>
      </c>
      <c r="AG141" s="3">
        <v>188</v>
      </c>
      <c r="AH141" s="3" t="str">
        <f>IFERROR(MID(VLOOKUP($B141,Seqs!$A:$B,2,0),AI141,1),"")</f>
        <v>V</v>
      </c>
      <c r="AI141" s="3">
        <v>190</v>
      </c>
      <c r="AJ141" s="3" t="str">
        <f>IFERROR(MID(VLOOKUP($B141,Seqs!$A:$B,2,0),AK141,1),"")</f>
        <v>D</v>
      </c>
      <c r="AK141" s="3">
        <v>195</v>
      </c>
      <c r="AL141" s="3" t="str">
        <f>IFERROR(MID(VLOOKUP($B141,Seqs!$A:$B,2,0),AM141,1),"")</f>
        <v>R</v>
      </c>
      <c r="AM141" s="3">
        <v>232</v>
      </c>
      <c r="AN141" s="3" t="str">
        <f>IFERROR(MID(VLOOKUP($B141,Seqs!$A:$B,2,0),AO141,1),"")</f>
        <v>T</v>
      </c>
      <c r="AO141" s="3">
        <v>238</v>
      </c>
      <c r="AP141" s="3" t="str">
        <f>IFERROR(MID(VLOOKUP($B141,Seqs!$A:$B,2,0),AQ141,1),"")</f>
        <v>L</v>
      </c>
      <c r="AQ141" s="3">
        <v>268</v>
      </c>
      <c r="AR141" s="3" t="str">
        <f>IFERROR(MID(VLOOKUP($B141,Seqs!$A:$B,2,0),AS141,1),"")</f>
        <v>S</v>
      </c>
      <c r="AS141" s="3">
        <v>272</v>
      </c>
      <c r="AT141" s="3" t="str">
        <f>IFERROR(MID(VLOOKUP($B141,Seqs!$A:$B,2,0),AU141,1),"")</f>
        <v>A</v>
      </c>
      <c r="AU141" s="3">
        <v>303</v>
      </c>
      <c r="AV141" s="3" t="str">
        <f>IFERROR(MID(VLOOKUP($B141,Seqs!$A:$B,2,0),AW141,1),"")</f>
        <v>G</v>
      </c>
      <c r="AW141" s="3">
        <v>304</v>
      </c>
      <c r="AX141" s="3" t="str">
        <f>IFERROR(MID(VLOOKUP($B141,Seqs!$A:$B,2,0),AY141,1),"")</f>
        <v>K</v>
      </c>
      <c r="AY141" s="3">
        <v>313</v>
      </c>
      <c r="AZ141" s="77" t="str">
        <f>VLOOKUP(B141,Classification!A:D,2,0)</f>
        <v>A</v>
      </c>
      <c r="BA141" s="94" t="str">
        <f>VLOOKUP(B141,Classification!A:D,4,0)</f>
        <v>Complementpeptide</v>
      </c>
      <c r="BB141" s="27" t="b">
        <f t="shared" si="842"/>
        <v>1</v>
      </c>
      <c r="BC141" s="23">
        <f t="shared" si="843"/>
        <v>253</v>
      </c>
      <c r="BD141" s="2" t="s">
        <v>23</v>
      </c>
      <c r="BE141" s="3" t="s">
        <v>1375</v>
      </c>
      <c r="BF141" s="119" t="s">
        <v>23</v>
      </c>
      <c r="BI141" s="1"/>
      <c r="BJ141" s="70" t="s">
        <v>1288</v>
      </c>
      <c r="BK141" s="57" t="s">
        <v>1288</v>
      </c>
      <c r="BL141" s="57" t="s">
        <v>1288</v>
      </c>
      <c r="BM141" s="57" t="s">
        <v>1288</v>
      </c>
      <c r="BN141" s="57" t="s">
        <v>1288</v>
      </c>
      <c r="BO141" s="57" t="s">
        <v>1288</v>
      </c>
      <c r="BP141" s="57" t="s">
        <v>1288</v>
      </c>
      <c r="BQ141" s="57" t="s">
        <v>1288</v>
      </c>
      <c r="BR141" s="57" t="s">
        <v>1288</v>
      </c>
      <c r="BS141" s="57" t="s">
        <v>1288</v>
      </c>
      <c r="BT141" s="57" t="s">
        <v>1288</v>
      </c>
      <c r="BU141" s="57" t="s">
        <v>1288</v>
      </c>
      <c r="BV141" s="70">
        <f t="shared" si="844"/>
        <v>34</v>
      </c>
      <c r="BW141" s="71" t="str">
        <f t="shared" si="845"/>
        <v>-</v>
      </c>
      <c r="BX141" s="72">
        <f t="shared" si="846"/>
        <v>69</v>
      </c>
      <c r="BY141" s="71">
        <f t="shared" si="847"/>
        <v>101</v>
      </c>
      <c r="BZ141" s="72">
        <f t="shared" si="848"/>
        <v>105</v>
      </c>
      <c r="CA141" s="71">
        <f t="shared" si="849"/>
        <v>141</v>
      </c>
      <c r="CB141" s="72">
        <f t="shared" si="850"/>
        <v>149</v>
      </c>
      <c r="CC141" s="71">
        <f t="shared" si="851"/>
        <v>188</v>
      </c>
      <c r="CD141" s="72">
        <f t="shared" si="852"/>
        <v>195</v>
      </c>
      <c r="CE141" s="71">
        <f t="shared" si="853"/>
        <v>238</v>
      </c>
      <c r="CF141" s="72">
        <f t="shared" si="854"/>
        <v>272</v>
      </c>
      <c r="CG141" s="71">
        <f t="shared" si="855"/>
        <v>304</v>
      </c>
      <c r="CH141" s="70">
        <f t="shared" si="856"/>
        <v>65</v>
      </c>
      <c r="CI141" s="71" t="str">
        <f t="shared" si="857"/>
        <v>-</v>
      </c>
      <c r="CJ141" s="72">
        <f t="shared" si="858"/>
        <v>99</v>
      </c>
      <c r="CK141" s="72">
        <f t="shared" si="859"/>
        <v>104</v>
      </c>
      <c r="CL141" s="72">
        <f t="shared" si="860"/>
        <v>140</v>
      </c>
      <c r="CM141" s="72">
        <f t="shared" si="861"/>
        <v>148</v>
      </c>
      <c r="CN141" s="72">
        <f t="shared" si="862"/>
        <v>175</v>
      </c>
      <c r="CO141" s="72">
        <f t="shared" si="863"/>
        <v>190</v>
      </c>
      <c r="CP141" s="72">
        <f t="shared" si="864"/>
        <v>232</v>
      </c>
      <c r="CQ141" s="72">
        <f t="shared" si="865"/>
        <v>268</v>
      </c>
      <c r="CR141" s="72">
        <f t="shared" si="866"/>
        <v>303</v>
      </c>
      <c r="CS141" s="72">
        <f t="shared" si="867"/>
        <v>313</v>
      </c>
      <c r="CT141" s="23" t="e">
        <f t="shared" si="868"/>
        <v>#VALUE!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</row>
    <row r="142" spans="1:1029" x14ac:dyDescent="0.2">
      <c r="A142" s="3" t="str">
        <f t="shared" si="841"/>
        <v>c5ar1_human_5O9H</v>
      </c>
      <c r="B142" s="3" t="s">
        <v>165</v>
      </c>
      <c r="C142" s="3" t="s">
        <v>1480</v>
      </c>
      <c r="D142" s="3" t="str">
        <f>IFERROR(MID(VLOOKUP($B142,Seqs!$A:$B,2,0),E142,1),"")</f>
        <v>R</v>
      </c>
      <c r="E142" s="3">
        <v>34</v>
      </c>
      <c r="F142" s="3" t="str">
        <f>IFERROR(MID(VLOOKUP($B142,Seqs!$A:$B,2,0),G142,1),"")</f>
        <v>E</v>
      </c>
      <c r="G142" s="3">
        <v>65</v>
      </c>
      <c r="H142" s="3" t="str">
        <f>IFERROR(MID(VLOOKUP($B142,Seqs!$A:$B,2,0),I142,1),"")</f>
        <v/>
      </c>
      <c r="I142" s="23" t="s">
        <v>23</v>
      </c>
      <c r="J142" s="3" t="str">
        <f>IFERROR(MID(VLOOKUP($B142,Seqs!$A:$B,2,0),K142,1),"")</f>
        <v/>
      </c>
      <c r="K142" s="23" t="s">
        <v>23</v>
      </c>
      <c r="L142" s="3" t="str">
        <f>IFERROR(MID(VLOOKUP($B142,Seqs!$A:$B,2,0),M142,1),"")</f>
        <v>T</v>
      </c>
      <c r="M142" s="3">
        <v>69</v>
      </c>
      <c r="N142" s="3" t="str">
        <f>IFERROR(MID(VLOOKUP($B142,Seqs!$A:$B,2,0),O142,1),"")</f>
        <v>H</v>
      </c>
      <c r="O142" s="3">
        <v>99</v>
      </c>
      <c r="P142" s="3" t="str">
        <f>IFERROR(MID(VLOOKUP($B142,Seqs!$A:$B,2,0),Q142,1),"")</f>
        <v>H</v>
      </c>
      <c r="Q142" s="3">
        <v>101</v>
      </c>
      <c r="R142" s="3" t="str">
        <f>IFERROR(MID(VLOOKUP($B142,Seqs!$A:$B,2,0),S142,1),"")</f>
        <v>F</v>
      </c>
      <c r="S142" s="3">
        <v>104</v>
      </c>
      <c r="T142" s="3" t="str">
        <f>IFERROR(MID(VLOOKUP($B142,Seqs!$A:$B,2,0),U142,1),"")</f>
        <v>G</v>
      </c>
      <c r="U142" s="3">
        <v>105</v>
      </c>
      <c r="V142" s="3" t="str">
        <f>IFERROR(MID(VLOOKUP($B142,Seqs!$A:$B,2,0),W142,1),"")</f>
        <v>K</v>
      </c>
      <c r="W142" s="3">
        <v>140</v>
      </c>
      <c r="X142" s="3" t="str">
        <f>IFERROR(MID(VLOOKUP($B142,Seqs!$A:$B,2,0),Y142,1),"")</f>
        <v>P</v>
      </c>
      <c r="Y142" s="3">
        <v>141</v>
      </c>
      <c r="Z142" s="3" t="str">
        <f>IFERROR(MID(VLOOKUP($B142,Seqs!$A:$B,2,0),AA142,1),"")</f>
        <v>R</v>
      </c>
      <c r="AA142" s="3">
        <v>148</v>
      </c>
      <c r="AB142" s="3" t="str">
        <f>IFERROR(MID(VLOOKUP($B142,Seqs!$A:$B,2,0),AC142,1),"")</f>
        <v>G</v>
      </c>
      <c r="AC142" s="3">
        <v>149</v>
      </c>
      <c r="AD142" s="3" t="str">
        <f>IFERROR(MID(VLOOKUP($B142,Seqs!$A:$B,2,0),AE142,1),"")</f>
        <v>R</v>
      </c>
      <c r="AE142" s="3">
        <v>175</v>
      </c>
      <c r="AF142" s="3" t="str">
        <f>IFERROR(MID(VLOOKUP($B142,Seqs!$A:$B,2,0),AG142,1),"")</f>
        <v>C</v>
      </c>
      <c r="AG142" s="3">
        <v>188</v>
      </c>
      <c r="AH142" s="3" t="str">
        <f>IFERROR(MID(VLOOKUP($B142,Seqs!$A:$B,2,0),AI142,1),"")</f>
        <v>V</v>
      </c>
      <c r="AI142" s="3">
        <v>190</v>
      </c>
      <c r="AJ142" s="3" t="str">
        <f>IFERROR(MID(VLOOKUP($B142,Seqs!$A:$B,2,0),AK142,1),"")</f>
        <v>D</v>
      </c>
      <c r="AK142" s="3">
        <v>195</v>
      </c>
      <c r="AL142" s="3" t="str">
        <f>IFERROR(MID(VLOOKUP($B142,Seqs!$A:$B,2,0),AM142,1),"")</f>
        <v>R</v>
      </c>
      <c r="AM142" s="3">
        <v>232</v>
      </c>
      <c r="AN142" s="3" t="str">
        <f>IFERROR(MID(VLOOKUP($B142,Seqs!$A:$B,2,0),AO142,1),"")</f>
        <v>T</v>
      </c>
      <c r="AO142" s="3">
        <v>238</v>
      </c>
      <c r="AP142" s="3" t="str">
        <f>IFERROR(MID(VLOOKUP($B142,Seqs!$A:$B,2,0),AQ142,1),"")</f>
        <v>L</v>
      </c>
      <c r="AQ142" s="3">
        <v>268</v>
      </c>
      <c r="AR142" s="3" t="str">
        <f>IFERROR(MID(VLOOKUP($B142,Seqs!$A:$B,2,0),AS142,1),"")</f>
        <v>S</v>
      </c>
      <c r="AS142" s="3">
        <v>272</v>
      </c>
      <c r="AT142" s="3" t="str">
        <f>IFERROR(MID(VLOOKUP($B142,Seqs!$A:$B,2,0),AU142,1),"")</f>
        <v>F</v>
      </c>
      <c r="AU142" s="3">
        <v>307</v>
      </c>
      <c r="AV142" s="3" t="str">
        <f>IFERROR(MID(VLOOKUP($B142,Seqs!$A:$B,2,0),AW142,1),"")</f>
        <v/>
      </c>
      <c r="AW142" s="3" t="s">
        <v>23</v>
      </c>
      <c r="AX142" s="3" t="str">
        <f>IFERROR(MID(VLOOKUP($B142,Seqs!$A:$B,2,0),AY142,1),"")</f>
        <v/>
      </c>
      <c r="AY142" s="3" t="s">
        <v>23</v>
      </c>
      <c r="AZ142" s="77" t="str">
        <f>VLOOKUP(B142,Classification!A:D,2,0)</f>
        <v>A</v>
      </c>
      <c r="BA142" s="94" t="str">
        <f>VLOOKUP(B142,Classification!A:D,4,0)</f>
        <v>Complementpeptide</v>
      </c>
      <c r="BB142" s="27" t="b">
        <f t="shared" si="842"/>
        <v>1</v>
      </c>
      <c r="BC142" s="23">
        <f t="shared" si="843"/>
        <v>248</v>
      </c>
      <c r="BD142" s="2" t="s">
        <v>1377</v>
      </c>
      <c r="BE142" s="3" t="s">
        <v>1375</v>
      </c>
      <c r="BF142" s="119">
        <v>2.7</v>
      </c>
      <c r="BG142" s="49" t="s">
        <v>1</v>
      </c>
      <c r="BH142" s="49" t="s">
        <v>1</v>
      </c>
      <c r="BI142" s="1"/>
      <c r="BJ142" s="70" t="s">
        <v>1288</v>
      </c>
      <c r="BK142" s="57" t="s">
        <v>1288</v>
      </c>
      <c r="BL142" s="57" t="s">
        <v>1288</v>
      </c>
      <c r="BM142" s="57" t="s">
        <v>1288</v>
      </c>
      <c r="BN142" s="57" t="s">
        <v>1288</v>
      </c>
      <c r="BO142" s="57" t="s">
        <v>1288</v>
      </c>
      <c r="BP142" s="57" t="s">
        <v>1288</v>
      </c>
      <c r="BQ142" s="57" t="s">
        <v>1288</v>
      </c>
      <c r="BR142" s="57" t="s">
        <v>1288</v>
      </c>
      <c r="BS142" s="57" t="s">
        <v>1288</v>
      </c>
      <c r="BT142" s="57" t="s">
        <v>1288</v>
      </c>
      <c r="BU142" s="57" t="s">
        <v>1288</v>
      </c>
      <c r="BV142" s="70">
        <f t="shared" si="844"/>
        <v>34</v>
      </c>
      <c r="BW142" s="71" t="str">
        <f t="shared" si="845"/>
        <v>-</v>
      </c>
      <c r="BX142" s="72">
        <f t="shared" si="846"/>
        <v>69</v>
      </c>
      <c r="BY142" s="71">
        <f t="shared" si="847"/>
        <v>101</v>
      </c>
      <c r="BZ142" s="72">
        <f t="shared" si="848"/>
        <v>105</v>
      </c>
      <c r="CA142" s="71">
        <f t="shared" si="849"/>
        <v>141</v>
      </c>
      <c r="CB142" s="72">
        <f t="shared" si="850"/>
        <v>149</v>
      </c>
      <c r="CC142" s="71">
        <f t="shared" si="851"/>
        <v>188</v>
      </c>
      <c r="CD142" s="72">
        <f t="shared" si="852"/>
        <v>195</v>
      </c>
      <c r="CE142" s="71">
        <f t="shared" si="853"/>
        <v>238</v>
      </c>
      <c r="CF142" s="72">
        <f t="shared" si="854"/>
        <v>272</v>
      </c>
      <c r="CG142" s="71" t="str">
        <f t="shared" si="855"/>
        <v>-</v>
      </c>
      <c r="CH142" s="70">
        <f t="shared" si="856"/>
        <v>65</v>
      </c>
      <c r="CI142" s="71" t="str">
        <f t="shared" si="857"/>
        <v>-</v>
      </c>
      <c r="CJ142" s="72">
        <f t="shared" si="858"/>
        <v>99</v>
      </c>
      <c r="CK142" s="72">
        <f t="shared" si="859"/>
        <v>104</v>
      </c>
      <c r="CL142" s="72">
        <f t="shared" si="860"/>
        <v>140</v>
      </c>
      <c r="CM142" s="72">
        <f t="shared" si="861"/>
        <v>148</v>
      </c>
      <c r="CN142" s="72">
        <f t="shared" si="862"/>
        <v>175</v>
      </c>
      <c r="CO142" s="72">
        <f t="shared" si="863"/>
        <v>190</v>
      </c>
      <c r="CP142" s="72">
        <f t="shared" si="864"/>
        <v>232</v>
      </c>
      <c r="CQ142" s="72">
        <f t="shared" si="865"/>
        <v>268</v>
      </c>
      <c r="CR142" s="72">
        <f t="shared" si="866"/>
        <v>307</v>
      </c>
      <c r="CS142" s="72" t="str">
        <f t="shared" si="867"/>
        <v>-</v>
      </c>
      <c r="CT142" s="23" t="e">
        <f t="shared" si="868"/>
        <v>#VALUE!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29" x14ac:dyDescent="0.2">
      <c r="A143" s="3" t="str">
        <f t="shared" si="841"/>
        <v>c5ar1_human_6C1Q</v>
      </c>
      <c r="B143" s="3" t="s">
        <v>165</v>
      </c>
      <c r="C143" s="3" t="s">
        <v>1499</v>
      </c>
      <c r="D143" s="3" t="str">
        <f>IFERROR(MID(VLOOKUP($B143,Seqs!$A:$B,2,0),E143,1),"")</f>
        <v>M</v>
      </c>
      <c r="E143" s="3">
        <v>120</v>
      </c>
      <c r="F143" s="3" t="str">
        <f>IFERROR(MID(VLOOKUP($B143,Seqs!$A:$B,2,0),G143,1),"")</f>
        <v>G</v>
      </c>
      <c r="G143" s="3">
        <v>151</v>
      </c>
      <c r="H143" s="3" t="str">
        <f>IFERROR(MID(VLOOKUP($B143,Seqs!$A:$B,2,0),I143,1),"")</f>
        <v/>
      </c>
      <c r="I143" s="23" t="s">
        <v>23</v>
      </c>
      <c r="J143" s="3" t="str">
        <f>IFERROR(MID(VLOOKUP($B143,Seqs!$A:$B,2,0),K143,1),"")</f>
        <v/>
      </c>
      <c r="K143" s="23" t="s">
        <v>23</v>
      </c>
      <c r="L143" s="3" t="str">
        <f>IFERROR(MID(VLOOKUP($B143,Seqs!$A:$B,2,0),M143,1),"")</f>
        <v>I</v>
      </c>
      <c r="M143" s="3">
        <v>155</v>
      </c>
      <c r="N143" s="3" t="str">
        <f>IFERROR(MID(VLOOKUP($B143,Seqs!$A:$B,2,0),O143,1),"")</f>
        <v>K</v>
      </c>
      <c r="O143" s="3">
        <v>185</v>
      </c>
      <c r="P143" s="3" t="str">
        <f>IFERROR(MID(VLOOKUP($B143,Seqs!$A:$B,2,0),Q143,1),"")</f>
        <v>L</v>
      </c>
      <c r="Q143" s="3">
        <v>187</v>
      </c>
      <c r="R143" s="3" t="str">
        <f>IFERROR(MID(VLOOKUP($B143,Seqs!$A:$B,2,0),S143,1),"")</f>
        <v>V</v>
      </c>
      <c r="S143" s="3">
        <v>190</v>
      </c>
      <c r="T143" s="3" t="str">
        <f>IFERROR(MID(VLOOKUP($B143,Seqs!$A:$B,2,0),U143,1),"")</f>
        <v>D</v>
      </c>
      <c r="U143" s="3">
        <v>191</v>
      </c>
      <c r="V143" s="3" t="str">
        <f>IFERROR(MID(VLOOKUP($B143,Seqs!$A:$B,2,0),W143,1),"")</f>
        <v>L</v>
      </c>
      <c r="W143" s="3">
        <v>226</v>
      </c>
      <c r="X143" s="3" t="str">
        <f>IFERROR(MID(VLOOKUP($B143,Seqs!$A:$B,2,0),Y143,1),"")</f>
        <v>L</v>
      </c>
      <c r="Y143" s="3">
        <v>227</v>
      </c>
      <c r="Z143" s="3" t="str">
        <f>IFERROR(MID(VLOOKUP($B143,Seqs!$A:$B,2,0),AA143,1),"")</f>
        <v>A</v>
      </c>
      <c r="AA143" s="3">
        <v>234</v>
      </c>
      <c r="AB143" s="3" t="str">
        <f>IFERROR(MID(VLOOKUP($B143,Seqs!$A:$B,2,0),AC143,1),"")</f>
        <v>T</v>
      </c>
      <c r="AC143" s="3">
        <v>235</v>
      </c>
      <c r="AD143" s="3" t="str">
        <f>IFERROR(MID(VLOOKUP($B143,Seqs!$A:$B,2,0),AE143,1),"")</f>
        <v>T</v>
      </c>
      <c r="AE143" s="3">
        <v>261</v>
      </c>
      <c r="AF143" s="3" t="str">
        <f>IFERROR(MID(VLOOKUP($B143,Seqs!$A:$B,2,0),AG143,1),"")</f>
        <v>T</v>
      </c>
      <c r="AG143" s="3">
        <v>274</v>
      </c>
      <c r="AH143" s="3" t="str">
        <f>IFERROR(MID(VLOOKUP($B143,Seqs!$A:$B,2,0),AI143,1),"")</f>
        <v>L</v>
      </c>
      <c r="AI143" s="3">
        <v>276</v>
      </c>
      <c r="AJ143" s="3" t="str">
        <f>IFERROR(MID(VLOOKUP($B143,Seqs!$A:$B,2,0),AK143,1),"")</f>
        <v>L</v>
      </c>
      <c r="AK143" s="3">
        <v>281</v>
      </c>
      <c r="AL143" s="3" t="str">
        <f>IFERROR(MID(VLOOKUP($B143,Seqs!$A:$B,2,0),AM143,1),"")</f>
        <v>L</v>
      </c>
      <c r="AM143" s="3">
        <v>318</v>
      </c>
      <c r="AN143" s="3" t="str">
        <f>IFERROR(MID(VLOOKUP($B143,Seqs!$A:$B,2,0),AO143,1),"")</f>
        <v>L</v>
      </c>
      <c r="AO143" s="3">
        <v>323</v>
      </c>
      <c r="AP143" s="3" t="str">
        <f>IFERROR(MID(VLOOKUP($B143,Seqs!$A:$B,2,0),AQ143,1),"")</f>
        <v/>
      </c>
      <c r="AQ143" s="3">
        <v>354</v>
      </c>
      <c r="AR143" s="3" t="str">
        <f>IFERROR(MID(VLOOKUP($B143,Seqs!$A:$B,2,0),AS143,1),"")</f>
        <v/>
      </c>
      <c r="AS143" s="3">
        <v>358</v>
      </c>
      <c r="AT143" s="3" t="str">
        <f>IFERROR(MID(VLOOKUP($B143,Seqs!$A:$B,2,0),AU143,1),"")</f>
        <v/>
      </c>
      <c r="AU143" s="3">
        <v>394</v>
      </c>
      <c r="AV143" s="3" t="str">
        <f>IFERROR(MID(VLOOKUP($B143,Seqs!$A:$B,2,0),AW143,1),"")</f>
        <v/>
      </c>
      <c r="AW143" s="3" t="s">
        <v>23</v>
      </c>
      <c r="AX143" s="3" t="str">
        <f>IFERROR(MID(VLOOKUP($B143,Seqs!$A:$B,2,0),AY143,1),"")</f>
        <v/>
      </c>
      <c r="AY143" s="3" t="s">
        <v>23</v>
      </c>
      <c r="AZ143" s="77" t="str">
        <f>VLOOKUP(B143,Classification!A:D,2,0)</f>
        <v>A</v>
      </c>
      <c r="BA143" s="94" t="str">
        <f>VLOOKUP(B143,Classification!A:D,4,0)</f>
        <v>Complementpeptide</v>
      </c>
      <c r="BB143" s="27" t="b">
        <f t="shared" si="842"/>
        <v>1</v>
      </c>
      <c r="BC143" s="23">
        <f t="shared" si="843"/>
        <v>250</v>
      </c>
      <c r="BD143" s="2" t="s">
        <v>23</v>
      </c>
      <c r="BE143" s="3" t="s">
        <v>1375</v>
      </c>
      <c r="BF143" s="119">
        <v>2.9</v>
      </c>
      <c r="BG143" s="49" t="s">
        <v>1282</v>
      </c>
      <c r="BH143" s="49" t="s">
        <v>1282</v>
      </c>
      <c r="BI143" s="1"/>
      <c r="BJ143" s="70" t="s">
        <v>1288</v>
      </c>
      <c r="BK143" s="57" t="s">
        <v>1288</v>
      </c>
      <c r="BL143" s="57" t="s">
        <v>1288</v>
      </c>
      <c r="BM143" s="57" t="s">
        <v>1288</v>
      </c>
      <c r="BN143" s="57" t="s">
        <v>1288</v>
      </c>
      <c r="BO143" s="57" t="s">
        <v>1288</v>
      </c>
      <c r="BP143" s="57" t="s">
        <v>1288</v>
      </c>
      <c r="BQ143" s="57" t="s">
        <v>1288</v>
      </c>
      <c r="BR143" s="57" t="s">
        <v>1288</v>
      </c>
      <c r="BS143" s="57" t="s">
        <v>1288</v>
      </c>
      <c r="BT143" s="57" t="s">
        <v>1288</v>
      </c>
      <c r="BU143" s="57" t="s">
        <v>1288</v>
      </c>
      <c r="BV143" s="70">
        <f t="shared" si="844"/>
        <v>120</v>
      </c>
      <c r="BW143" s="71" t="str">
        <f t="shared" si="845"/>
        <v>-</v>
      </c>
      <c r="BX143" s="72">
        <f t="shared" si="846"/>
        <v>155</v>
      </c>
      <c r="BY143" s="71">
        <f t="shared" si="847"/>
        <v>187</v>
      </c>
      <c r="BZ143" s="72">
        <f t="shared" si="848"/>
        <v>191</v>
      </c>
      <c r="CA143" s="71">
        <f t="shared" si="849"/>
        <v>227</v>
      </c>
      <c r="CB143" s="72">
        <f t="shared" si="850"/>
        <v>235</v>
      </c>
      <c r="CC143" s="71">
        <f t="shared" si="851"/>
        <v>274</v>
      </c>
      <c r="CD143" s="72">
        <f t="shared" si="852"/>
        <v>281</v>
      </c>
      <c r="CE143" s="71">
        <f t="shared" si="853"/>
        <v>323</v>
      </c>
      <c r="CF143" s="72">
        <f t="shared" si="854"/>
        <v>358</v>
      </c>
      <c r="CG143" s="71" t="str">
        <f t="shared" si="855"/>
        <v>-</v>
      </c>
      <c r="CH143" s="70">
        <f t="shared" si="856"/>
        <v>151</v>
      </c>
      <c r="CI143" s="71" t="str">
        <f t="shared" si="857"/>
        <v>-</v>
      </c>
      <c r="CJ143" s="72">
        <f t="shared" si="858"/>
        <v>185</v>
      </c>
      <c r="CK143" s="72">
        <f t="shared" si="859"/>
        <v>190</v>
      </c>
      <c r="CL143" s="72">
        <f t="shared" si="860"/>
        <v>226</v>
      </c>
      <c r="CM143" s="72">
        <f t="shared" si="861"/>
        <v>234</v>
      </c>
      <c r="CN143" s="72">
        <f t="shared" si="862"/>
        <v>261</v>
      </c>
      <c r="CO143" s="72">
        <f t="shared" si="863"/>
        <v>276</v>
      </c>
      <c r="CP143" s="72">
        <f t="shared" si="864"/>
        <v>318</v>
      </c>
      <c r="CQ143" s="72">
        <f t="shared" si="865"/>
        <v>354</v>
      </c>
      <c r="CR143" s="72">
        <f t="shared" si="866"/>
        <v>394</v>
      </c>
      <c r="CS143" s="72" t="str">
        <f t="shared" si="867"/>
        <v>-</v>
      </c>
      <c r="CT143" s="23" t="e">
        <f t="shared" si="868"/>
        <v>#VALUE!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29" x14ac:dyDescent="0.2">
      <c r="A144" s="3" t="str">
        <f t="shared" si="841"/>
        <v>c5ar1_human_6C1R</v>
      </c>
      <c r="B144" s="3" t="s">
        <v>165</v>
      </c>
      <c r="C144" s="3" t="s">
        <v>1500</v>
      </c>
      <c r="D144" s="3" t="str">
        <f>IFERROR(MID(VLOOKUP($B144,Seqs!$A:$B,2,0),E144,1),"")</f>
        <v>M</v>
      </c>
      <c r="E144" s="3">
        <v>120</v>
      </c>
      <c r="F144" s="3" t="str">
        <f>IFERROR(MID(VLOOKUP($B144,Seqs!$A:$B,2,0),G144,1),"")</f>
        <v>G</v>
      </c>
      <c r="G144" s="3">
        <v>151</v>
      </c>
      <c r="H144" s="3" t="str">
        <f>IFERROR(MID(VLOOKUP($B144,Seqs!$A:$B,2,0),I144,1),"")</f>
        <v/>
      </c>
      <c r="I144" s="23" t="s">
        <v>23</v>
      </c>
      <c r="J144" s="3" t="str">
        <f>IFERROR(MID(VLOOKUP($B144,Seqs!$A:$B,2,0),K144,1),"")</f>
        <v/>
      </c>
      <c r="K144" s="23" t="s">
        <v>23</v>
      </c>
      <c r="L144" s="3" t="str">
        <f>IFERROR(MID(VLOOKUP($B144,Seqs!$A:$B,2,0),M144,1),"")</f>
        <v>I</v>
      </c>
      <c r="M144" s="3">
        <v>155</v>
      </c>
      <c r="N144" s="3" t="str">
        <f>IFERROR(MID(VLOOKUP($B144,Seqs!$A:$B,2,0),O144,1),"")</f>
        <v>K</v>
      </c>
      <c r="O144" s="3">
        <v>185</v>
      </c>
      <c r="P144" s="3" t="str">
        <f>IFERROR(MID(VLOOKUP($B144,Seqs!$A:$B,2,0),Q144,1),"")</f>
        <v>L</v>
      </c>
      <c r="Q144" s="3">
        <v>187</v>
      </c>
      <c r="R144" s="3" t="str">
        <f>IFERROR(MID(VLOOKUP($B144,Seqs!$A:$B,2,0),S144,1),"")</f>
        <v>V</v>
      </c>
      <c r="S144" s="3">
        <v>190</v>
      </c>
      <c r="T144" s="3" t="str">
        <f>IFERROR(MID(VLOOKUP($B144,Seqs!$A:$B,2,0),U144,1),"")</f>
        <v>D</v>
      </c>
      <c r="U144" s="3">
        <v>191</v>
      </c>
      <c r="V144" s="3" t="str">
        <f>IFERROR(MID(VLOOKUP($B144,Seqs!$A:$B,2,0),W144,1),"")</f>
        <v>L</v>
      </c>
      <c r="W144" s="3">
        <v>226</v>
      </c>
      <c r="X144" s="3" t="str">
        <f>IFERROR(MID(VLOOKUP($B144,Seqs!$A:$B,2,0),Y144,1),"")</f>
        <v>L</v>
      </c>
      <c r="Y144" s="3">
        <v>227</v>
      </c>
      <c r="Z144" s="3" t="str">
        <f>IFERROR(MID(VLOOKUP($B144,Seqs!$A:$B,2,0),AA144,1),"")</f>
        <v>A</v>
      </c>
      <c r="AA144" s="3">
        <v>234</v>
      </c>
      <c r="AB144" s="3" t="str">
        <f>IFERROR(MID(VLOOKUP($B144,Seqs!$A:$B,2,0),AC144,1),"")</f>
        <v>T</v>
      </c>
      <c r="AC144" s="3">
        <v>235</v>
      </c>
      <c r="AD144" s="3" t="str">
        <f>IFERROR(MID(VLOOKUP($B144,Seqs!$A:$B,2,0),AE144,1),"")</f>
        <v>T</v>
      </c>
      <c r="AE144" s="3">
        <v>261</v>
      </c>
      <c r="AF144" s="3" t="str">
        <f>IFERROR(MID(VLOOKUP($B144,Seqs!$A:$B,2,0),AG144,1),"")</f>
        <v>T</v>
      </c>
      <c r="AG144" s="3">
        <v>274</v>
      </c>
      <c r="AH144" s="3" t="str">
        <f>IFERROR(MID(VLOOKUP($B144,Seqs!$A:$B,2,0),AI144,1),"")</f>
        <v>L</v>
      </c>
      <c r="AI144" s="3">
        <v>276</v>
      </c>
      <c r="AJ144" s="3" t="str">
        <f>IFERROR(MID(VLOOKUP($B144,Seqs!$A:$B,2,0),AK144,1),"")</f>
        <v>L</v>
      </c>
      <c r="AK144" s="3">
        <v>281</v>
      </c>
      <c r="AL144" s="3" t="str">
        <f>IFERROR(MID(VLOOKUP($B144,Seqs!$A:$B,2,0),AM144,1),"")</f>
        <v>L</v>
      </c>
      <c r="AM144" s="3">
        <v>318</v>
      </c>
      <c r="AN144" s="3" t="str">
        <f>IFERROR(MID(VLOOKUP($B144,Seqs!$A:$B,2,0),AO144,1),"")</f>
        <v>L</v>
      </c>
      <c r="AO144" s="3">
        <v>323</v>
      </c>
      <c r="AP144" s="3" t="str">
        <f>IFERROR(MID(VLOOKUP($B144,Seqs!$A:$B,2,0),AQ144,1),"")</f>
        <v/>
      </c>
      <c r="AQ144" s="3">
        <v>354</v>
      </c>
      <c r="AR144" s="3" t="str">
        <f>IFERROR(MID(VLOOKUP($B144,Seqs!$A:$B,2,0),AS144,1),"")</f>
        <v/>
      </c>
      <c r="AS144" s="3">
        <v>358</v>
      </c>
      <c r="AT144" s="3" t="str">
        <f>IFERROR(MID(VLOOKUP($B144,Seqs!$A:$B,2,0),AU144,1),"")</f>
        <v/>
      </c>
      <c r="AU144" s="3">
        <v>394</v>
      </c>
      <c r="AV144" s="3" t="str">
        <f>IFERROR(MID(VLOOKUP($B144,Seqs!$A:$B,2,0),AW144,1),"")</f>
        <v/>
      </c>
      <c r="AW144" s="3" t="s">
        <v>23</v>
      </c>
      <c r="AX144" s="3" t="str">
        <f>IFERROR(MID(VLOOKUP($B144,Seqs!$A:$B,2,0),AY144,1),"")</f>
        <v/>
      </c>
      <c r="AY144" s="3" t="s">
        <v>23</v>
      </c>
      <c r="AZ144" s="77" t="str">
        <f>VLOOKUP(B144,Classification!A:D,2,0)</f>
        <v>A</v>
      </c>
      <c r="BA144" s="94" t="str">
        <f>VLOOKUP(B144,Classification!A:D,4,0)</f>
        <v>Complementpeptide</v>
      </c>
      <c r="BB144" s="27" t="b">
        <f t="shared" si="842"/>
        <v>1</v>
      </c>
      <c r="BC144" s="23">
        <f t="shared" si="843"/>
        <v>250</v>
      </c>
      <c r="BD144" s="2" t="s">
        <v>23</v>
      </c>
      <c r="BE144" s="3" t="s">
        <v>1375</v>
      </c>
      <c r="BF144" s="119">
        <v>2.2000000000000002</v>
      </c>
      <c r="BG144" s="49" t="s">
        <v>1282</v>
      </c>
      <c r="BH144" s="49" t="s">
        <v>1282</v>
      </c>
      <c r="BI144" s="1"/>
      <c r="BJ144" s="70" t="s">
        <v>1288</v>
      </c>
      <c r="BK144" s="57" t="s">
        <v>1288</v>
      </c>
      <c r="BL144" s="57" t="s">
        <v>1288</v>
      </c>
      <c r="BM144" s="57" t="s">
        <v>1288</v>
      </c>
      <c r="BN144" s="57" t="s">
        <v>1288</v>
      </c>
      <c r="BO144" s="57" t="s">
        <v>1288</v>
      </c>
      <c r="BP144" s="57" t="s">
        <v>1288</v>
      </c>
      <c r="BQ144" s="57" t="s">
        <v>1288</v>
      </c>
      <c r="BR144" s="57" t="s">
        <v>1288</v>
      </c>
      <c r="BS144" s="57" t="s">
        <v>1288</v>
      </c>
      <c r="BT144" s="57" t="s">
        <v>1288</v>
      </c>
      <c r="BU144" s="57" t="s">
        <v>1288</v>
      </c>
      <c r="BV144" s="70">
        <f t="shared" si="844"/>
        <v>120</v>
      </c>
      <c r="BW144" s="71" t="str">
        <f t="shared" si="845"/>
        <v>-</v>
      </c>
      <c r="BX144" s="72">
        <f t="shared" si="846"/>
        <v>155</v>
      </c>
      <c r="BY144" s="71">
        <f t="shared" si="847"/>
        <v>187</v>
      </c>
      <c r="BZ144" s="72">
        <f t="shared" si="848"/>
        <v>191</v>
      </c>
      <c r="CA144" s="71">
        <f t="shared" si="849"/>
        <v>227</v>
      </c>
      <c r="CB144" s="72">
        <f t="shared" si="850"/>
        <v>235</v>
      </c>
      <c r="CC144" s="71">
        <f t="shared" si="851"/>
        <v>274</v>
      </c>
      <c r="CD144" s="72">
        <f t="shared" si="852"/>
        <v>281</v>
      </c>
      <c r="CE144" s="71">
        <f t="shared" si="853"/>
        <v>323</v>
      </c>
      <c r="CF144" s="72">
        <f t="shared" si="854"/>
        <v>358</v>
      </c>
      <c r="CG144" s="71" t="str">
        <f t="shared" si="855"/>
        <v>-</v>
      </c>
      <c r="CH144" s="70">
        <f t="shared" si="856"/>
        <v>151</v>
      </c>
      <c r="CI144" s="71" t="str">
        <f t="shared" si="857"/>
        <v>-</v>
      </c>
      <c r="CJ144" s="72">
        <f t="shared" si="858"/>
        <v>185</v>
      </c>
      <c r="CK144" s="72">
        <f t="shared" si="859"/>
        <v>190</v>
      </c>
      <c r="CL144" s="72">
        <f t="shared" si="860"/>
        <v>226</v>
      </c>
      <c r="CM144" s="72">
        <f t="shared" si="861"/>
        <v>234</v>
      </c>
      <c r="CN144" s="72">
        <f t="shared" si="862"/>
        <v>261</v>
      </c>
      <c r="CO144" s="72">
        <f t="shared" si="863"/>
        <v>276</v>
      </c>
      <c r="CP144" s="72">
        <f t="shared" si="864"/>
        <v>318</v>
      </c>
      <c r="CQ144" s="72">
        <f t="shared" si="865"/>
        <v>354</v>
      </c>
      <c r="CR144" s="72">
        <f t="shared" si="866"/>
        <v>394</v>
      </c>
      <c r="CS144" s="72" t="str">
        <f t="shared" si="867"/>
        <v>-</v>
      </c>
      <c r="CT144" s="23" t="e">
        <f t="shared" si="868"/>
        <v>#VALUE!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811"/>
        <v>ccr2_human__wt</v>
      </c>
      <c r="B145" s="3" t="s">
        <v>170</v>
      </c>
      <c r="C145" s="3" t="s">
        <v>100</v>
      </c>
      <c r="D145" s="3" t="str">
        <f>IFERROR(MID(VLOOKUP($B145,Seqs!$A:$B,2,0),E145,1),"")</f>
        <v>V</v>
      </c>
      <c r="E145" s="3">
        <v>37</v>
      </c>
      <c r="F145" s="3" t="str">
        <f>IFERROR(MID(VLOOKUP($B145,Seqs!$A:$B,2,0),G145,1),"")</f>
        <v>C</v>
      </c>
      <c r="G145" s="3">
        <v>70</v>
      </c>
      <c r="H145" s="3" t="str">
        <f>IFERROR(MID(VLOOKUP($B145,Seqs!$A:$B,2,0),I145,1),"")</f>
        <v>K</v>
      </c>
      <c r="I145" s="23">
        <v>71</v>
      </c>
      <c r="J145" s="3" t="str">
        <f>IFERROR(MID(VLOOKUP($B145,Seqs!$A:$B,2,0),K145,1),"")</f>
        <v>K</v>
      </c>
      <c r="K145" s="23">
        <v>74</v>
      </c>
      <c r="L145" s="3" t="str">
        <f>IFERROR(MID(VLOOKUP($B145,Seqs!$A:$B,2,0),M145,1),"")</f>
        <v>C</v>
      </c>
      <c r="M145" s="3">
        <v>75</v>
      </c>
      <c r="N145" s="3" t="str">
        <f>IFERROR(MID(VLOOKUP($B145,Seqs!$A:$B,2,0),O145,1),"")</f>
        <v>N</v>
      </c>
      <c r="O145" s="3">
        <v>104</v>
      </c>
      <c r="P145" s="3" t="str">
        <f>IFERROR(MID(VLOOKUP($B145,Seqs!$A:$B,2,0),Q145,1),"")</f>
        <v>E</v>
      </c>
      <c r="Q145" s="3">
        <v>105</v>
      </c>
      <c r="R145" s="3" t="str">
        <f>IFERROR(MID(VLOOKUP($B145,Seqs!$A:$B,2,0),S145,1),"")</f>
        <v>F</v>
      </c>
      <c r="S145" s="3">
        <v>108</v>
      </c>
      <c r="T145" s="3" t="str">
        <f>IFERROR(MID(VLOOKUP($B145,Seqs!$A:$B,2,0),U145,1),"")</f>
        <v>G</v>
      </c>
      <c r="U145" s="3">
        <v>109</v>
      </c>
      <c r="V145" s="3" t="str">
        <f>IFERROR(MID(VLOOKUP($B145,Seqs!$A:$B,2,0),W145,1),"")</f>
        <v>H</v>
      </c>
      <c r="W145" s="3">
        <v>144</v>
      </c>
      <c r="X145" s="3" t="str">
        <f>IFERROR(MID(VLOOKUP($B145,Seqs!$A:$B,2,0),Y145,1),"")</f>
        <v>A</v>
      </c>
      <c r="Y145" s="3">
        <v>145</v>
      </c>
      <c r="Z145" s="3" t="str">
        <f>IFERROR(MID(VLOOKUP($B145,Seqs!$A:$B,2,0),AA145,1),"")</f>
        <v>R</v>
      </c>
      <c r="AA145" s="3">
        <v>152</v>
      </c>
      <c r="AB145" s="3" t="str">
        <f>IFERROR(MID(VLOOKUP($B145,Seqs!$A:$B,2,0),AC145,1),"")</f>
        <v>T</v>
      </c>
      <c r="AC145" s="9">
        <v>153</v>
      </c>
      <c r="AD145" s="3" t="str">
        <f>IFERROR(MID(VLOOKUP($B145,Seqs!$A:$B,2,0),AE145,1),"")</f>
        <v>T</v>
      </c>
      <c r="AE145" s="3">
        <v>179</v>
      </c>
      <c r="AF145" s="3" t="str">
        <f>IFERROR(MID(VLOOKUP($B145,Seqs!$A:$B,2,0),AG145,1),"")</f>
        <v>C</v>
      </c>
      <c r="AG145" s="3">
        <v>190</v>
      </c>
      <c r="AH145" s="3" t="str">
        <f>IFERROR(MID(VLOOKUP($B145,Seqs!$A:$B,2,0),AI145,1),"")</f>
        <v>P</v>
      </c>
      <c r="AI145" s="3">
        <v>192</v>
      </c>
      <c r="AJ145" s="3" t="str">
        <f>IFERROR(MID(VLOOKUP($B145,Seqs!$A:$B,2,0),AK145,1),"")</f>
        <v>P</v>
      </c>
      <c r="AK145" s="3">
        <v>195</v>
      </c>
      <c r="AL145" s="3" t="str">
        <f>IFERROR(MID(VLOOKUP($B145,Seqs!$A:$B,2,0),AM145,1),"")</f>
        <v>C</v>
      </c>
      <c r="AM145" s="3">
        <v>232</v>
      </c>
      <c r="AN145" s="3" t="str">
        <f>IFERROR(MID(VLOOKUP($B145,Seqs!$A:$B,2,0),AO145,1),"")</f>
        <v>K</v>
      </c>
      <c r="AO145" s="3">
        <v>236</v>
      </c>
      <c r="AP145" s="3" t="str">
        <f>IFERROR(MID(VLOOKUP($B145,Seqs!$A:$B,2,0),AQ145,1),"")</f>
        <v>G</v>
      </c>
      <c r="AQ145" s="3">
        <v>273</v>
      </c>
      <c r="AR145" s="3" t="str">
        <f>IFERROR(MID(VLOOKUP($B145,Seqs!$A:$B,2,0),AS145,1),"")</f>
        <v>E</v>
      </c>
      <c r="AS145" s="3">
        <v>278</v>
      </c>
      <c r="AT145" s="3" t="str">
        <f>IFERROR(MID(VLOOKUP($B145,Seqs!$A:$B,2,0),AU145,1),"")</f>
        <v>V</v>
      </c>
      <c r="AU145" s="3">
        <v>308</v>
      </c>
      <c r="AV145" s="3" t="str">
        <f>IFERROR(MID(VLOOKUP($B145,Seqs!$A:$B,2,0),AW145,1),"")</f>
        <v>G</v>
      </c>
      <c r="AW145" s="3">
        <v>309</v>
      </c>
      <c r="AX145" s="3" t="str">
        <f>IFERROR(MID(VLOOKUP($B145,Seqs!$A:$B,2,0),AY145,1),"")</f>
        <v>L</v>
      </c>
      <c r="AY145" s="3">
        <v>320</v>
      </c>
      <c r="AZ145" s="77" t="str">
        <f>VLOOKUP(B145,Classification!A:D,2,0)</f>
        <v>A</v>
      </c>
      <c r="BA145" s="94" t="str">
        <f>VLOOKUP(B145,Classification!A:D,4,0)</f>
        <v>Chemokine</v>
      </c>
      <c r="BB145" s="27" t="b">
        <f t="shared" si="812"/>
        <v>1</v>
      </c>
      <c r="BC145" s="23">
        <f t="shared" si="589"/>
        <v>265</v>
      </c>
      <c r="BD145" s="2" t="s">
        <v>23</v>
      </c>
      <c r="BE145" s="3" t="s">
        <v>23</v>
      </c>
      <c r="BF145" s="119" t="s">
        <v>23</v>
      </c>
      <c r="BG145" s="49" t="s">
        <v>1373</v>
      </c>
      <c r="BH145" s="49" t="s">
        <v>1378</v>
      </c>
      <c r="BI145" s="1"/>
      <c r="BJ145" s="70" t="s">
        <v>1288</v>
      </c>
      <c r="BK145" s="57" t="s">
        <v>1288</v>
      </c>
      <c r="BL145" s="57" t="s">
        <v>1288</v>
      </c>
      <c r="BM145" s="57" t="s">
        <v>1288</v>
      </c>
      <c r="BN145" s="57" t="s">
        <v>1288</v>
      </c>
      <c r="BO145" s="57" t="s">
        <v>1288</v>
      </c>
      <c r="BP145" s="57" t="s">
        <v>1288</v>
      </c>
      <c r="BQ145" s="57" t="s">
        <v>1288</v>
      </c>
      <c r="BR145" s="57" t="s">
        <v>1288</v>
      </c>
      <c r="BS145" s="57" t="s">
        <v>1288</v>
      </c>
      <c r="BT145" s="57" t="s">
        <v>1288</v>
      </c>
      <c r="BU145" s="57" t="s">
        <v>1288</v>
      </c>
      <c r="BV145" s="70">
        <f t="shared" si="590"/>
        <v>37</v>
      </c>
      <c r="BW145" s="71">
        <f t="shared" si="591"/>
        <v>71</v>
      </c>
      <c r="BX145" s="72">
        <f t="shared" si="592"/>
        <v>75</v>
      </c>
      <c r="BY145" s="71">
        <f t="shared" si="593"/>
        <v>105</v>
      </c>
      <c r="BZ145" s="72">
        <f t="shared" si="594"/>
        <v>109</v>
      </c>
      <c r="CA145" s="71">
        <f t="shared" si="595"/>
        <v>145</v>
      </c>
      <c r="CB145" s="72">
        <f t="shared" si="596"/>
        <v>153</v>
      </c>
      <c r="CC145" s="71">
        <f t="shared" si="597"/>
        <v>190</v>
      </c>
      <c r="CD145" s="72">
        <f t="shared" si="598"/>
        <v>195</v>
      </c>
      <c r="CE145" s="71">
        <f t="shared" si="599"/>
        <v>236</v>
      </c>
      <c r="CF145" s="72">
        <f t="shared" si="600"/>
        <v>278</v>
      </c>
      <c r="CG145" s="71">
        <f t="shared" si="601"/>
        <v>309</v>
      </c>
      <c r="CH145" s="70">
        <f t="shared" si="602"/>
        <v>70</v>
      </c>
      <c r="CI145" s="71">
        <f t="shared" si="603"/>
        <v>74</v>
      </c>
      <c r="CJ145" s="72">
        <f t="shared" si="604"/>
        <v>104</v>
      </c>
      <c r="CK145" s="72">
        <f t="shared" si="605"/>
        <v>108</v>
      </c>
      <c r="CL145" s="72">
        <f t="shared" si="606"/>
        <v>144</v>
      </c>
      <c r="CM145" s="72">
        <f t="shared" si="607"/>
        <v>152</v>
      </c>
      <c r="CN145" s="72">
        <f t="shared" si="608"/>
        <v>179</v>
      </c>
      <c r="CO145" s="72">
        <f t="shared" si="609"/>
        <v>192</v>
      </c>
      <c r="CP145" s="72">
        <f t="shared" si="610"/>
        <v>232</v>
      </c>
      <c r="CQ145" s="72">
        <f t="shared" si="611"/>
        <v>273</v>
      </c>
      <c r="CR145" s="72">
        <f t="shared" si="612"/>
        <v>308</v>
      </c>
      <c r="CS145" s="72">
        <f t="shared" si="613"/>
        <v>320</v>
      </c>
      <c r="CT145" s="23">
        <f t="shared" si="614"/>
        <v>1</v>
      </c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6"/>
      <c r="II145" s="6"/>
      <c r="IJ145" s="6"/>
      <c r="IK145" s="6"/>
      <c r="IL145" s="6"/>
      <c r="IM145" s="6"/>
      <c r="IN145" s="6"/>
      <c r="IO145" s="6"/>
      <c r="IP145" s="6"/>
      <c r="IQ145" s="6"/>
      <c r="IR145" s="6"/>
      <c r="IS145" s="6"/>
      <c r="IT145" s="6"/>
      <c r="IU145" s="6"/>
      <c r="IV145" s="6"/>
      <c r="IW145" s="6"/>
      <c r="IX145" s="6"/>
      <c r="IY145" s="6"/>
      <c r="IZ145" s="6"/>
      <c r="JA145" s="6"/>
      <c r="JB145" s="6"/>
      <c r="JC145" s="6"/>
      <c r="JD145" s="6"/>
      <c r="JE145" s="6"/>
      <c r="JF145" s="6"/>
      <c r="JG145" s="6"/>
      <c r="JH145" s="6"/>
      <c r="JI145" s="6"/>
      <c r="JJ145" s="6"/>
      <c r="JK145" s="6"/>
      <c r="JL145" s="6"/>
      <c r="JM145" s="6"/>
      <c r="JN145" s="6"/>
      <c r="JO145" s="6"/>
      <c r="JP145" s="6"/>
      <c r="JQ145" s="6"/>
      <c r="JR145" s="6"/>
      <c r="JS145" s="6"/>
      <c r="JT145" s="6"/>
      <c r="JU145" s="6"/>
      <c r="JV145" s="6"/>
      <c r="JW145" s="6"/>
      <c r="JX145" s="6"/>
      <c r="JY145" s="6"/>
      <c r="JZ145" s="6"/>
      <c r="KA145" s="6"/>
      <c r="KB145" s="6"/>
      <c r="KC145" s="6"/>
      <c r="KD145" s="6"/>
      <c r="KE145" s="6"/>
      <c r="KF145" s="6"/>
      <c r="KG145" s="6"/>
      <c r="KH145" s="6"/>
      <c r="KI145" s="6"/>
      <c r="KJ145" s="6"/>
      <c r="KK145" s="6"/>
      <c r="KL145" s="6"/>
      <c r="KM145" s="6"/>
      <c r="KN145" s="6"/>
      <c r="KO145" s="6"/>
      <c r="KP145" s="6"/>
      <c r="KQ145" s="6"/>
      <c r="KR145" s="6"/>
      <c r="KS145" s="6"/>
      <c r="KT145" s="6"/>
      <c r="KU145" s="6"/>
      <c r="KV145" s="6"/>
      <c r="KW145" s="6"/>
      <c r="KX145" s="6"/>
      <c r="KY145" s="6"/>
      <c r="KZ145" s="6"/>
      <c r="LA145" s="6"/>
      <c r="LB145" s="6"/>
      <c r="LC145" s="6"/>
      <c r="LD145" s="6"/>
      <c r="LE145" s="6"/>
      <c r="LF145" s="6"/>
      <c r="LG145" s="6"/>
      <c r="LH145" s="6"/>
      <c r="LI145" s="6"/>
      <c r="LJ145" s="6"/>
      <c r="LK145" s="6"/>
      <c r="LL145" s="6"/>
      <c r="LM145" s="6"/>
      <c r="LN145" s="6"/>
      <c r="LO145" s="6"/>
      <c r="LP145" s="6"/>
      <c r="LQ145" s="6"/>
      <c r="LR145" s="6"/>
      <c r="LS145" s="6"/>
      <c r="LT145" s="6"/>
      <c r="LU145" s="6"/>
      <c r="LV145" s="6"/>
      <c r="LW145" s="6"/>
      <c r="LX145" s="6"/>
      <c r="LY145" s="6"/>
      <c r="LZ145" s="6"/>
      <c r="MA145" s="6"/>
      <c r="MB145" s="6"/>
      <c r="MC145" s="6"/>
      <c r="MD145" s="6"/>
      <c r="ME145" s="6"/>
      <c r="MF145" s="6"/>
      <c r="MG145" s="6"/>
      <c r="MH145" s="6"/>
      <c r="MI145" s="6"/>
      <c r="MJ145" s="6"/>
      <c r="MK145" s="6"/>
      <c r="ML145" s="6"/>
      <c r="MM145" s="6"/>
      <c r="MN145" s="6"/>
      <c r="MO145" s="6"/>
      <c r="MP145" s="6"/>
      <c r="MQ145" s="6"/>
      <c r="MR145" s="6"/>
      <c r="MS145" s="6"/>
      <c r="MT145" s="6"/>
      <c r="MU145" s="6"/>
      <c r="MV145" s="6"/>
      <c r="MW145" s="6"/>
      <c r="MX145" s="6"/>
      <c r="MY145" s="6"/>
      <c r="MZ145" s="6"/>
      <c r="NA145" s="6"/>
      <c r="NB145" s="6"/>
      <c r="NC145" s="6"/>
      <c r="ND145" s="6"/>
      <c r="NE145" s="6"/>
      <c r="NF145" s="6"/>
      <c r="NG145" s="6"/>
      <c r="NH145" s="6"/>
      <c r="NI145" s="6"/>
      <c r="NJ145" s="6"/>
      <c r="NK145" s="6"/>
      <c r="NL145" s="6"/>
      <c r="NM145" s="6"/>
      <c r="NN145" s="6"/>
      <c r="NO145" s="6"/>
      <c r="NP145" s="6"/>
      <c r="NQ145" s="6"/>
      <c r="NR145" s="6"/>
      <c r="NS145" s="6"/>
      <c r="NT145" s="6"/>
      <c r="NU145" s="6"/>
      <c r="NV145" s="6"/>
      <c r="NW145" s="6"/>
      <c r="NX145" s="6"/>
      <c r="NY145" s="6"/>
      <c r="NZ145" s="6"/>
      <c r="OA145" s="6"/>
      <c r="OB145" s="6"/>
      <c r="OC145" s="6"/>
      <c r="OD145" s="6"/>
      <c r="OE145" s="6"/>
      <c r="OF145" s="6"/>
      <c r="OG145" s="6"/>
      <c r="OH145" s="6"/>
      <c r="OI145" s="6"/>
      <c r="OJ145" s="6"/>
      <c r="OK145" s="6"/>
      <c r="OL145" s="6"/>
      <c r="OM145" s="6"/>
      <c r="ON145" s="6"/>
      <c r="OO145" s="6"/>
      <c r="OP145" s="6"/>
      <c r="OQ145" s="6"/>
      <c r="OR145" s="6"/>
      <c r="OS145" s="6"/>
      <c r="OT145" s="6"/>
      <c r="OU145" s="6"/>
      <c r="OV145" s="6"/>
      <c r="OW145" s="6"/>
      <c r="OX145" s="6"/>
      <c r="OY145" s="6"/>
      <c r="OZ145" s="6"/>
      <c r="PA145" s="6"/>
      <c r="PB145" s="6"/>
      <c r="PC145" s="6"/>
      <c r="PD145" s="6"/>
      <c r="PE145" s="6"/>
      <c r="PF145" s="6"/>
      <c r="PG145" s="6"/>
      <c r="PH145" s="6"/>
      <c r="PI145" s="6"/>
      <c r="PJ145" s="6"/>
      <c r="PK145" s="6"/>
      <c r="PL145" s="6"/>
      <c r="PM145" s="6"/>
      <c r="PN145" s="6"/>
      <c r="PO145" s="6"/>
      <c r="PP145" s="6"/>
      <c r="PQ145" s="6"/>
      <c r="PR145" s="6"/>
      <c r="PS145" s="6"/>
      <c r="PT145" s="6"/>
      <c r="PU145" s="6"/>
      <c r="PV145" s="6"/>
      <c r="PW145" s="6"/>
      <c r="PX145" s="6"/>
      <c r="PY145" s="6"/>
      <c r="PZ145" s="6"/>
      <c r="QA145" s="6"/>
      <c r="QB145" s="6"/>
      <c r="QC145" s="6"/>
      <c r="QD145" s="6"/>
      <c r="QE145" s="6"/>
      <c r="QF145" s="6"/>
      <c r="QG145" s="6"/>
      <c r="QH145" s="6"/>
      <c r="QI145" s="6"/>
      <c r="QJ145" s="6"/>
      <c r="QK145" s="6"/>
      <c r="QL145" s="6"/>
      <c r="QM145" s="6"/>
      <c r="QN145" s="6"/>
      <c r="QO145" s="6"/>
      <c r="QP145" s="6"/>
      <c r="QQ145" s="6"/>
      <c r="QR145" s="6"/>
      <c r="QS145" s="6"/>
      <c r="QT145" s="6"/>
      <c r="QU145" s="6"/>
      <c r="QV145" s="6"/>
      <c r="QW145" s="6"/>
      <c r="QX145" s="6"/>
      <c r="QY145" s="6"/>
      <c r="QZ145" s="6"/>
      <c r="RA145" s="6"/>
      <c r="RB145" s="6"/>
      <c r="RC145" s="6"/>
      <c r="RD145" s="6"/>
      <c r="RE145" s="6"/>
      <c r="RF145" s="6"/>
      <c r="RG145" s="6"/>
      <c r="RH145" s="6"/>
      <c r="RI145" s="6"/>
      <c r="RJ145" s="6"/>
      <c r="RK145" s="6"/>
      <c r="RL145" s="6"/>
      <c r="RM145" s="6"/>
      <c r="RN145" s="6"/>
      <c r="RO145" s="6"/>
      <c r="RP145" s="6"/>
      <c r="RQ145" s="6"/>
      <c r="RR145" s="6"/>
      <c r="RS145" s="6"/>
      <c r="RT145" s="6"/>
      <c r="RU145" s="6"/>
      <c r="RV145" s="6"/>
      <c r="RW145" s="6"/>
      <c r="RX145" s="6"/>
      <c r="RY145" s="6"/>
      <c r="RZ145" s="6"/>
      <c r="SA145" s="6"/>
      <c r="SB145" s="6"/>
      <c r="SC145" s="6"/>
      <c r="SD145" s="6"/>
      <c r="SE145" s="6"/>
      <c r="SF145" s="6"/>
      <c r="SG145" s="6"/>
      <c r="SH145" s="6"/>
      <c r="SI145" s="6"/>
      <c r="SJ145" s="6"/>
      <c r="SK145" s="6"/>
      <c r="SL145" s="6"/>
      <c r="SM145" s="6"/>
      <c r="SN145" s="6"/>
      <c r="SO145" s="6"/>
      <c r="SP145" s="6"/>
      <c r="SQ145" s="6"/>
      <c r="SR145" s="6"/>
      <c r="SS145" s="6"/>
      <c r="ST145" s="6"/>
      <c r="SU145" s="6"/>
      <c r="SV145" s="6"/>
      <c r="SW145" s="6"/>
      <c r="SX145" s="6"/>
      <c r="SY145" s="6"/>
      <c r="SZ145" s="6"/>
      <c r="TA145" s="6"/>
      <c r="TB145" s="6"/>
      <c r="TC145" s="6"/>
      <c r="TD145" s="6"/>
      <c r="TE145" s="6"/>
      <c r="TF145" s="6"/>
      <c r="TG145" s="6"/>
      <c r="TH145" s="6"/>
      <c r="TI145" s="6"/>
      <c r="TJ145" s="6"/>
      <c r="TK145" s="6"/>
      <c r="TL145" s="6"/>
      <c r="TM145" s="6"/>
      <c r="TN145" s="6"/>
      <c r="TO145" s="6"/>
      <c r="TP145" s="6"/>
      <c r="TQ145" s="6"/>
      <c r="TR145" s="6"/>
      <c r="TS145" s="6"/>
      <c r="TT145" s="6"/>
      <c r="TU145" s="6"/>
      <c r="TV145" s="6"/>
      <c r="TW145" s="6"/>
      <c r="TX145" s="6"/>
      <c r="TY145" s="6"/>
      <c r="TZ145" s="6"/>
      <c r="UA145" s="6"/>
      <c r="UB145" s="6"/>
      <c r="UC145" s="6"/>
      <c r="UD145" s="6"/>
      <c r="UE145" s="6"/>
      <c r="UF145" s="6"/>
      <c r="UG145" s="6"/>
      <c r="UH145" s="6"/>
      <c r="UI145" s="6"/>
      <c r="UJ145" s="6"/>
      <c r="UK145" s="6"/>
      <c r="UL145" s="6"/>
      <c r="UM145" s="6"/>
      <c r="UN145" s="6"/>
      <c r="UO145" s="6"/>
      <c r="UP145" s="6"/>
      <c r="UQ145" s="6"/>
      <c r="UR145" s="6"/>
      <c r="US145" s="6"/>
      <c r="UT145" s="6"/>
      <c r="UU145" s="6"/>
      <c r="UV145" s="6"/>
      <c r="UW145" s="6"/>
      <c r="UX145" s="6"/>
      <c r="UY145" s="6"/>
      <c r="UZ145" s="6"/>
      <c r="VA145" s="6"/>
      <c r="VB145" s="6"/>
      <c r="VC145" s="6"/>
      <c r="VD145" s="6"/>
      <c r="VE145" s="6"/>
      <c r="VF145" s="6"/>
      <c r="VG145" s="6"/>
      <c r="VH145" s="6"/>
      <c r="VI145" s="6"/>
      <c r="VJ145" s="6"/>
      <c r="VK145" s="6"/>
      <c r="VL145" s="6"/>
      <c r="VM145" s="6"/>
      <c r="VN145" s="6"/>
      <c r="VO145" s="6"/>
      <c r="VP145" s="6"/>
      <c r="VQ145" s="6"/>
      <c r="VR145" s="6"/>
      <c r="VS145" s="6"/>
      <c r="VT145" s="6"/>
      <c r="VU145" s="6"/>
      <c r="VV145" s="6"/>
      <c r="VW145" s="6"/>
      <c r="VX145" s="6"/>
      <c r="VY145" s="6"/>
      <c r="VZ145" s="6"/>
      <c r="WA145" s="6"/>
      <c r="WB145" s="6"/>
      <c r="WC145" s="6"/>
      <c r="WD145" s="6"/>
      <c r="WE145" s="6"/>
      <c r="WF145" s="6"/>
      <c r="WG145" s="6"/>
      <c r="WH145" s="6"/>
      <c r="WI145" s="6"/>
      <c r="WJ145" s="6"/>
      <c r="WK145" s="6"/>
      <c r="WL145" s="6"/>
      <c r="WM145" s="6"/>
      <c r="WN145" s="6"/>
      <c r="WO145" s="6"/>
      <c r="WP145" s="6"/>
      <c r="WQ145" s="6"/>
      <c r="WR145" s="6"/>
      <c r="WS145" s="6"/>
      <c r="WT145" s="6"/>
      <c r="WU145" s="6"/>
      <c r="WV145" s="6"/>
      <c r="WW145" s="6"/>
      <c r="WX145" s="6"/>
      <c r="WY145" s="6"/>
      <c r="WZ145" s="6"/>
      <c r="XA145" s="6"/>
      <c r="XB145" s="6"/>
      <c r="XC145" s="6"/>
      <c r="XD145" s="6"/>
      <c r="XE145" s="6"/>
      <c r="XF145" s="6"/>
      <c r="XG145" s="6"/>
      <c r="XH145" s="6"/>
      <c r="XI145" s="6"/>
      <c r="XJ145" s="6"/>
      <c r="XK145" s="6"/>
      <c r="XL145" s="6"/>
      <c r="XM145" s="6"/>
      <c r="XN145" s="6"/>
      <c r="XO145" s="6"/>
      <c r="XP145" s="6"/>
      <c r="XQ145" s="6"/>
      <c r="XR145" s="6"/>
      <c r="XS145" s="6"/>
      <c r="XT145" s="6"/>
      <c r="XU145" s="6"/>
      <c r="XV145" s="6"/>
      <c r="XW145" s="6"/>
      <c r="XX145" s="6"/>
      <c r="XY145" s="6"/>
      <c r="XZ145" s="6"/>
      <c r="YA145" s="6"/>
      <c r="YB145" s="6"/>
      <c r="YC145" s="6"/>
      <c r="YD145" s="6"/>
      <c r="YE145" s="6"/>
      <c r="YF145" s="6"/>
      <c r="YG145" s="6"/>
      <c r="YH145" s="6"/>
      <c r="YI145" s="6"/>
      <c r="YJ145" s="6"/>
      <c r="YK145" s="6"/>
      <c r="YL145" s="6"/>
      <c r="YM145" s="6"/>
      <c r="YN145" s="6"/>
      <c r="YO145" s="6"/>
      <c r="YP145" s="6"/>
      <c r="YQ145" s="6"/>
      <c r="YR145" s="6"/>
      <c r="YS145" s="6"/>
      <c r="YT145" s="6"/>
      <c r="YU145" s="6"/>
      <c r="YV145" s="6"/>
      <c r="YW145" s="6"/>
      <c r="YX145" s="6"/>
      <c r="YY145" s="6"/>
      <c r="YZ145" s="6"/>
      <c r="ZA145" s="6"/>
      <c r="ZB145" s="6"/>
      <c r="ZC145" s="6"/>
      <c r="ZD145" s="6"/>
      <c r="ZE145" s="6"/>
      <c r="ZF145" s="6"/>
      <c r="ZG145" s="6"/>
      <c r="ZH145" s="6"/>
      <c r="ZI145" s="6"/>
      <c r="ZJ145" s="6"/>
      <c r="ZK145" s="6"/>
      <c r="ZL145" s="6"/>
      <c r="ZM145" s="6"/>
      <c r="ZN145" s="6"/>
      <c r="ZO145" s="6"/>
      <c r="ZP145" s="6"/>
      <c r="ZQ145" s="6"/>
      <c r="ZR145" s="6"/>
      <c r="ZS145" s="6"/>
      <c r="ZT145" s="6"/>
      <c r="ZU145" s="6"/>
      <c r="ZV145" s="6"/>
      <c r="ZW145" s="6"/>
      <c r="ZX145" s="6"/>
      <c r="ZY145" s="6"/>
      <c r="ZZ145" s="6"/>
      <c r="AAA145" s="6"/>
      <c r="AAB145" s="6"/>
      <c r="AAC145" s="6"/>
      <c r="AAD145" s="6"/>
      <c r="AAE145" s="6"/>
      <c r="AAF145" s="6"/>
      <c r="AAG145" s="6"/>
      <c r="AAH145" s="6"/>
      <c r="AAI145" s="6"/>
      <c r="AAJ145" s="6"/>
      <c r="AAK145" s="6"/>
      <c r="AAL145" s="6"/>
      <c r="AAM145" s="6"/>
      <c r="AAN145" s="6"/>
      <c r="AAO145" s="6"/>
      <c r="AAP145" s="6"/>
      <c r="AAQ145" s="6"/>
      <c r="AAR145" s="6"/>
      <c r="AAS145" s="6"/>
      <c r="AAT145" s="6"/>
      <c r="AAU145" s="6"/>
      <c r="AAV145" s="6"/>
      <c r="AAW145" s="6"/>
      <c r="AAX145" s="6"/>
      <c r="AAY145" s="6"/>
      <c r="AAZ145" s="6"/>
      <c r="ABA145" s="6"/>
      <c r="ABB145" s="6"/>
      <c r="ABC145" s="6"/>
      <c r="ABD145" s="6"/>
      <c r="ABE145" s="6"/>
      <c r="ABF145" s="6"/>
      <c r="ABG145" s="6"/>
      <c r="ABH145" s="6"/>
      <c r="ABI145" s="6"/>
      <c r="ABJ145" s="6"/>
      <c r="ABK145" s="6"/>
      <c r="ABL145" s="6"/>
      <c r="ABM145" s="6"/>
      <c r="ABN145" s="6"/>
      <c r="ABO145" s="6"/>
      <c r="ABP145" s="6"/>
      <c r="ABQ145" s="6"/>
      <c r="ABR145" s="6"/>
      <c r="ABS145" s="6"/>
      <c r="ABT145" s="6"/>
      <c r="ABU145" s="6"/>
      <c r="ABV145" s="6"/>
      <c r="ABW145" s="6"/>
      <c r="ABX145" s="6"/>
      <c r="ABY145" s="6"/>
      <c r="ABZ145" s="6"/>
      <c r="ACA145" s="6"/>
      <c r="ACB145" s="6"/>
      <c r="ACC145" s="6"/>
      <c r="ACD145" s="6"/>
      <c r="ACE145" s="6"/>
      <c r="ACF145" s="6"/>
      <c r="ACG145" s="6"/>
      <c r="ACH145" s="6"/>
      <c r="ACI145" s="6"/>
      <c r="ACJ145" s="6"/>
      <c r="ACK145" s="6"/>
      <c r="ACL145" s="6"/>
      <c r="ACM145" s="6"/>
      <c r="ACN145" s="6"/>
      <c r="ACO145" s="6"/>
      <c r="ACP145" s="6"/>
      <c r="ACQ145" s="6"/>
      <c r="ACR145" s="6"/>
      <c r="ACS145" s="6"/>
      <c r="ACT145" s="6"/>
      <c r="ACU145" s="6"/>
      <c r="ACV145" s="6"/>
      <c r="ACW145" s="6"/>
      <c r="ACX145" s="6"/>
      <c r="ACY145" s="6"/>
      <c r="ACZ145" s="6"/>
      <c r="ADA145" s="6"/>
      <c r="ADB145" s="6"/>
      <c r="ADC145" s="6"/>
      <c r="ADD145" s="6"/>
      <c r="ADE145" s="6"/>
      <c r="ADF145" s="6"/>
      <c r="ADG145" s="6"/>
      <c r="ADH145" s="6"/>
      <c r="ADI145" s="6"/>
      <c r="ADJ145" s="6"/>
      <c r="ADK145" s="6"/>
      <c r="ADL145" s="6"/>
      <c r="ADM145" s="6"/>
      <c r="ADN145" s="6"/>
      <c r="ADO145" s="6"/>
      <c r="ADP145" s="6"/>
      <c r="ADQ145" s="6"/>
      <c r="ADR145" s="6"/>
      <c r="ADS145" s="6"/>
      <c r="ADT145" s="6"/>
      <c r="ADU145" s="6"/>
      <c r="ADV145" s="6"/>
      <c r="ADW145" s="6"/>
      <c r="ADX145" s="6"/>
      <c r="ADY145" s="6"/>
      <c r="ADZ145" s="6"/>
      <c r="AEA145" s="6"/>
      <c r="AEB145" s="6"/>
      <c r="AEC145" s="6"/>
      <c r="AED145" s="6"/>
      <c r="AEE145" s="6"/>
      <c r="AEF145" s="6"/>
      <c r="AEG145" s="6"/>
      <c r="AEH145" s="6"/>
      <c r="AEI145" s="6"/>
      <c r="AEJ145" s="6"/>
      <c r="AEK145" s="6"/>
      <c r="AEL145" s="6"/>
      <c r="AEM145" s="6"/>
      <c r="AEN145" s="6"/>
      <c r="AEO145" s="6"/>
      <c r="AEP145" s="6"/>
      <c r="AEQ145" s="6"/>
      <c r="AER145" s="6"/>
      <c r="AES145" s="6"/>
      <c r="AET145" s="6"/>
      <c r="AEU145" s="6"/>
      <c r="AEV145" s="6"/>
      <c r="AEW145" s="6"/>
      <c r="AEX145" s="6"/>
      <c r="AEY145" s="6"/>
      <c r="AEZ145" s="6"/>
      <c r="AFA145" s="6"/>
      <c r="AFB145" s="6"/>
      <c r="AFC145" s="6"/>
      <c r="AFD145" s="6"/>
      <c r="AFE145" s="6"/>
      <c r="AFF145" s="6"/>
      <c r="AFG145" s="6"/>
      <c r="AFH145" s="6"/>
      <c r="AFI145" s="6"/>
      <c r="AFJ145" s="6"/>
      <c r="AFK145" s="6"/>
      <c r="AFL145" s="6"/>
      <c r="AFM145" s="6"/>
      <c r="AFN145" s="6"/>
      <c r="AFO145" s="6"/>
      <c r="AFP145" s="6"/>
      <c r="AFQ145" s="6"/>
      <c r="AFR145" s="6"/>
      <c r="AFS145" s="6"/>
      <c r="AFT145" s="6"/>
      <c r="AFU145" s="6"/>
      <c r="AFV145" s="6"/>
      <c r="AFW145" s="6"/>
      <c r="AFX145" s="6"/>
      <c r="AFY145" s="6"/>
      <c r="AFZ145" s="6"/>
      <c r="AGA145" s="6"/>
      <c r="AGB145" s="6"/>
      <c r="AGC145" s="6"/>
      <c r="AGD145" s="6"/>
      <c r="AGE145" s="6"/>
      <c r="AGF145" s="6"/>
      <c r="AGG145" s="6"/>
      <c r="AGH145" s="6"/>
      <c r="AGI145" s="6"/>
      <c r="AGJ145" s="6"/>
      <c r="AGK145" s="6"/>
      <c r="AGL145" s="6"/>
      <c r="AGM145" s="6"/>
      <c r="AGN145" s="6"/>
      <c r="AGO145" s="6"/>
      <c r="AGP145" s="6"/>
      <c r="AGQ145" s="6"/>
      <c r="AGR145" s="6"/>
      <c r="AGS145" s="6"/>
      <c r="AGT145" s="6"/>
      <c r="AGU145" s="6"/>
      <c r="AGV145" s="6"/>
      <c r="AGW145" s="6"/>
      <c r="AGX145" s="6"/>
      <c r="AGY145" s="6"/>
      <c r="AGZ145" s="6"/>
      <c r="AHA145" s="6"/>
      <c r="AHB145" s="6"/>
      <c r="AHC145" s="6"/>
      <c r="AHD145" s="6"/>
      <c r="AHE145" s="6"/>
      <c r="AHF145" s="6"/>
      <c r="AHG145" s="6"/>
      <c r="AHH145" s="6"/>
      <c r="AHI145" s="6"/>
      <c r="AHJ145" s="6"/>
      <c r="AHK145" s="6"/>
      <c r="AHL145" s="6"/>
      <c r="AHM145" s="6"/>
      <c r="AHN145" s="6"/>
      <c r="AHO145" s="6"/>
      <c r="AHP145" s="6"/>
      <c r="AHQ145" s="6"/>
      <c r="AHR145" s="6"/>
      <c r="AHS145" s="6"/>
      <c r="AHT145" s="6"/>
      <c r="AHU145" s="6"/>
      <c r="AHV145" s="6"/>
      <c r="AHW145" s="6"/>
      <c r="AHX145" s="6"/>
      <c r="AHY145" s="6"/>
      <c r="AHZ145" s="6"/>
      <c r="AIA145" s="6"/>
      <c r="AIB145" s="6"/>
      <c r="AIC145" s="6"/>
      <c r="AID145" s="6"/>
      <c r="AIE145" s="6"/>
      <c r="AIF145" s="6"/>
      <c r="AIG145" s="6"/>
      <c r="AIH145" s="6"/>
      <c r="AII145" s="6"/>
      <c r="AIJ145" s="6"/>
      <c r="AIK145" s="6"/>
      <c r="AIL145" s="6"/>
      <c r="AIM145" s="6"/>
      <c r="AIN145" s="6"/>
      <c r="AIO145" s="6"/>
      <c r="AIP145" s="6"/>
      <c r="AIQ145" s="6"/>
      <c r="AIR145" s="6"/>
      <c r="AIS145" s="6"/>
      <c r="AIT145" s="6"/>
      <c r="AIU145" s="6"/>
      <c r="AIV145" s="6"/>
      <c r="AIW145" s="6"/>
      <c r="AIX145" s="6"/>
      <c r="AIY145" s="6"/>
      <c r="AIZ145" s="6"/>
      <c r="AJA145" s="6"/>
      <c r="AJB145" s="6"/>
      <c r="AJC145" s="6"/>
      <c r="AJD145" s="6"/>
      <c r="AJE145" s="6"/>
      <c r="AJF145" s="6"/>
      <c r="AJG145" s="6"/>
      <c r="AJH145" s="6"/>
      <c r="AJI145" s="6"/>
      <c r="AJJ145" s="6"/>
      <c r="AJK145" s="6"/>
      <c r="AJL145" s="6"/>
      <c r="AJM145" s="6"/>
      <c r="AJN145" s="6"/>
      <c r="AJO145" s="6"/>
      <c r="AJP145" s="6"/>
      <c r="AJQ145" s="6"/>
      <c r="AJR145" s="6"/>
      <c r="AJS145" s="6"/>
      <c r="AJT145" s="6"/>
      <c r="AJU145" s="6"/>
      <c r="AJV145" s="6"/>
      <c r="AJW145" s="6"/>
      <c r="AJX145" s="6"/>
      <c r="AJY145" s="6"/>
      <c r="AJZ145" s="6"/>
      <c r="AKA145" s="6"/>
      <c r="AKB145" s="6"/>
      <c r="AKC145" s="6"/>
      <c r="AKD145" s="6"/>
      <c r="AKE145" s="6"/>
      <c r="AKF145" s="6"/>
      <c r="AKG145" s="6"/>
      <c r="AKH145" s="6"/>
      <c r="AKI145" s="6"/>
      <c r="AKJ145" s="6"/>
      <c r="AKK145" s="6"/>
      <c r="AKL145" s="6"/>
      <c r="AKM145" s="6"/>
      <c r="AKN145" s="6"/>
      <c r="AKO145" s="6"/>
      <c r="AKP145" s="6"/>
      <c r="AKQ145" s="6"/>
      <c r="AKR145" s="6"/>
      <c r="AKS145" s="6"/>
      <c r="AKT145" s="6"/>
      <c r="AKU145" s="6"/>
      <c r="AKV145" s="6"/>
      <c r="AKW145" s="6"/>
      <c r="AKX145" s="6"/>
      <c r="AKY145" s="6"/>
      <c r="AKZ145" s="6"/>
      <c r="ALA145" s="6"/>
      <c r="ALB145" s="6"/>
      <c r="ALC145" s="6"/>
      <c r="ALD145" s="6"/>
      <c r="ALE145" s="6"/>
      <c r="ALF145" s="6"/>
      <c r="ALG145" s="6"/>
      <c r="ALH145" s="6"/>
      <c r="ALI145" s="6"/>
      <c r="ALJ145" s="6"/>
      <c r="ALK145" s="6"/>
      <c r="ALL145" s="6"/>
      <c r="ALM145" s="6"/>
      <c r="ALN145" s="6"/>
      <c r="ALO145" s="6"/>
      <c r="ALP145" s="6"/>
      <c r="ALQ145" s="6"/>
      <c r="ALR145" s="6"/>
      <c r="ALS145" s="6"/>
      <c r="ALT145" s="6"/>
      <c r="ALU145" s="6"/>
      <c r="ALV145" s="6"/>
      <c r="ALW145" s="6"/>
      <c r="ALX145" s="6"/>
      <c r="ALY145" s="6"/>
      <c r="ALZ145" s="6"/>
      <c r="AMA145" s="6"/>
      <c r="AMB145" s="6"/>
      <c r="AMC145" s="6"/>
      <c r="AMD145" s="6"/>
      <c r="AME145" s="6"/>
      <c r="AMF145" s="6"/>
      <c r="AMG145" s="6"/>
      <c r="AMH145" s="6"/>
      <c r="AMI145" s="6"/>
      <c r="AMJ145" s="6"/>
      <c r="AMK145" s="6"/>
      <c r="AML145" s="6"/>
      <c r="AMM145" s="6"/>
      <c r="AMN145" s="6"/>
      <c r="AMO145" s="6"/>
      <c r="AMP145" s="6"/>
    </row>
    <row r="146" spans="1:1030" x14ac:dyDescent="0.2">
      <c r="A146" s="3" t="str">
        <f t="shared" si="811"/>
        <v>ccr2_human_5T1A</v>
      </c>
      <c r="B146" s="3" t="s">
        <v>170</v>
      </c>
      <c r="C146" s="3" t="s">
        <v>1379</v>
      </c>
      <c r="D146" s="3" t="str">
        <f>IFERROR(MID(VLOOKUP($B146,Seqs!$A:$B,2,0),E146,1),"")</f>
        <v>V</v>
      </c>
      <c r="E146" s="3">
        <v>37</v>
      </c>
      <c r="F146" s="3" t="str">
        <f>IFERROR(MID(VLOOKUP($B146,Seqs!$A:$B,2,0),G146,1),"")</f>
        <v>C</v>
      </c>
      <c r="G146" s="3">
        <v>70</v>
      </c>
      <c r="H146" s="3" t="str">
        <f>IFERROR(MID(VLOOKUP($B146,Seqs!$A:$B,2,0),I146,1),"")</f>
        <v/>
      </c>
      <c r="I146" s="23" t="s">
        <v>23</v>
      </c>
      <c r="J146" s="3" t="str">
        <f>IFERROR(MID(VLOOKUP($B146,Seqs!$A:$B,2,0),K146,1),"")</f>
        <v/>
      </c>
      <c r="K146" s="23" t="s">
        <v>23</v>
      </c>
      <c r="L146" s="3" t="str">
        <f>IFERROR(MID(VLOOKUP($B146,Seqs!$A:$B,2,0),M146,1),"")</f>
        <v>C</v>
      </c>
      <c r="M146" s="3">
        <v>75</v>
      </c>
      <c r="N146" s="3" t="str">
        <f>IFERROR(MID(VLOOKUP($B146,Seqs!$A:$B,2,0),O146,1),"")</f>
        <v>N</v>
      </c>
      <c r="O146" s="3">
        <v>104</v>
      </c>
      <c r="P146" s="3" t="str">
        <f>IFERROR(MID(VLOOKUP($B146,Seqs!$A:$B,2,0),Q146,1),"")</f>
        <v>E</v>
      </c>
      <c r="Q146" s="3">
        <v>105</v>
      </c>
      <c r="R146" s="3" t="str">
        <f>IFERROR(MID(VLOOKUP($B146,Seqs!$A:$B,2,0),S146,1),"")</f>
        <v>F</v>
      </c>
      <c r="S146" s="3">
        <v>108</v>
      </c>
      <c r="T146" s="3" t="str">
        <f>IFERROR(MID(VLOOKUP($B146,Seqs!$A:$B,2,0),U146,1),"")</f>
        <v>G</v>
      </c>
      <c r="U146" s="3">
        <v>109</v>
      </c>
      <c r="V146" s="3" t="str">
        <f>IFERROR(MID(VLOOKUP($B146,Seqs!$A:$B,2,0),W146,1),"")</f>
        <v>H</v>
      </c>
      <c r="W146" s="3">
        <v>144</v>
      </c>
      <c r="X146" s="3" t="str">
        <f>IFERROR(MID(VLOOKUP($B146,Seqs!$A:$B,2,0),Y146,1),"")</f>
        <v>A</v>
      </c>
      <c r="Y146" s="3">
        <v>145</v>
      </c>
      <c r="Z146" s="3" t="str">
        <f>IFERROR(MID(VLOOKUP($B146,Seqs!$A:$B,2,0),AA146,1),"")</f>
        <v>R</v>
      </c>
      <c r="AA146" s="3">
        <v>152</v>
      </c>
      <c r="AB146" s="3" t="str">
        <f>IFERROR(MID(VLOOKUP($B146,Seqs!$A:$B,2,0),AC146,1),"")</f>
        <v>T</v>
      </c>
      <c r="AC146" s="9">
        <v>153</v>
      </c>
      <c r="AD146" s="3" t="str">
        <f>IFERROR(MID(VLOOKUP($B146,Seqs!$A:$B,2,0),AE146,1),"")</f>
        <v>T</v>
      </c>
      <c r="AE146" s="3">
        <v>179</v>
      </c>
      <c r="AF146" s="3" t="str">
        <f>IFERROR(MID(VLOOKUP($B146,Seqs!$A:$B,2,0),AG146,1),"")</f>
        <v>C</v>
      </c>
      <c r="AG146" s="3">
        <v>190</v>
      </c>
      <c r="AH146" s="3" t="str">
        <f>IFERROR(MID(VLOOKUP($B146,Seqs!$A:$B,2,0),AI146,1),"")</f>
        <v>P</v>
      </c>
      <c r="AI146" s="3">
        <v>192</v>
      </c>
      <c r="AJ146" s="3" t="str">
        <f>IFERROR(MID(VLOOKUP($B146,Seqs!$A:$B,2,0),AK146,1),"")</f>
        <v>P</v>
      </c>
      <c r="AK146" s="3">
        <v>195</v>
      </c>
      <c r="AL146" s="3" t="str">
        <f>IFERROR(MID(VLOOKUP($B146,Seqs!$A:$B,2,0),AM146,1),"")</f>
        <v>T</v>
      </c>
      <c r="AM146" s="3">
        <v>228</v>
      </c>
      <c r="AN146" s="3" t="str">
        <f>IFERROR(MID(VLOOKUP($B146,Seqs!$A:$B,2,0),AO146,1),"")</f>
        <v>K</v>
      </c>
      <c r="AO146" s="3">
        <v>236</v>
      </c>
      <c r="AP146" s="3" t="str">
        <f>IFERROR(MID(VLOOKUP($B146,Seqs!$A:$B,2,0),AQ146,1),"")</f>
        <v>G</v>
      </c>
      <c r="AQ146" s="3">
        <v>273</v>
      </c>
      <c r="AR146" s="3" t="str">
        <f>IFERROR(MID(VLOOKUP($B146,Seqs!$A:$B,2,0),AS146,1),"")</f>
        <v>E</v>
      </c>
      <c r="AS146" s="3">
        <v>278</v>
      </c>
      <c r="AT146" s="3" t="str">
        <f>IFERROR(MID(VLOOKUP($B146,Seqs!$A:$B,2,0),AU146,1),"")</f>
        <v>V</v>
      </c>
      <c r="AU146" s="3">
        <v>308</v>
      </c>
      <c r="AV146" s="3" t="str">
        <f>IFERROR(MID(VLOOKUP($B146,Seqs!$A:$B,2,0),AW146,1),"")</f>
        <v>G</v>
      </c>
      <c r="AW146" s="3">
        <v>309</v>
      </c>
      <c r="AX146" s="3" t="str">
        <f>IFERROR(MID(VLOOKUP($B146,Seqs!$A:$B,2,0),AY146,1),"")</f>
        <v>L</v>
      </c>
      <c r="AY146" s="3">
        <v>320</v>
      </c>
      <c r="AZ146" s="77" t="str">
        <f>VLOOKUP(B146,Classification!A:D,2,0)</f>
        <v>A</v>
      </c>
      <c r="BA146" s="94" t="str">
        <f>VLOOKUP(B146,Classification!A:D,4,0)</f>
        <v>Chemokine</v>
      </c>
      <c r="BB146" s="27" t="b">
        <f t="shared" si="812"/>
        <v>1</v>
      </c>
      <c r="BC146" s="23">
        <f t="shared" si="589"/>
        <v>258</v>
      </c>
      <c r="BD146" s="16" t="s">
        <v>1377</v>
      </c>
      <c r="BE146" s="3" t="s">
        <v>1375</v>
      </c>
      <c r="BF146" s="119">
        <v>2.81</v>
      </c>
      <c r="BG146" s="49" t="s">
        <v>1</v>
      </c>
      <c r="BH146" s="49" t="s">
        <v>1378</v>
      </c>
      <c r="BI146" s="1"/>
      <c r="BJ146" s="70" t="s">
        <v>1288</v>
      </c>
      <c r="BK146" s="57" t="s">
        <v>1288</v>
      </c>
      <c r="BL146" s="57" t="s">
        <v>1288</v>
      </c>
      <c r="BM146" s="57" t="s">
        <v>1288</v>
      </c>
      <c r="BN146" s="57" t="s">
        <v>1288</v>
      </c>
      <c r="BO146" s="57" t="s">
        <v>1288</v>
      </c>
      <c r="BP146" s="57" t="s">
        <v>1288</v>
      </c>
      <c r="BQ146" s="57" t="s">
        <v>1288</v>
      </c>
      <c r="BR146" s="57" t="s">
        <v>1288</v>
      </c>
      <c r="BS146" s="57" t="s">
        <v>1288</v>
      </c>
      <c r="BT146" s="57" t="s">
        <v>1288</v>
      </c>
      <c r="BU146" s="57" t="s">
        <v>1288</v>
      </c>
      <c r="BV146" s="70">
        <f t="shared" si="590"/>
        <v>37</v>
      </c>
      <c r="BW146" s="71" t="str">
        <f t="shared" si="591"/>
        <v>-</v>
      </c>
      <c r="BX146" s="72">
        <f t="shared" si="592"/>
        <v>75</v>
      </c>
      <c r="BY146" s="71">
        <f t="shared" si="593"/>
        <v>105</v>
      </c>
      <c r="BZ146" s="72">
        <f t="shared" si="594"/>
        <v>109</v>
      </c>
      <c r="CA146" s="71">
        <f t="shared" si="595"/>
        <v>145</v>
      </c>
      <c r="CB146" s="72">
        <f t="shared" si="596"/>
        <v>153</v>
      </c>
      <c r="CC146" s="71">
        <f t="shared" si="597"/>
        <v>190</v>
      </c>
      <c r="CD146" s="72">
        <f t="shared" si="598"/>
        <v>195</v>
      </c>
      <c r="CE146" s="71">
        <f t="shared" si="599"/>
        <v>236</v>
      </c>
      <c r="CF146" s="72">
        <f t="shared" si="600"/>
        <v>278</v>
      </c>
      <c r="CG146" s="71">
        <f t="shared" si="601"/>
        <v>309</v>
      </c>
      <c r="CH146" s="70">
        <f t="shared" si="602"/>
        <v>70</v>
      </c>
      <c r="CI146" s="71" t="str">
        <f t="shared" si="603"/>
        <v>-</v>
      </c>
      <c r="CJ146" s="72">
        <f t="shared" si="604"/>
        <v>104</v>
      </c>
      <c r="CK146" s="72">
        <f t="shared" si="605"/>
        <v>108</v>
      </c>
      <c r="CL146" s="72">
        <f t="shared" si="606"/>
        <v>144</v>
      </c>
      <c r="CM146" s="72">
        <f t="shared" si="607"/>
        <v>152</v>
      </c>
      <c r="CN146" s="72">
        <f t="shared" si="608"/>
        <v>179</v>
      </c>
      <c r="CO146" s="72">
        <f t="shared" si="609"/>
        <v>192</v>
      </c>
      <c r="CP146" s="72">
        <f t="shared" si="610"/>
        <v>228</v>
      </c>
      <c r="CQ146" s="72">
        <f t="shared" si="611"/>
        <v>273</v>
      </c>
      <c r="CR146" s="72">
        <f t="shared" si="612"/>
        <v>308</v>
      </c>
      <c r="CS146" s="72">
        <f t="shared" si="613"/>
        <v>320</v>
      </c>
      <c r="CT146" s="23" t="e">
        <f t="shared" si="614"/>
        <v>#VALUE!</v>
      </c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6"/>
      <c r="II146" s="6"/>
      <c r="IJ146" s="6"/>
      <c r="IK146" s="6"/>
      <c r="IL146" s="6"/>
      <c r="IM146" s="6"/>
      <c r="IN146" s="6"/>
      <c r="IO146" s="6"/>
      <c r="IP146" s="6"/>
      <c r="IQ146" s="6"/>
      <c r="IR146" s="6"/>
      <c r="IS146" s="6"/>
      <c r="IT146" s="6"/>
      <c r="IU146" s="6"/>
      <c r="IV146" s="6"/>
      <c r="IW146" s="6"/>
      <c r="IX146" s="6"/>
      <c r="IY146" s="6"/>
      <c r="IZ146" s="6"/>
      <c r="JA146" s="6"/>
      <c r="JB146" s="6"/>
      <c r="JC146" s="6"/>
      <c r="JD146" s="6"/>
      <c r="JE146" s="6"/>
      <c r="JF146" s="6"/>
      <c r="JG146" s="6"/>
      <c r="JH146" s="6"/>
      <c r="JI146" s="6"/>
      <c r="JJ146" s="6"/>
      <c r="JK146" s="6"/>
      <c r="JL146" s="6"/>
      <c r="JM146" s="6"/>
      <c r="JN146" s="6"/>
      <c r="JO146" s="6"/>
      <c r="JP146" s="6"/>
      <c r="JQ146" s="6"/>
      <c r="JR146" s="6"/>
      <c r="JS146" s="6"/>
      <c r="JT146" s="6"/>
      <c r="JU146" s="6"/>
      <c r="JV146" s="6"/>
      <c r="JW146" s="6"/>
      <c r="JX146" s="6"/>
      <c r="JY146" s="6"/>
      <c r="JZ146" s="6"/>
      <c r="KA146" s="6"/>
      <c r="KB146" s="6"/>
      <c r="KC146" s="6"/>
      <c r="KD146" s="6"/>
      <c r="KE146" s="6"/>
      <c r="KF146" s="6"/>
      <c r="KG146" s="6"/>
      <c r="KH146" s="6"/>
      <c r="KI146" s="6"/>
      <c r="KJ146" s="6"/>
      <c r="KK146" s="6"/>
      <c r="KL146" s="6"/>
      <c r="KM146" s="6"/>
      <c r="KN146" s="6"/>
      <c r="KO146" s="6"/>
      <c r="KP146" s="6"/>
      <c r="KQ146" s="6"/>
      <c r="KR146" s="6"/>
      <c r="KS146" s="6"/>
      <c r="KT146" s="6"/>
      <c r="KU146" s="6"/>
      <c r="KV146" s="6"/>
      <c r="KW146" s="6"/>
      <c r="KX146" s="6"/>
      <c r="KY146" s="6"/>
      <c r="KZ146" s="6"/>
      <c r="LA146" s="6"/>
      <c r="LB146" s="6"/>
      <c r="LC146" s="6"/>
      <c r="LD146" s="6"/>
      <c r="LE146" s="6"/>
      <c r="LF146" s="6"/>
      <c r="LG146" s="6"/>
      <c r="LH146" s="6"/>
      <c r="LI146" s="6"/>
      <c r="LJ146" s="6"/>
      <c r="LK146" s="6"/>
      <c r="LL146" s="6"/>
      <c r="LM146" s="6"/>
      <c r="LN146" s="6"/>
      <c r="LO146" s="6"/>
      <c r="LP146" s="6"/>
      <c r="LQ146" s="6"/>
      <c r="LR146" s="6"/>
      <c r="LS146" s="6"/>
      <c r="LT146" s="6"/>
      <c r="LU146" s="6"/>
      <c r="LV146" s="6"/>
      <c r="LW146" s="6"/>
      <c r="LX146" s="6"/>
      <c r="LY146" s="6"/>
      <c r="LZ146" s="6"/>
      <c r="MA146" s="6"/>
      <c r="MB146" s="6"/>
      <c r="MC146" s="6"/>
      <c r="MD146" s="6"/>
      <c r="ME146" s="6"/>
      <c r="MF146" s="6"/>
      <c r="MG146" s="6"/>
      <c r="MH146" s="6"/>
      <c r="MI146" s="6"/>
      <c r="MJ146" s="6"/>
      <c r="MK146" s="6"/>
      <c r="ML146" s="6"/>
      <c r="MM146" s="6"/>
      <c r="MN146" s="6"/>
      <c r="MO146" s="6"/>
      <c r="MP146" s="6"/>
      <c r="MQ146" s="6"/>
      <c r="MR146" s="6"/>
      <c r="MS146" s="6"/>
      <c r="MT146" s="6"/>
      <c r="MU146" s="6"/>
      <c r="MV146" s="6"/>
      <c r="MW146" s="6"/>
      <c r="MX146" s="6"/>
      <c r="MY146" s="6"/>
      <c r="MZ146" s="6"/>
      <c r="NA146" s="6"/>
      <c r="NB146" s="6"/>
      <c r="NC146" s="6"/>
      <c r="ND146" s="6"/>
      <c r="NE146" s="6"/>
      <c r="NF146" s="6"/>
      <c r="NG146" s="6"/>
      <c r="NH146" s="6"/>
      <c r="NI146" s="6"/>
      <c r="NJ146" s="6"/>
      <c r="NK146" s="6"/>
      <c r="NL146" s="6"/>
      <c r="NM146" s="6"/>
      <c r="NN146" s="6"/>
      <c r="NO146" s="6"/>
      <c r="NP146" s="6"/>
      <c r="NQ146" s="6"/>
      <c r="NR146" s="6"/>
      <c r="NS146" s="6"/>
      <c r="NT146" s="6"/>
      <c r="NU146" s="6"/>
      <c r="NV146" s="6"/>
      <c r="NW146" s="6"/>
      <c r="NX146" s="6"/>
      <c r="NY146" s="6"/>
      <c r="NZ146" s="6"/>
      <c r="OA146" s="6"/>
      <c r="OB146" s="6"/>
      <c r="OC146" s="6"/>
      <c r="OD146" s="6"/>
      <c r="OE146" s="6"/>
      <c r="OF146" s="6"/>
      <c r="OG146" s="6"/>
      <c r="OH146" s="6"/>
      <c r="OI146" s="6"/>
      <c r="OJ146" s="6"/>
      <c r="OK146" s="6"/>
      <c r="OL146" s="6"/>
      <c r="OM146" s="6"/>
      <c r="ON146" s="6"/>
      <c r="OO146" s="6"/>
      <c r="OP146" s="6"/>
      <c r="OQ146" s="6"/>
      <c r="OR146" s="6"/>
      <c r="OS146" s="6"/>
      <c r="OT146" s="6"/>
      <c r="OU146" s="6"/>
      <c r="OV146" s="6"/>
      <c r="OW146" s="6"/>
      <c r="OX146" s="6"/>
      <c r="OY146" s="6"/>
      <c r="OZ146" s="6"/>
      <c r="PA146" s="6"/>
      <c r="PB146" s="6"/>
      <c r="PC146" s="6"/>
      <c r="PD146" s="6"/>
      <c r="PE146" s="6"/>
      <c r="PF146" s="6"/>
      <c r="PG146" s="6"/>
      <c r="PH146" s="6"/>
      <c r="PI146" s="6"/>
      <c r="PJ146" s="6"/>
      <c r="PK146" s="6"/>
      <c r="PL146" s="6"/>
      <c r="PM146" s="6"/>
      <c r="PN146" s="6"/>
      <c r="PO146" s="6"/>
      <c r="PP146" s="6"/>
      <c r="PQ146" s="6"/>
      <c r="PR146" s="6"/>
      <c r="PS146" s="6"/>
      <c r="PT146" s="6"/>
      <c r="PU146" s="6"/>
      <c r="PV146" s="6"/>
      <c r="PW146" s="6"/>
      <c r="PX146" s="6"/>
      <c r="PY146" s="6"/>
      <c r="PZ146" s="6"/>
      <c r="QA146" s="6"/>
      <c r="QB146" s="6"/>
      <c r="QC146" s="6"/>
      <c r="QD146" s="6"/>
      <c r="QE146" s="6"/>
      <c r="QF146" s="6"/>
      <c r="QG146" s="6"/>
      <c r="QH146" s="6"/>
      <c r="QI146" s="6"/>
      <c r="QJ146" s="6"/>
      <c r="QK146" s="6"/>
      <c r="QL146" s="6"/>
      <c r="QM146" s="6"/>
      <c r="QN146" s="6"/>
      <c r="QO146" s="6"/>
      <c r="QP146" s="6"/>
      <c r="QQ146" s="6"/>
      <c r="QR146" s="6"/>
      <c r="QS146" s="6"/>
      <c r="QT146" s="6"/>
      <c r="QU146" s="6"/>
      <c r="QV146" s="6"/>
      <c r="QW146" s="6"/>
      <c r="QX146" s="6"/>
      <c r="QY146" s="6"/>
      <c r="QZ146" s="6"/>
      <c r="RA146" s="6"/>
      <c r="RB146" s="6"/>
      <c r="RC146" s="6"/>
      <c r="RD146" s="6"/>
      <c r="RE146" s="6"/>
      <c r="RF146" s="6"/>
      <c r="RG146" s="6"/>
      <c r="RH146" s="6"/>
      <c r="RI146" s="6"/>
      <c r="RJ146" s="6"/>
      <c r="RK146" s="6"/>
      <c r="RL146" s="6"/>
      <c r="RM146" s="6"/>
      <c r="RN146" s="6"/>
      <c r="RO146" s="6"/>
      <c r="RP146" s="6"/>
      <c r="RQ146" s="6"/>
      <c r="RR146" s="6"/>
      <c r="RS146" s="6"/>
      <c r="RT146" s="6"/>
      <c r="RU146" s="6"/>
      <c r="RV146" s="6"/>
      <c r="RW146" s="6"/>
      <c r="RX146" s="6"/>
      <c r="RY146" s="6"/>
      <c r="RZ146" s="6"/>
      <c r="SA146" s="6"/>
      <c r="SB146" s="6"/>
      <c r="SC146" s="6"/>
      <c r="SD146" s="6"/>
      <c r="SE146" s="6"/>
      <c r="SF146" s="6"/>
      <c r="SG146" s="6"/>
      <c r="SH146" s="6"/>
      <c r="SI146" s="6"/>
      <c r="SJ146" s="6"/>
      <c r="SK146" s="6"/>
      <c r="SL146" s="6"/>
      <c r="SM146" s="6"/>
      <c r="SN146" s="6"/>
      <c r="SO146" s="6"/>
      <c r="SP146" s="6"/>
      <c r="SQ146" s="6"/>
      <c r="SR146" s="6"/>
      <c r="SS146" s="6"/>
      <c r="ST146" s="6"/>
      <c r="SU146" s="6"/>
      <c r="SV146" s="6"/>
      <c r="SW146" s="6"/>
      <c r="SX146" s="6"/>
      <c r="SY146" s="6"/>
      <c r="SZ146" s="6"/>
      <c r="TA146" s="6"/>
      <c r="TB146" s="6"/>
      <c r="TC146" s="6"/>
      <c r="TD146" s="6"/>
      <c r="TE146" s="6"/>
      <c r="TF146" s="6"/>
      <c r="TG146" s="6"/>
      <c r="TH146" s="6"/>
      <c r="TI146" s="6"/>
      <c r="TJ146" s="6"/>
      <c r="TK146" s="6"/>
      <c r="TL146" s="6"/>
      <c r="TM146" s="6"/>
      <c r="TN146" s="6"/>
      <c r="TO146" s="6"/>
      <c r="TP146" s="6"/>
      <c r="TQ146" s="6"/>
      <c r="TR146" s="6"/>
      <c r="TS146" s="6"/>
      <c r="TT146" s="6"/>
      <c r="TU146" s="6"/>
      <c r="TV146" s="6"/>
      <c r="TW146" s="6"/>
      <c r="TX146" s="6"/>
      <c r="TY146" s="6"/>
      <c r="TZ146" s="6"/>
      <c r="UA146" s="6"/>
      <c r="UB146" s="6"/>
      <c r="UC146" s="6"/>
      <c r="UD146" s="6"/>
      <c r="UE146" s="6"/>
      <c r="UF146" s="6"/>
      <c r="UG146" s="6"/>
      <c r="UH146" s="6"/>
      <c r="UI146" s="6"/>
      <c r="UJ146" s="6"/>
      <c r="UK146" s="6"/>
      <c r="UL146" s="6"/>
      <c r="UM146" s="6"/>
      <c r="UN146" s="6"/>
      <c r="UO146" s="6"/>
      <c r="UP146" s="6"/>
      <c r="UQ146" s="6"/>
      <c r="UR146" s="6"/>
      <c r="US146" s="6"/>
      <c r="UT146" s="6"/>
      <c r="UU146" s="6"/>
      <c r="UV146" s="6"/>
      <c r="UW146" s="6"/>
      <c r="UX146" s="6"/>
      <c r="UY146" s="6"/>
      <c r="UZ146" s="6"/>
      <c r="VA146" s="6"/>
      <c r="VB146" s="6"/>
      <c r="VC146" s="6"/>
      <c r="VD146" s="6"/>
      <c r="VE146" s="6"/>
      <c r="VF146" s="6"/>
      <c r="VG146" s="6"/>
      <c r="VH146" s="6"/>
      <c r="VI146" s="6"/>
      <c r="VJ146" s="6"/>
      <c r="VK146" s="6"/>
      <c r="VL146" s="6"/>
      <c r="VM146" s="6"/>
      <c r="VN146" s="6"/>
      <c r="VO146" s="6"/>
      <c r="VP146" s="6"/>
      <c r="VQ146" s="6"/>
      <c r="VR146" s="6"/>
      <c r="VS146" s="6"/>
      <c r="VT146" s="6"/>
      <c r="VU146" s="6"/>
      <c r="VV146" s="6"/>
      <c r="VW146" s="6"/>
      <c r="VX146" s="6"/>
      <c r="VY146" s="6"/>
      <c r="VZ146" s="6"/>
      <c r="WA146" s="6"/>
      <c r="WB146" s="6"/>
      <c r="WC146" s="6"/>
      <c r="WD146" s="6"/>
      <c r="WE146" s="6"/>
      <c r="WF146" s="6"/>
      <c r="WG146" s="6"/>
      <c r="WH146" s="6"/>
      <c r="WI146" s="6"/>
      <c r="WJ146" s="6"/>
      <c r="WK146" s="6"/>
      <c r="WL146" s="6"/>
      <c r="WM146" s="6"/>
      <c r="WN146" s="6"/>
      <c r="WO146" s="6"/>
      <c r="WP146" s="6"/>
      <c r="WQ146" s="6"/>
      <c r="WR146" s="6"/>
      <c r="WS146" s="6"/>
      <c r="WT146" s="6"/>
      <c r="WU146" s="6"/>
      <c r="WV146" s="6"/>
      <c r="WW146" s="6"/>
      <c r="WX146" s="6"/>
      <c r="WY146" s="6"/>
      <c r="WZ146" s="6"/>
      <c r="XA146" s="6"/>
      <c r="XB146" s="6"/>
      <c r="XC146" s="6"/>
      <c r="XD146" s="6"/>
      <c r="XE146" s="6"/>
      <c r="XF146" s="6"/>
      <c r="XG146" s="6"/>
      <c r="XH146" s="6"/>
      <c r="XI146" s="6"/>
      <c r="XJ146" s="6"/>
      <c r="XK146" s="6"/>
      <c r="XL146" s="6"/>
      <c r="XM146" s="6"/>
      <c r="XN146" s="6"/>
      <c r="XO146" s="6"/>
      <c r="XP146" s="6"/>
      <c r="XQ146" s="6"/>
      <c r="XR146" s="6"/>
      <c r="XS146" s="6"/>
      <c r="XT146" s="6"/>
      <c r="XU146" s="6"/>
      <c r="XV146" s="6"/>
      <c r="XW146" s="6"/>
      <c r="XX146" s="6"/>
      <c r="XY146" s="6"/>
      <c r="XZ146" s="6"/>
      <c r="YA146" s="6"/>
      <c r="YB146" s="6"/>
      <c r="YC146" s="6"/>
      <c r="YD146" s="6"/>
      <c r="YE146" s="6"/>
      <c r="YF146" s="6"/>
      <c r="YG146" s="6"/>
      <c r="YH146" s="6"/>
      <c r="YI146" s="6"/>
      <c r="YJ146" s="6"/>
      <c r="YK146" s="6"/>
      <c r="YL146" s="6"/>
      <c r="YM146" s="6"/>
      <c r="YN146" s="6"/>
      <c r="YO146" s="6"/>
      <c r="YP146" s="6"/>
      <c r="YQ146" s="6"/>
      <c r="YR146" s="6"/>
      <c r="YS146" s="6"/>
      <c r="YT146" s="6"/>
      <c r="YU146" s="6"/>
      <c r="YV146" s="6"/>
      <c r="YW146" s="6"/>
      <c r="YX146" s="6"/>
      <c r="YY146" s="6"/>
      <c r="YZ146" s="6"/>
      <c r="ZA146" s="6"/>
      <c r="ZB146" s="6"/>
      <c r="ZC146" s="6"/>
      <c r="ZD146" s="6"/>
      <c r="ZE146" s="6"/>
      <c r="ZF146" s="6"/>
      <c r="ZG146" s="6"/>
      <c r="ZH146" s="6"/>
      <c r="ZI146" s="6"/>
      <c r="ZJ146" s="6"/>
      <c r="ZK146" s="6"/>
      <c r="ZL146" s="6"/>
      <c r="ZM146" s="6"/>
      <c r="ZN146" s="6"/>
      <c r="ZO146" s="6"/>
      <c r="ZP146" s="6"/>
      <c r="ZQ146" s="6"/>
      <c r="ZR146" s="6"/>
      <c r="ZS146" s="6"/>
      <c r="ZT146" s="6"/>
      <c r="ZU146" s="6"/>
      <c r="ZV146" s="6"/>
      <c r="ZW146" s="6"/>
      <c r="ZX146" s="6"/>
      <c r="ZY146" s="6"/>
      <c r="ZZ146" s="6"/>
      <c r="AAA146" s="6"/>
      <c r="AAB146" s="6"/>
      <c r="AAC146" s="6"/>
      <c r="AAD146" s="6"/>
      <c r="AAE146" s="6"/>
      <c r="AAF146" s="6"/>
      <c r="AAG146" s="6"/>
      <c r="AAH146" s="6"/>
      <c r="AAI146" s="6"/>
      <c r="AAJ146" s="6"/>
      <c r="AAK146" s="6"/>
      <c r="AAL146" s="6"/>
      <c r="AAM146" s="6"/>
      <c r="AAN146" s="6"/>
      <c r="AAO146" s="6"/>
      <c r="AAP146" s="6"/>
      <c r="AAQ146" s="6"/>
      <c r="AAR146" s="6"/>
      <c r="AAS146" s="6"/>
      <c r="AAT146" s="6"/>
      <c r="AAU146" s="6"/>
      <c r="AAV146" s="6"/>
      <c r="AAW146" s="6"/>
      <c r="AAX146" s="6"/>
      <c r="AAY146" s="6"/>
      <c r="AAZ146" s="6"/>
      <c r="ABA146" s="6"/>
      <c r="ABB146" s="6"/>
      <c r="ABC146" s="6"/>
      <c r="ABD146" s="6"/>
      <c r="ABE146" s="6"/>
      <c r="ABF146" s="6"/>
      <c r="ABG146" s="6"/>
      <c r="ABH146" s="6"/>
      <c r="ABI146" s="6"/>
      <c r="ABJ146" s="6"/>
      <c r="ABK146" s="6"/>
      <c r="ABL146" s="6"/>
      <c r="ABM146" s="6"/>
      <c r="ABN146" s="6"/>
      <c r="ABO146" s="6"/>
      <c r="ABP146" s="6"/>
      <c r="ABQ146" s="6"/>
      <c r="ABR146" s="6"/>
      <c r="ABS146" s="6"/>
      <c r="ABT146" s="6"/>
      <c r="ABU146" s="6"/>
      <c r="ABV146" s="6"/>
      <c r="ABW146" s="6"/>
      <c r="ABX146" s="6"/>
      <c r="ABY146" s="6"/>
      <c r="ABZ146" s="6"/>
      <c r="ACA146" s="6"/>
      <c r="ACB146" s="6"/>
      <c r="ACC146" s="6"/>
      <c r="ACD146" s="6"/>
      <c r="ACE146" s="6"/>
      <c r="ACF146" s="6"/>
      <c r="ACG146" s="6"/>
      <c r="ACH146" s="6"/>
      <c r="ACI146" s="6"/>
      <c r="ACJ146" s="6"/>
      <c r="ACK146" s="6"/>
      <c r="ACL146" s="6"/>
      <c r="ACM146" s="6"/>
      <c r="ACN146" s="6"/>
      <c r="ACO146" s="6"/>
      <c r="ACP146" s="6"/>
      <c r="ACQ146" s="6"/>
      <c r="ACR146" s="6"/>
      <c r="ACS146" s="6"/>
      <c r="ACT146" s="6"/>
      <c r="ACU146" s="6"/>
      <c r="ACV146" s="6"/>
      <c r="ACW146" s="6"/>
      <c r="ACX146" s="6"/>
      <c r="ACY146" s="6"/>
      <c r="ACZ146" s="6"/>
      <c r="ADA146" s="6"/>
      <c r="ADB146" s="6"/>
      <c r="ADC146" s="6"/>
      <c r="ADD146" s="6"/>
      <c r="ADE146" s="6"/>
      <c r="ADF146" s="6"/>
      <c r="ADG146" s="6"/>
      <c r="ADH146" s="6"/>
      <c r="ADI146" s="6"/>
      <c r="ADJ146" s="6"/>
      <c r="ADK146" s="6"/>
      <c r="ADL146" s="6"/>
      <c r="ADM146" s="6"/>
      <c r="ADN146" s="6"/>
      <c r="ADO146" s="6"/>
      <c r="ADP146" s="6"/>
      <c r="ADQ146" s="6"/>
      <c r="ADR146" s="6"/>
      <c r="ADS146" s="6"/>
      <c r="ADT146" s="6"/>
      <c r="ADU146" s="6"/>
      <c r="ADV146" s="6"/>
      <c r="ADW146" s="6"/>
      <c r="ADX146" s="6"/>
      <c r="ADY146" s="6"/>
      <c r="ADZ146" s="6"/>
      <c r="AEA146" s="6"/>
      <c r="AEB146" s="6"/>
      <c r="AEC146" s="6"/>
      <c r="AED146" s="6"/>
      <c r="AEE146" s="6"/>
      <c r="AEF146" s="6"/>
      <c r="AEG146" s="6"/>
      <c r="AEH146" s="6"/>
      <c r="AEI146" s="6"/>
      <c r="AEJ146" s="6"/>
      <c r="AEK146" s="6"/>
      <c r="AEL146" s="6"/>
      <c r="AEM146" s="6"/>
      <c r="AEN146" s="6"/>
      <c r="AEO146" s="6"/>
      <c r="AEP146" s="6"/>
      <c r="AEQ146" s="6"/>
      <c r="AER146" s="6"/>
      <c r="AES146" s="6"/>
      <c r="AET146" s="6"/>
      <c r="AEU146" s="6"/>
      <c r="AEV146" s="6"/>
      <c r="AEW146" s="6"/>
      <c r="AEX146" s="6"/>
      <c r="AEY146" s="6"/>
      <c r="AEZ146" s="6"/>
      <c r="AFA146" s="6"/>
      <c r="AFB146" s="6"/>
      <c r="AFC146" s="6"/>
      <c r="AFD146" s="6"/>
      <c r="AFE146" s="6"/>
      <c r="AFF146" s="6"/>
      <c r="AFG146" s="6"/>
      <c r="AFH146" s="6"/>
      <c r="AFI146" s="6"/>
      <c r="AFJ146" s="6"/>
      <c r="AFK146" s="6"/>
      <c r="AFL146" s="6"/>
      <c r="AFM146" s="6"/>
      <c r="AFN146" s="6"/>
      <c r="AFO146" s="6"/>
      <c r="AFP146" s="6"/>
      <c r="AFQ146" s="6"/>
      <c r="AFR146" s="6"/>
      <c r="AFS146" s="6"/>
      <c r="AFT146" s="6"/>
      <c r="AFU146" s="6"/>
      <c r="AFV146" s="6"/>
      <c r="AFW146" s="6"/>
      <c r="AFX146" s="6"/>
      <c r="AFY146" s="6"/>
      <c r="AFZ146" s="6"/>
      <c r="AGA146" s="6"/>
      <c r="AGB146" s="6"/>
      <c r="AGC146" s="6"/>
      <c r="AGD146" s="6"/>
      <c r="AGE146" s="6"/>
      <c r="AGF146" s="6"/>
      <c r="AGG146" s="6"/>
      <c r="AGH146" s="6"/>
      <c r="AGI146" s="6"/>
      <c r="AGJ146" s="6"/>
      <c r="AGK146" s="6"/>
      <c r="AGL146" s="6"/>
      <c r="AGM146" s="6"/>
      <c r="AGN146" s="6"/>
      <c r="AGO146" s="6"/>
      <c r="AGP146" s="6"/>
      <c r="AGQ146" s="6"/>
      <c r="AGR146" s="6"/>
      <c r="AGS146" s="6"/>
      <c r="AGT146" s="6"/>
      <c r="AGU146" s="6"/>
      <c r="AGV146" s="6"/>
      <c r="AGW146" s="6"/>
      <c r="AGX146" s="6"/>
      <c r="AGY146" s="6"/>
      <c r="AGZ146" s="6"/>
      <c r="AHA146" s="6"/>
      <c r="AHB146" s="6"/>
      <c r="AHC146" s="6"/>
      <c r="AHD146" s="6"/>
      <c r="AHE146" s="6"/>
      <c r="AHF146" s="6"/>
      <c r="AHG146" s="6"/>
      <c r="AHH146" s="6"/>
      <c r="AHI146" s="6"/>
      <c r="AHJ146" s="6"/>
      <c r="AHK146" s="6"/>
      <c r="AHL146" s="6"/>
      <c r="AHM146" s="6"/>
      <c r="AHN146" s="6"/>
      <c r="AHO146" s="6"/>
      <c r="AHP146" s="6"/>
      <c r="AHQ146" s="6"/>
      <c r="AHR146" s="6"/>
      <c r="AHS146" s="6"/>
      <c r="AHT146" s="6"/>
      <c r="AHU146" s="6"/>
      <c r="AHV146" s="6"/>
      <c r="AHW146" s="6"/>
      <c r="AHX146" s="6"/>
      <c r="AHY146" s="6"/>
      <c r="AHZ146" s="6"/>
      <c r="AIA146" s="6"/>
      <c r="AIB146" s="6"/>
      <c r="AIC146" s="6"/>
      <c r="AID146" s="6"/>
      <c r="AIE146" s="6"/>
      <c r="AIF146" s="6"/>
      <c r="AIG146" s="6"/>
      <c r="AIH146" s="6"/>
      <c r="AII146" s="6"/>
      <c r="AIJ146" s="6"/>
      <c r="AIK146" s="6"/>
      <c r="AIL146" s="6"/>
      <c r="AIM146" s="6"/>
      <c r="AIN146" s="6"/>
      <c r="AIO146" s="6"/>
      <c r="AIP146" s="6"/>
      <c r="AIQ146" s="6"/>
      <c r="AIR146" s="6"/>
      <c r="AIS146" s="6"/>
      <c r="AIT146" s="6"/>
      <c r="AIU146" s="6"/>
      <c r="AIV146" s="6"/>
      <c r="AIW146" s="6"/>
      <c r="AIX146" s="6"/>
      <c r="AIY146" s="6"/>
      <c r="AIZ146" s="6"/>
      <c r="AJA146" s="6"/>
      <c r="AJB146" s="6"/>
      <c r="AJC146" s="6"/>
      <c r="AJD146" s="6"/>
      <c r="AJE146" s="6"/>
      <c r="AJF146" s="6"/>
      <c r="AJG146" s="6"/>
      <c r="AJH146" s="6"/>
      <c r="AJI146" s="6"/>
      <c r="AJJ146" s="6"/>
      <c r="AJK146" s="6"/>
      <c r="AJL146" s="6"/>
      <c r="AJM146" s="6"/>
      <c r="AJN146" s="6"/>
      <c r="AJO146" s="6"/>
      <c r="AJP146" s="6"/>
      <c r="AJQ146" s="6"/>
      <c r="AJR146" s="6"/>
      <c r="AJS146" s="6"/>
      <c r="AJT146" s="6"/>
      <c r="AJU146" s="6"/>
      <c r="AJV146" s="6"/>
      <c r="AJW146" s="6"/>
      <c r="AJX146" s="6"/>
      <c r="AJY146" s="6"/>
      <c r="AJZ146" s="6"/>
      <c r="AKA146" s="6"/>
      <c r="AKB146" s="6"/>
      <c r="AKC146" s="6"/>
      <c r="AKD146" s="6"/>
      <c r="AKE146" s="6"/>
      <c r="AKF146" s="6"/>
      <c r="AKG146" s="6"/>
      <c r="AKH146" s="6"/>
      <c r="AKI146" s="6"/>
      <c r="AKJ146" s="6"/>
      <c r="AKK146" s="6"/>
      <c r="AKL146" s="6"/>
      <c r="AKM146" s="6"/>
      <c r="AKN146" s="6"/>
      <c r="AKO146" s="6"/>
      <c r="AKP146" s="6"/>
      <c r="AKQ146" s="6"/>
      <c r="AKR146" s="6"/>
      <c r="AKS146" s="6"/>
      <c r="AKT146" s="6"/>
      <c r="AKU146" s="6"/>
      <c r="AKV146" s="6"/>
      <c r="AKW146" s="6"/>
      <c r="AKX146" s="6"/>
      <c r="AKY146" s="6"/>
      <c r="AKZ146" s="6"/>
      <c r="ALA146" s="6"/>
      <c r="ALB146" s="6"/>
      <c r="ALC146" s="6"/>
      <c r="ALD146" s="6"/>
      <c r="ALE146" s="6"/>
      <c r="ALF146" s="6"/>
      <c r="ALG146" s="6"/>
      <c r="ALH146" s="6"/>
      <c r="ALI146" s="6"/>
      <c r="ALJ146" s="6"/>
      <c r="ALK146" s="6"/>
      <c r="ALL146" s="6"/>
      <c r="ALM146" s="6"/>
      <c r="ALN146" s="6"/>
      <c r="ALO146" s="6"/>
      <c r="ALP146" s="6"/>
      <c r="ALQ146" s="6"/>
      <c r="ALR146" s="6"/>
      <c r="ALS146" s="6"/>
      <c r="ALT146" s="6"/>
      <c r="ALU146" s="6"/>
      <c r="ALV146" s="6"/>
      <c r="ALW146" s="6"/>
      <c r="ALX146" s="6"/>
      <c r="ALY146" s="6"/>
      <c r="ALZ146" s="6"/>
      <c r="AMA146" s="6"/>
      <c r="AMB146" s="6"/>
      <c r="AMC146" s="6"/>
      <c r="AMD146" s="6"/>
      <c r="AME146" s="6"/>
      <c r="AMF146" s="6"/>
      <c r="AMG146" s="6"/>
      <c r="AMH146" s="6"/>
      <c r="AMI146" s="6"/>
      <c r="AMJ146" s="6"/>
      <c r="AMK146" s="6"/>
      <c r="AML146" s="6"/>
      <c r="AMM146" s="6"/>
      <c r="AMN146" s="6"/>
      <c r="AMO146" s="6"/>
      <c r="AMP146" s="6"/>
    </row>
    <row r="147" spans="1:1030" s="12" customFormat="1" x14ac:dyDescent="0.2">
      <c r="A147" s="9" t="str">
        <f t="shared" ref="A147" si="897">CONCATENATE(B147,"_",C147)</f>
        <v>ccr2_human_6GPS</v>
      </c>
      <c r="B147" s="9" t="s">
        <v>170</v>
      </c>
      <c r="C147" s="9" t="s">
        <v>1547</v>
      </c>
      <c r="D147" s="9" t="str">
        <f>IFERROR(MID(VLOOKUP($B147,Seqs!$A:$B,2,0),E147,1),"")</f>
        <v>V</v>
      </c>
      <c r="E147" s="9">
        <v>37</v>
      </c>
      <c r="F147" s="9" t="str">
        <f>IFERROR(MID(VLOOKUP($B147,Seqs!$A:$B,2,0),G147,1),"")</f>
        <v>K</v>
      </c>
      <c r="G147" s="9">
        <v>71</v>
      </c>
      <c r="H147" s="9" t="str">
        <f>IFERROR(MID(VLOOKUP($B147,Seqs!$A:$B,2,0),I147,1),"")</f>
        <v/>
      </c>
      <c r="I147" s="109" t="s">
        <v>23</v>
      </c>
      <c r="J147" s="9" t="str">
        <f>IFERROR(MID(VLOOKUP($B147,Seqs!$A:$B,2,0),K147,1),"")</f>
        <v/>
      </c>
      <c r="K147" s="109" t="s">
        <v>23</v>
      </c>
      <c r="L147" s="9" t="str">
        <f>IFERROR(MID(VLOOKUP($B147,Seqs!$A:$B,2,0),M147,1),"")</f>
        <v>L</v>
      </c>
      <c r="M147" s="9">
        <v>76</v>
      </c>
      <c r="N147" s="9" t="str">
        <f>IFERROR(MID(VLOOKUP($B147,Seqs!$A:$B,2,0),O147,1),"")</f>
        <v>A</v>
      </c>
      <c r="O147" s="9">
        <v>102</v>
      </c>
      <c r="P147" s="9" t="str">
        <f>IFERROR(MID(VLOOKUP($B147,Seqs!$A:$B,2,0),Q147,1),"")</f>
        <v>E</v>
      </c>
      <c r="Q147" s="9">
        <v>105</v>
      </c>
      <c r="R147" s="9" t="str">
        <f>IFERROR(MID(VLOOKUP($B147,Seqs!$A:$B,2,0),S147,1),"")</f>
        <v>F</v>
      </c>
      <c r="S147" s="9">
        <v>108</v>
      </c>
      <c r="T147" s="9" t="str">
        <f>IFERROR(MID(VLOOKUP($B147,Seqs!$A:$B,2,0),U147,1),"")</f>
        <v>G</v>
      </c>
      <c r="U147" s="9">
        <v>109</v>
      </c>
      <c r="V147" s="9" t="str">
        <f>IFERROR(MID(VLOOKUP($B147,Seqs!$A:$B,2,0),W147,1),"")</f>
        <v>H</v>
      </c>
      <c r="W147" s="9">
        <v>144</v>
      </c>
      <c r="X147" s="9" t="str">
        <f>IFERROR(MID(VLOOKUP($B147,Seqs!$A:$B,2,0),Y147,1),"")</f>
        <v/>
      </c>
      <c r="Y147" s="9" t="s">
        <v>23</v>
      </c>
      <c r="Z147" s="9" t="str">
        <f>IFERROR(MID(VLOOKUP($B147,Seqs!$A:$B,2,0),AA147,1),"")</f>
        <v/>
      </c>
      <c r="AA147" s="9" t="s">
        <v>23</v>
      </c>
      <c r="AB147" s="9" t="str">
        <f>IFERROR(MID(VLOOKUP($B147,Seqs!$A:$B,2,0),AC147,1),"")</f>
        <v>R</v>
      </c>
      <c r="AC147" s="9">
        <v>152</v>
      </c>
      <c r="AD147" s="9" t="str">
        <f>IFERROR(MID(VLOOKUP($B147,Seqs!$A:$B,2,0),AE147,1),"")</f>
        <v>T</v>
      </c>
      <c r="AE147" s="9">
        <v>179</v>
      </c>
      <c r="AF147" s="9" t="str">
        <f>IFERROR(MID(VLOOKUP($B147,Seqs!$A:$B,2,0),AG147,1),"")</f>
        <v>C</v>
      </c>
      <c r="AG147" s="9">
        <v>190</v>
      </c>
      <c r="AH147" s="9" t="str">
        <f>IFERROR(MID(VLOOKUP($B147,Seqs!$A:$B,2,0),AI147,1),"")</f>
        <v>P</v>
      </c>
      <c r="AI147" s="9">
        <v>192</v>
      </c>
      <c r="AJ147" s="9" t="str">
        <f>IFERROR(MID(VLOOKUP($B147,Seqs!$A:$B,2,0),AK147,1),"")</f>
        <v>P</v>
      </c>
      <c r="AK147" s="9">
        <v>195</v>
      </c>
      <c r="AL147" s="9" t="str">
        <f>IFERROR(MID(VLOOKUP($B147,Seqs!$A:$B,2,0),AM147,1),"")</f>
        <v>R</v>
      </c>
      <c r="AM147" s="9">
        <v>231</v>
      </c>
      <c r="AN147" s="9" t="str">
        <f>IFERROR(MID(VLOOKUP($B147,Seqs!$A:$B,2,0),AO147,1),"")</f>
        <v>A</v>
      </c>
      <c r="AO147" s="9">
        <v>241</v>
      </c>
      <c r="AP147" s="9" t="str">
        <f>IFERROR(MID(VLOOKUP($B147,Seqs!$A:$B,2,0),AQ147,1),"")</f>
        <v>F</v>
      </c>
      <c r="AQ147" s="9">
        <v>268</v>
      </c>
      <c r="AR147" s="9" t="str">
        <f>IFERROR(MID(VLOOKUP($B147,Seqs!$A:$B,2,0),AS147,1),"")</f>
        <v>S</v>
      </c>
      <c r="AS147" s="9">
        <v>279</v>
      </c>
      <c r="AT147" s="9" t="str">
        <f>IFERROR(MID(VLOOKUP($B147,Seqs!$A:$B,2,0),AU147,1),"")</f>
        <v>G</v>
      </c>
      <c r="AU147" s="9">
        <v>309</v>
      </c>
      <c r="AV147" s="9" t="str">
        <f>IFERROR(MID(VLOOKUP($B147,Seqs!$A:$B,2,0),AW147,1),"")</f>
        <v>E</v>
      </c>
      <c r="AW147" s="9">
        <v>310</v>
      </c>
      <c r="AX147" s="9" t="str">
        <f>IFERROR(MID(VLOOKUP($B147,Seqs!$A:$B,2,0),AY147,1),"")</f>
        <v>G</v>
      </c>
      <c r="AY147" s="9">
        <v>321</v>
      </c>
      <c r="AZ147" s="110" t="str">
        <f>VLOOKUP(B147,Classification!A:D,2,0)</f>
        <v>A</v>
      </c>
      <c r="BA147" s="98" t="str">
        <f>VLOOKUP(B147,Classification!A:D,4,0)</f>
        <v>Chemokine</v>
      </c>
      <c r="BB147" s="36" t="b">
        <f t="shared" ref="BB147" si="898">AND(E147&lt;G147,OR(G147&lt;I147,I147="-"),OR(I147&lt;K147,I147="-"),OR(K147&lt;M147,K147="-"),M147&lt;O147,OR(O147&lt;Q147,Q147="-"),OR(Q147&lt;S147,Q147="-"),OR(S147&lt;U147,S147="-"),U147&lt;W147,OR(W147&lt;Y147,Y147="-"),OR(Y147&lt;AA147,Y147="-"),OR(AA147&lt;AC147,AA147="-"),AC147&lt;AE147,OR(AE147&lt;AG147,AG147="-"),OR(AG147&lt;AI147,AG147="-"),OR(AI147&lt;AK147,AI147="-"),AK147&lt;AM147,AM147&lt;AO147,AO147&lt;AQ147,AQ147&lt;AS147,AS147&lt;AU147,OR(AU147&lt;AW147,AW147="-"),OR(AW147&lt;AY147,AW147="-"))</f>
        <v>1</v>
      </c>
      <c r="BC147" s="109">
        <f t="shared" ref="BC147" si="899">_xlfn.AGGREGATE(9,6,CH147:CS147)-_xlfn.AGGREGATE(9,6,BV147:CG147)+12</f>
        <v>243</v>
      </c>
      <c r="BD147" s="127" t="s">
        <v>23</v>
      </c>
      <c r="BE147" s="9" t="s">
        <v>1375</v>
      </c>
      <c r="BF147" s="120">
        <v>3.3</v>
      </c>
      <c r="BG147" s="51" t="s">
        <v>1</v>
      </c>
      <c r="BH147" s="51" t="s">
        <v>1</v>
      </c>
      <c r="BJ147" s="111" t="s">
        <v>1288</v>
      </c>
      <c r="BK147" s="112" t="s">
        <v>1288</v>
      </c>
      <c r="BL147" s="112" t="s">
        <v>1288</v>
      </c>
      <c r="BM147" s="112" t="s">
        <v>1288</v>
      </c>
      <c r="BN147" s="112" t="s">
        <v>1288</v>
      </c>
      <c r="BO147" s="112" t="s">
        <v>1288</v>
      </c>
      <c r="BP147" s="112" t="s">
        <v>1288</v>
      </c>
      <c r="BQ147" s="112" t="s">
        <v>1288</v>
      </c>
      <c r="BR147" s="112" t="s">
        <v>1288</v>
      </c>
      <c r="BS147" s="112" t="s">
        <v>1288</v>
      </c>
      <c r="BT147" s="112" t="s">
        <v>1288</v>
      </c>
      <c r="BU147" s="112" t="s">
        <v>1288</v>
      </c>
      <c r="BV147" s="111">
        <f t="shared" ref="BV147" si="900">E147</f>
        <v>37</v>
      </c>
      <c r="BW147" s="113" t="str">
        <f t="shared" ref="BW147" si="901">I147</f>
        <v>-</v>
      </c>
      <c r="BX147" s="114">
        <f t="shared" ref="BX147" si="902">M147</f>
        <v>76</v>
      </c>
      <c r="BY147" s="113">
        <f t="shared" ref="BY147" si="903">Q147</f>
        <v>105</v>
      </c>
      <c r="BZ147" s="114">
        <f t="shared" ref="BZ147" si="904">U147</f>
        <v>109</v>
      </c>
      <c r="CA147" s="113" t="str">
        <f t="shared" ref="CA147" si="905">Y147</f>
        <v>-</v>
      </c>
      <c r="CB147" s="114">
        <f t="shared" ref="CB147" si="906">AC147</f>
        <v>152</v>
      </c>
      <c r="CC147" s="113">
        <f t="shared" ref="CC147" si="907">AG147</f>
        <v>190</v>
      </c>
      <c r="CD147" s="114">
        <f t="shared" ref="CD147" si="908">AK147</f>
        <v>195</v>
      </c>
      <c r="CE147" s="113">
        <f t="shared" ref="CE147" si="909">AO147</f>
        <v>241</v>
      </c>
      <c r="CF147" s="114">
        <f t="shared" ref="CF147" si="910">AS147</f>
        <v>279</v>
      </c>
      <c r="CG147" s="113">
        <f t="shared" ref="CG147" si="911">AW147</f>
        <v>310</v>
      </c>
      <c r="CH147" s="111">
        <f t="shared" ref="CH147" si="912">G147</f>
        <v>71</v>
      </c>
      <c r="CI147" s="113" t="str">
        <f t="shared" ref="CI147" si="913">K147</f>
        <v>-</v>
      </c>
      <c r="CJ147" s="114">
        <f t="shared" ref="CJ147" si="914">O147</f>
        <v>102</v>
      </c>
      <c r="CK147" s="114">
        <f t="shared" ref="CK147" si="915">S147</f>
        <v>108</v>
      </c>
      <c r="CL147" s="114">
        <f t="shared" ref="CL147" si="916">W147</f>
        <v>144</v>
      </c>
      <c r="CM147" s="114" t="str">
        <f t="shared" ref="CM147" si="917">AA147</f>
        <v>-</v>
      </c>
      <c r="CN147" s="114">
        <f t="shared" ref="CN147" si="918">AE147</f>
        <v>179</v>
      </c>
      <c r="CO147" s="114">
        <f t="shared" ref="CO147" si="919">AI147</f>
        <v>192</v>
      </c>
      <c r="CP147" s="114">
        <f t="shared" ref="CP147" si="920">AM147</f>
        <v>231</v>
      </c>
      <c r="CQ147" s="114">
        <f t="shared" ref="CQ147" si="921">AQ147</f>
        <v>268</v>
      </c>
      <c r="CR147" s="114">
        <f t="shared" ref="CR147" si="922">AU147</f>
        <v>309</v>
      </c>
      <c r="CS147" s="114">
        <f t="shared" ref="CS147" si="923">AY147</f>
        <v>321</v>
      </c>
      <c r="CT147" s="109" t="e">
        <f t="shared" ref="CT147" si="924">M147-K147</f>
        <v>#VALUE!</v>
      </c>
      <c r="CU147" s="129"/>
      <c r="CV147" s="129"/>
      <c r="CW147" s="129"/>
      <c r="CX147" s="129"/>
      <c r="CY147" s="129"/>
      <c r="CZ147" s="129"/>
      <c r="DA147" s="129"/>
      <c r="DB147" s="129"/>
      <c r="DC147" s="129"/>
      <c r="DD147" s="129"/>
      <c r="DE147" s="129"/>
      <c r="DF147" s="129"/>
      <c r="DG147" s="129"/>
      <c r="DH147" s="129"/>
      <c r="DI147" s="129"/>
      <c r="DJ147" s="129"/>
      <c r="DK147" s="129"/>
      <c r="DL147" s="129"/>
      <c r="DM147" s="129"/>
      <c r="DN147" s="129"/>
      <c r="DO147" s="129"/>
      <c r="DP147" s="129"/>
      <c r="DQ147" s="129"/>
      <c r="DR147" s="129"/>
      <c r="DS147" s="129"/>
      <c r="DT147" s="129"/>
      <c r="DU147" s="129"/>
      <c r="DV147" s="129"/>
      <c r="DW147" s="129"/>
      <c r="DX147" s="129"/>
      <c r="DY147" s="129"/>
      <c r="DZ147" s="129"/>
      <c r="EA147" s="129"/>
      <c r="EB147" s="129"/>
      <c r="EC147" s="129"/>
      <c r="ED147" s="129"/>
      <c r="EE147" s="129"/>
      <c r="EF147" s="129"/>
      <c r="EG147" s="129"/>
      <c r="EH147" s="129"/>
      <c r="EI147" s="129"/>
      <c r="EJ147" s="129"/>
      <c r="EK147" s="129"/>
      <c r="EL147" s="129"/>
      <c r="EM147" s="129"/>
      <c r="EN147" s="129"/>
      <c r="EO147" s="129"/>
      <c r="EP147" s="129"/>
      <c r="EQ147" s="129"/>
      <c r="ER147" s="129"/>
      <c r="ES147" s="129"/>
      <c r="ET147" s="129"/>
      <c r="EU147" s="129"/>
      <c r="EV147" s="129"/>
      <c r="EW147" s="129"/>
      <c r="EX147" s="129"/>
      <c r="EY147" s="129"/>
      <c r="EZ147" s="129"/>
      <c r="FA147" s="129"/>
      <c r="FB147" s="129"/>
      <c r="FC147" s="129"/>
      <c r="FD147" s="129"/>
      <c r="FE147" s="129"/>
      <c r="FF147" s="129"/>
      <c r="FG147" s="129"/>
      <c r="FH147" s="129"/>
      <c r="FI147" s="129"/>
      <c r="FJ147" s="129"/>
      <c r="FK147" s="129"/>
      <c r="FL147" s="129"/>
      <c r="FM147" s="129"/>
      <c r="FN147" s="129"/>
      <c r="FO147" s="129"/>
      <c r="FP147" s="129"/>
      <c r="FQ147" s="129"/>
      <c r="FR147" s="129"/>
      <c r="FS147" s="129"/>
      <c r="FT147" s="129"/>
      <c r="FU147" s="129"/>
      <c r="FV147" s="129"/>
      <c r="FW147" s="129"/>
      <c r="FX147" s="129"/>
      <c r="FY147" s="129"/>
      <c r="FZ147" s="129"/>
      <c r="GA147" s="129"/>
      <c r="GB147" s="129"/>
      <c r="GC147" s="129"/>
      <c r="GD147" s="129"/>
      <c r="GE147" s="129"/>
      <c r="GF147" s="129"/>
      <c r="GG147" s="129"/>
      <c r="GH147" s="129"/>
      <c r="GI147" s="129"/>
      <c r="GJ147" s="129"/>
      <c r="GK147" s="129"/>
      <c r="GL147" s="129"/>
      <c r="GM147" s="129"/>
      <c r="GN147" s="129"/>
      <c r="GO147" s="129"/>
      <c r="GP147" s="129"/>
      <c r="GQ147" s="129"/>
      <c r="GR147" s="129"/>
      <c r="GS147" s="129"/>
      <c r="GT147" s="129"/>
      <c r="GU147" s="129"/>
      <c r="GV147" s="129"/>
      <c r="GW147" s="129"/>
      <c r="GX147" s="129"/>
      <c r="GY147" s="129"/>
      <c r="GZ147" s="129"/>
      <c r="HA147" s="129"/>
      <c r="HB147" s="129"/>
      <c r="HC147" s="129"/>
      <c r="HD147" s="129"/>
      <c r="HE147" s="129"/>
      <c r="HF147" s="129"/>
      <c r="HG147" s="129"/>
      <c r="HH147" s="129"/>
      <c r="HI147" s="129"/>
      <c r="HJ147" s="129"/>
      <c r="HK147" s="129"/>
      <c r="HL147" s="129"/>
      <c r="HM147" s="129"/>
      <c r="HN147" s="129"/>
      <c r="HO147" s="129"/>
      <c r="HP147" s="129"/>
      <c r="HQ147" s="129"/>
      <c r="HR147" s="129"/>
      <c r="HS147" s="129"/>
      <c r="HT147" s="129"/>
      <c r="HU147" s="129"/>
      <c r="HV147" s="129"/>
      <c r="HW147" s="129"/>
      <c r="HX147" s="129"/>
      <c r="HY147" s="129"/>
      <c r="HZ147" s="129"/>
      <c r="IA147" s="129"/>
      <c r="IB147" s="129"/>
      <c r="IC147" s="129"/>
      <c r="ID147" s="129"/>
      <c r="IE147" s="129"/>
      <c r="IF147" s="129"/>
      <c r="IG147" s="129"/>
      <c r="IH147" s="129"/>
      <c r="II147" s="129"/>
      <c r="IJ147" s="129"/>
      <c r="IK147" s="129"/>
      <c r="IL147" s="129"/>
      <c r="IM147" s="129"/>
      <c r="IN147" s="129"/>
      <c r="IO147" s="129"/>
      <c r="IP147" s="129"/>
      <c r="IQ147" s="129"/>
      <c r="IR147" s="129"/>
      <c r="IS147" s="129"/>
      <c r="IT147" s="129"/>
      <c r="IU147" s="129"/>
      <c r="IV147" s="129"/>
      <c r="IW147" s="129"/>
      <c r="IX147" s="129"/>
      <c r="IY147" s="129"/>
      <c r="IZ147" s="129"/>
      <c r="JA147" s="129"/>
      <c r="JB147" s="129"/>
      <c r="JC147" s="129"/>
      <c r="JD147" s="129"/>
      <c r="JE147" s="129"/>
      <c r="JF147" s="129"/>
      <c r="JG147" s="129"/>
      <c r="JH147" s="129"/>
      <c r="JI147" s="129"/>
      <c r="JJ147" s="129"/>
      <c r="JK147" s="129"/>
      <c r="JL147" s="129"/>
      <c r="JM147" s="129"/>
      <c r="JN147" s="129"/>
      <c r="JO147" s="129"/>
      <c r="JP147" s="129"/>
      <c r="JQ147" s="129"/>
      <c r="JR147" s="129"/>
      <c r="JS147" s="129"/>
      <c r="JT147" s="129"/>
      <c r="JU147" s="129"/>
      <c r="JV147" s="129"/>
      <c r="JW147" s="129"/>
      <c r="JX147" s="129"/>
      <c r="JY147" s="129"/>
      <c r="JZ147" s="129"/>
      <c r="KA147" s="129"/>
      <c r="KB147" s="129"/>
      <c r="KC147" s="129"/>
      <c r="KD147" s="129"/>
      <c r="KE147" s="129"/>
      <c r="KF147" s="129"/>
      <c r="KG147" s="129"/>
      <c r="KH147" s="129"/>
      <c r="KI147" s="129"/>
      <c r="KJ147" s="129"/>
      <c r="KK147" s="129"/>
      <c r="KL147" s="129"/>
      <c r="KM147" s="129"/>
      <c r="KN147" s="129"/>
      <c r="KO147" s="129"/>
      <c r="KP147" s="129"/>
      <c r="KQ147" s="129"/>
      <c r="KR147" s="129"/>
      <c r="KS147" s="129"/>
      <c r="KT147" s="129"/>
      <c r="KU147" s="129"/>
      <c r="KV147" s="129"/>
      <c r="KW147" s="129"/>
      <c r="KX147" s="129"/>
      <c r="KY147" s="129"/>
      <c r="KZ147" s="129"/>
      <c r="LA147" s="129"/>
      <c r="LB147" s="129"/>
      <c r="LC147" s="129"/>
      <c r="LD147" s="129"/>
      <c r="LE147" s="129"/>
      <c r="LF147" s="129"/>
      <c r="LG147" s="129"/>
      <c r="LH147" s="129"/>
      <c r="LI147" s="129"/>
      <c r="LJ147" s="129"/>
      <c r="LK147" s="129"/>
      <c r="LL147" s="129"/>
      <c r="LM147" s="129"/>
      <c r="LN147" s="129"/>
      <c r="LO147" s="129"/>
      <c r="LP147" s="129"/>
      <c r="LQ147" s="129"/>
      <c r="LR147" s="129"/>
      <c r="LS147" s="129"/>
      <c r="LT147" s="129"/>
      <c r="LU147" s="129"/>
      <c r="LV147" s="129"/>
      <c r="LW147" s="129"/>
      <c r="LX147" s="129"/>
      <c r="LY147" s="129"/>
      <c r="LZ147" s="129"/>
      <c r="MA147" s="129"/>
      <c r="MB147" s="129"/>
      <c r="MC147" s="129"/>
      <c r="MD147" s="129"/>
      <c r="ME147" s="129"/>
      <c r="MF147" s="129"/>
      <c r="MG147" s="129"/>
      <c r="MH147" s="129"/>
      <c r="MI147" s="129"/>
      <c r="MJ147" s="129"/>
      <c r="MK147" s="129"/>
      <c r="ML147" s="129"/>
      <c r="MM147" s="129"/>
      <c r="MN147" s="129"/>
      <c r="MO147" s="129"/>
      <c r="MP147" s="129"/>
      <c r="MQ147" s="129"/>
      <c r="MR147" s="129"/>
      <c r="MS147" s="129"/>
      <c r="MT147" s="129"/>
      <c r="MU147" s="129"/>
      <c r="MV147" s="129"/>
      <c r="MW147" s="129"/>
      <c r="MX147" s="129"/>
      <c r="MY147" s="129"/>
      <c r="MZ147" s="129"/>
      <c r="NA147" s="129"/>
      <c r="NB147" s="129"/>
      <c r="NC147" s="129"/>
      <c r="ND147" s="129"/>
      <c r="NE147" s="129"/>
      <c r="NF147" s="129"/>
      <c r="NG147" s="129"/>
      <c r="NH147" s="129"/>
      <c r="NI147" s="129"/>
      <c r="NJ147" s="129"/>
      <c r="NK147" s="129"/>
      <c r="NL147" s="129"/>
      <c r="NM147" s="129"/>
      <c r="NN147" s="129"/>
      <c r="NO147" s="129"/>
      <c r="NP147" s="129"/>
      <c r="NQ147" s="129"/>
      <c r="NR147" s="129"/>
      <c r="NS147" s="129"/>
      <c r="NT147" s="129"/>
      <c r="NU147" s="129"/>
      <c r="NV147" s="129"/>
      <c r="NW147" s="129"/>
      <c r="NX147" s="129"/>
      <c r="NY147" s="129"/>
      <c r="NZ147" s="129"/>
      <c r="OA147" s="129"/>
      <c r="OB147" s="129"/>
      <c r="OC147" s="129"/>
      <c r="OD147" s="129"/>
      <c r="OE147" s="129"/>
      <c r="OF147" s="129"/>
      <c r="OG147" s="129"/>
      <c r="OH147" s="129"/>
      <c r="OI147" s="129"/>
      <c r="OJ147" s="129"/>
      <c r="OK147" s="129"/>
      <c r="OL147" s="129"/>
      <c r="OM147" s="129"/>
      <c r="ON147" s="129"/>
      <c r="OO147" s="129"/>
      <c r="OP147" s="129"/>
      <c r="OQ147" s="129"/>
      <c r="OR147" s="129"/>
      <c r="OS147" s="129"/>
      <c r="OT147" s="129"/>
      <c r="OU147" s="129"/>
      <c r="OV147" s="129"/>
      <c r="OW147" s="129"/>
      <c r="OX147" s="129"/>
      <c r="OY147" s="129"/>
      <c r="OZ147" s="129"/>
      <c r="PA147" s="129"/>
      <c r="PB147" s="129"/>
      <c r="PC147" s="129"/>
      <c r="PD147" s="129"/>
      <c r="PE147" s="129"/>
      <c r="PF147" s="129"/>
      <c r="PG147" s="129"/>
      <c r="PH147" s="129"/>
      <c r="PI147" s="129"/>
      <c r="PJ147" s="129"/>
      <c r="PK147" s="129"/>
      <c r="PL147" s="129"/>
      <c r="PM147" s="129"/>
      <c r="PN147" s="129"/>
      <c r="PO147" s="129"/>
      <c r="PP147" s="129"/>
      <c r="PQ147" s="129"/>
      <c r="PR147" s="129"/>
      <c r="PS147" s="129"/>
      <c r="PT147" s="129"/>
      <c r="PU147" s="129"/>
      <c r="PV147" s="129"/>
      <c r="PW147" s="129"/>
      <c r="PX147" s="129"/>
      <c r="PY147" s="129"/>
      <c r="PZ147" s="129"/>
      <c r="QA147" s="129"/>
      <c r="QB147" s="129"/>
      <c r="QC147" s="129"/>
      <c r="QD147" s="129"/>
      <c r="QE147" s="129"/>
      <c r="QF147" s="129"/>
      <c r="QG147" s="129"/>
      <c r="QH147" s="129"/>
      <c r="QI147" s="129"/>
      <c r="QJ147" s="129"/>
      <c r="QK147" s="129"/>
      <c r="QL147" s="129"/>
      <c r="QM147" s="129"/>
      <c r="QN147" s="129"/>
      <c r="QO147" s="129"/>
      <c r="QP147" s="129"/>
      <c r="QQ147" s="129"/>
      <c r="QR147" s="129"/>
      <c r="QS147" s="129"/>
      <c r="QT147" s="129"/>
      <c r="QU147" s="129"/>
      <c r="QV147" s="129"/>
      <c r="QW147" s="129"/>
      <c r="QX147" s="129"/>
      <c r="QY147" s="129"/>
      <c r="QZ147" s="129"/>
      <c r="RA147" s="129"/>
      <c r="RB147" s="129"/>
      <c r="RC147" s="129"/>
      <c r="RD147" s="129"/>
      <c r="RE147" s="129"/>
      <c r="RF147" s="129"/>
      <c r="RG147" s="129"/>
      <c r="RH147" s="129"/>
      <c r="RI147" s="129"/>
      <c r="RJ147" s="129"/>
      <c r="RK147" s="129"/>
      <c r="RL147" s="129"/>
      <c r="RM147" s="129"/>
      <c r="RN147" s="129"/>
      <c r="RO147" s="129"/>
      <c r="RP147" s="129"/>
      <c r="RQ147" s="129"/>
      <c r="RR147" s="129"/>
      <c r="RS147" s="129"/>
      <c r="RT147" s="129"/>
      <c r="RU147" s="129"/>
      <c r="RV147" s="129"/>
      <c r="RW147" s="129"/>
      <c r="RX147" s="129"/>
      <c r="RY147" s="129"/>
      <c r="RZ147" s="129"/>
      <c r="SA147" s="129"/>
      <c r="SB147" s="129"/>
      <c r="SC147" s="129"/>
      <c r="SD147" s="129"/>
      <c r="SE147" s="129"/>
      <c r="SF147" s="129"/>
      <c r="SG147" s="129"/>
      <c r="SH147" s="129"/>
      <c r="SI147" s="129"/>
      <c r="SJ147" s="129"/>
      <c r="SK147" s="129"/>
      <c r="SL147" s="129"/>
      <c r="SM147" s="129"/>
      <c r="SN147" s="129"/>
      <c r="SO147" s="129"/>
      <c r="SP147" s="129"/>
      <c r="SQ147" s="129"/>
      <c r="SR147" s="129"/>
      <c r="SS147" s="129"/>
      <c r="ST147" s="129"/>
      <c r="SU147" s="129"/>
      <c r="SV147" s="129"/>
      <c r="SW147" s="129"/>
      <c r="SX147" s="129"/>
      <c r="SY147" s="129"/>
      <c r="SZ147" s="129"/>
      <c r="TA147" s="129"/>
      <c r="TB147" s="129"/>
      <c r="TC147" s="129"/>
      <c r="TD147" s="129"/>
      <c r="TE147" s="129"/>
      <c r="TF147" s="129"/>
      <c r="TG147" s="129"/>
      <c r="TH147" s="129"/>
      <c r="TI147" s="129"/>
      <c r="TJ147" s="129"/>
      <c r="TK147" s="129"/>
      <c r="TL147" s="129"/>
      <c r="TM147" s="129"/>
      <c r="TN147" s="129"/>
      <c r="TO147" s="129"/>
      <c r="TP147" s="129"/>
      <c r="TQ147" s="129"/>
      <c r="TR147" s="129"/>
      <c r="TS147" s="129"/>
      <c r="TT147" s="129"/>
      <c r="TU147" s="129"/>
      <c r="TV147" s="129"/>
      <c r="TW147" s="129"/>
      <c r="TX147" s="129"/>
      <c r="TY147" s="129"/>
      <c r="TZ147" s="129"/>
      <c r="UA147" s="129"/>
      <c r="UB147" s="129"/>
      <c r="UC147" s="129"/>
      <c r="UD147" s="129"/>
      <c r="UE147" s="129"/>
      <c r="UF147" s="129"/>
      <c r="UG147" s="129"/>
      <c r="UH147" s="129"/>
      <c r="UI147" s="129"/>
      <c r="UJ147" s="129"/>
      <c r="UK147" s="129"/>
      <c r="UL147" s="129"/>
      <c r="UM147" s="129"/>
      <c r="UN147" s="129"/>
      <c r="UO147" s="129"/>
      <c r="UP147" s="129"/>
      <c r="UQ147" s="129"/>
      <c r="UR147" s="129"/>
      <c r="US147" s="129"/>
      <c r="UT147" s="129"/>
      <c r="UU147" s="129"/>
      <c r="UV147" s="129"/>
      <c r="UW147" s="129"/>
      <c r="UX147" s="129"/>
      <c r="UY147" s="129"/>
      <c r="UZ147" s="129"/>
      <c r="VA147" s="129"/>
      <c r="VB147" s="129"/>
      <c r="VC147" s="129"/>
      <c r="VD147" s="129"/>
      <c r="VE147" s="129"/>
      <c r="VF147" s="129"/>
      <c r="VG147" s="129"/>
      <c r="VH147" s="129"/>
      <c r="VI147" s="129"/>
      <c r="VJ147" s="129"/>
      <c r="VK147" s="129"/>
      <c r="VL147" s="129"/>
      <c r="VM147" s="129"/>
      <c r="VN147" s="129"/>
      <c r="VO147" s="129"/>
      <c r="VP147" s="129"/>
      <c r="VQ147" s="129"/>
      <c r="VR147" s="129"/>
      <c r="VS147" s="129"/>
      <c r="VT147" s="129"/>
      <c r="VU147" s="129"/>
      <c r="VV147" s="129"/>
      <c r="VW147" s="129"/>
      <c r="VX147" s="129"/>
      <c r="VY147" s="129"/>
      <c r="VZ147" s="129"/>
      <c r="WA147" s="129"/>
      <c r="WB147" s="129"/>
      <c r="WC147" s="129"/>
      <c r="WD147" s="129"/>
      <c r="WE147" s="129"/>
      <c r="WF147" s="129"/>
      <c r="WG147" s="129"/>
      <c r="WH147" s="129"/>
      <c r="WI147" s="129"/>
      <c r="WJ147" s="129"/>
      <c r="WK147" s="129"/>
      <c r="WL147" s="129"/>
      <c r="WM147" s="129"/>
      <c r="WN147" s="129"/>
      <c r="WO147" s="129"/>
      <c r="WP147" s="129"/>
      <c r="WQ147" s="129"/>
      <c r="WR147" s="129"/>
      <c r="WS147" s="129"/>
      <c r="WT147" s="129"/>
      <c r="WU147" s="129"/>
      <c r="WV147" s="129"/>
      <c r="WW147" s="129"/>
      <c r="WX147" s="129"/>
      <c r="WY147" s="129"/>
      <c r="WZ147" s="129"/>
      <c r="XA147" s="129"/>
      <c r="XB147" s="129"/>
      <c r="XC147" s="129"/>
      <c r="XD147" s="129"/>
      <c r="XE147" s="129"/>
      <c r="XF147" s="129"/>
      <c r="XG147" s="129"/>
      <c r="XH147" s="129"/>
      <c r="XI147" s="129"/>
      <c r="XJ147" s="129"/>
      <c r="XK147" s="129"/>
      <c r="XL147" s="129"/>
      <c r="XM147" s="129"/>
      <c r="XN147" s="129"/>
      <c r="XO147" s="129"/>
      <c r="XP147" s="129"/>
      <c r="XQ147" s="129"/>
      <c r="XR147" s="129"/>
      <c r="XS147" s="129"/>
      <c r="XT147" s="129"/>
      <c r="XU147" s="129"/>
      <c r="XV147" s="129"/>
      <c r="XW147" s="129"/>
      <c r="XX147" s="129"/>
      <c r="XY147" s="129"/>
      <c r="XZ147" s="129"/>
      <c r="YA147" s="129"/>
      <c r="YB147" s="129"/>
      <c r="YC147" s="129"/>
      <c r="YD147" s="129"/>
      <c r="YE147" s="129"/>
      <c r="YF147" s="129"/>
      <c r="YG147" s="129"/>
      <c r="YH147" s="129"/>
      <c r="YI147" s="129"/>
      <c r="YJ147" s="129"/>
      <c r="YK147" s="129"/>
      <c r="YL147" s="129"/>
      <c r="YM147" s="129"/>
      <c r="YN147" s="129"/>
      <c r="YO147" s="129"/>
      <c r="YP147" s="129"/>
      <c r="YQ147" s="129"/>
      <c r="YR147" s="129"/>
      <c r="YS147" s="129"/>
      <c r="YT147" s="129"/>
      <c r="YU147" s="129"/>
      <c r="YV147" s="129"/>
      <c r="YW147" s="129"/>
      <c r="YX147" s="129"/>
      <c r="YY147" s="129"/>
      <c r="YZ147" s="129"/>
      <c r="ZA147" s="129"/>
      <c r="ZB147" s="129"/>
      <c r="ZC147" s="129"/>
      <c r="ZD147" s="129"/>
      <c r="ZE147" s="129"/>
      <c r="ZF147" s="129"/>
      <c r="ZG147" s="129"/>
      <c r="ZH147" s="129"/>
      <c r="ZI147" s="129"/>
      <c r="ZJ147" s="129"/>
      <c r="ZK147" s="129"/>
      <c r="ZL147" s="129"/>
      <c r="ZM147" s="129"/>
      <c r="ZN147" s="129"/>
      <c r="ZO147" s="129"/>
      <c r="ZP147" s="129"/>
      <c r="ZQ147" s="129"/>
      <c r="ZR147" s="129"/>
      <c r="ZS147" s="129"/>
      <c r="ZT147" s="129"/>
      <c r="ZU147" s="129"/>
      <c r="ZV147" s="129"/>
      <c r="ZW147" s="129"/>
      <c r="ZX147" s="129"/>
      <c r="ZY147" s="129"/>
      <c r="ZZ147" s="129"/>
      <c r="AAA147" s="129"/>
      <c r="AAB147" s="129"/>
      <c r="AAC147" s="129"/>
      <c r="AAD147" s="129"/>
      <c r="AAE147" s="129"/>
      <c r="AAF147" s="129"/>
      <c r="AAG147" s="129"/>
      <c r="AAH147" s="129"/>
      <c r="AAI147" s="129"/>
      <c r="AAJ147" s="129"/>
      <c r="AAK147" s="129"/>
      <c r="AAL147" s="129"/>
      <c r="AAM147" s="129"/>
      <c r="AAN147" s="129"/>
      <c r="AAO147" s="129"/>
      <c r="AAP147" s="129"/>
      <c r="AAQ147" s="129"/>
      <c r="AAR147" s="129"/>
      <c r="AAS147" s="129"/>
      <c r="AAT147" s="129"/>
      <c r="AAU147" s="129"/>
      <c r="AAV147" s="129"/>
      <c r="AAW147" s="129"/>
      <c r="AAX147" s="129"/>
      <c r="AAY147" s="129"/>
      <c r="AAZ147" s="129"/>
      <c r="ABA147" s="129"/>
      <c r="ABB147" s="129"/>
      <c r="ABC147" s="129"/>
      <c r="ABD147" s="129"/>
      <c r="ABE147" s="129"/>
      <c r="ABF147" s="129"/>
      <c r="ABG147" s="129"/>
      <c r="ABH147" s="129"/>
      <c r="ABI147" s="129"/>
      <c r="ABJ147" s="129"/>
      <c r="ABK147" s="129"/>
      <c r="ABL147" s="129"/>
      <c r="ABM147" s="129"/>
      <c r="ABN147" s="129"/>
      <c r="ABO147" s="129"/>
      <c r="ABP147" s="129"/>
      <c r="ABQ147" s="129"/>
      <c r="ABR147" s="129"/>
      <c r="ABS147" s="129"/>
      <c r="ABT147" s="129"/>
      <c r="ABU147" s="129"/>
      <c r="ABV147" s="129"/>
      <c r="ABW147" s="129"/>
      <c r="ABX147" s="129"/>
      <c r="ABY147" s="129"/>
      <c r="ABZ147" s="129"/>
      <c r="ACA147" s="129"/>
      <c r="ACB147" s="129"/>
      <c r="ACC147" s="129"/>
      <c r="ACD147" s="129"/>
      <c r="ACE147" s="129"/>
      <c r="ACF147" s="129"/>
      <c r="ACG147" s="129"/>
      <c r="ACH147" s="129"/>
      <c r="ACI147" s="129"/>
      <c r="ACJ147" s="129"/>
      <c r="ACK147" s="129"/>
      <c r="ACL147" s="129"/>
      <c r="ACM147" s="129"/>
      <c r="ACN147" s="129"/>
      <c r="ACO147" s="129"/>
      <c r="ACP147" s="129"/>
      <c r="ACQ147" s="129"/>
      <c r="ACR147" s="129"/>
      <c r="ACS147" s="129"/>
      <c r="ACT147" s="129"/>
      <c r="ACU147" s="129"/>
      <c r="ACV147" s="129"/>
      <c r="ACW147" s="129"/>
      <c r="ACX147" s="129"/>
      <c r="ACY147" s="129"/>
      <c r="ACZ147" s="129"/>
      <c r="ADA147" s="129"/>
      <c r="ADB147" s="129"/>
      <c r="ADC147" s="129"/>
      <c r="ADD147" s="129"/>
      <c r="ADE147" s="129"/>
      <c r="ADF147" s="129"/>
      <c r="ADG147" s="129"/>
      <c r="ADH147" s="129"/>
      <c r="ADI147" s="129"/>
      <c r="ADJ147" s="129"/>
      <c r="ADK147" s="129"/>
      <c r="ADL147" s="129"/>
      <c r="ADM147" s="129"/>
      <c r="ADN147" s="129"/>
      <c r="ADO147" s="129"/>
      <c r="ADP147" s="129"/>
      <c r="ADQ147" s="129"/>
      <c r="ADR147" s="129"/>
      <c r="ADS147" s="129"/>
      <c r="ADT147" s="129"/>
      <c r="ADU147" s="129"/>
      <c r="ADV147" s="129"/>
      <c r="ADW147" s="129"/>
      <c r="ADX147" s="129"/>
      <c r="ADY147" s="129"/>
      <c r="ADZ147" s="129"/>
      <c r="AEA147" s="129"/>
      <c r="AEB147" s="129"/>
      <c r="AEC147" s="129"/>
      <c r="AED147" s="129"/>
      <c r="AEE147" s="129"/>
      <c r="AEF147" s="129"/>
      <c r="AEG147" s="129"/>
      <c r="AEH147" s="129"/>
      <c r="AEI147" s="129"/>
      <c r="AEJ147" s="129"/>
      <c r="AEK147" s="129"/>
      <c r="AEL147" s="129"/>
      <c r="AEM147" s="129"/>
      <c r="AEN147" s="129"/>
      <c r="AEO147" s="129"/>
      <c r="AEP147" s="129"/>
      <c r="AEQ147" s="129"/>
      <c r="AER147" s="129"/>
      <c r="AES147" s="129"/>
      <c r="AET147" s="129"/>
      <c r="AEU147" s="129"/>
      <c r="AEV147" s="129"/>
      <c r="AEW147" s="129"/>
      <c r="AEX147" s="129"/>
      <c r="AEY147" s="129"/>
      <c r="AEZ147" s="129"/>
      <c r="AFA147" s="129"/>
      <c r="AFB147" s="129"/>
      <c r="AFC147" s="129"/>
      <c r="AFD147" s="129"/>
      <c r="AFE147" s="129"/>
      <c r="AFF147" s="129"/>
      <c r="AFG147" s="129"/>
      <c r="AFH147" s="129"/>
      <c r="AFI147" s="129"/>
      <c r="AFJ147" s="129"/>
      <c r="AFK147" s="129"/>
      <c r="AFL147" s="129"/>
      <c r="AFM147" s="129"/>
      <c r="AFN147" s="129"/>
      <c r="AFO147" s="129"/>
      <c r="AFP147" s="129"/>
      <c r="AFQ147" s="129"/>
      <c r="AFR147" s="129"/>
      <c r="AFS147" s="129"/>
      <c r="AFT147" s="129"/>
      <c r="AFU147" s="129"/>
      <c r="AFV147" s="129"/>
      <c r="AFW147" s="129"/>
      <c r="AFX147" s="129"/>
      <c r="AFY147" s="129"/>
      <c r="AFZ147" s="129"/>
      <c r="AGA147" s="129"/>
      <c r="AGB147" s="129"/>
      <c r="AGC147" s="129"/>
      <c r="AGD147" s="129"/>
      <c r="AGE147" s="129"/>
      <c r="AGF147" s="129"/>
      <c r="AGG147" s="129"/>
      <c r="AGH147" s="129"/>
      <c r="AGI147" s="129"/>
      <c r="AGJ147" s="129"/>
      <c r="AGK147" s="129"/>
      <c r="AGL147" s="129"/>
      <c r="AGM147" s="129"/>
      <c r="AGN147" s="129"/>
      <c r="AGO147" s="129"/>
      <c r="AGP147" s="129"/>
      <c r="AGQ147" s="129"/>
      <c r="AGR147" s="129"/>
      <c r="AGS147" s="129"/>
      <c r="AGT147" s="129"/>
      <c r="AGU147" s="129"/>
      <c r="AGV147" s="129"/>
      <c r="AGW147" s="129"/>
      <c r="AGX147" s="129"/>
      <c r="AGY147" s="129"/>
      <c r="AGZ147" s="129"/>
      <c r="AHA147" s="129"/>
      <c r="AHB147" s="129"/>
      <c r="AHC147" s="129"/>
      <c r="AHD147" s="129"/>
      <c r="AHE147" s="129"/>
      <c r="AHF147" s="129"/>
      <c r="AHG147" s="129"/>
      <c r="AHH147" s="129"/>
      <c r="AHI147" s="129"/>
      <c r="AHJ147" s="129"/>
      <c r="AHK147" s="129"/>
      <c r="AHL147" s="129"/>
      <c r="AHM147" s="129"/>
      <c r="AHN147" s="129"/>
      <c r="AHO147" s="129"/>
      <c r="AHP147" s="129"/>
      <c r="AHQ147" s="129"/>
      <c r="AHR147" s="129"/>
      <c r="AHS147" s="129"/>
      <c r="AHT147" s="129"/>
      <c r="AHU147" s="129"/>
      <c r="AHV147" s="129"/>
      <c r="AHW147" s="129"/>
      <c r="AHX147" s="129"/>
      <c r="AHY147" s="129"/>
      <c r="AHZ147" s="129"/>
      <c r="AIA147" s="129"/>
      <c r="AIB147" s="129"/>
      <c r="AIC147" s="129"/>
      <c r="AID147" s="129"/>
      <c r="AIE147" s="129"/>
      <c r="AIF147" s="129"/>
      <c r="AIG147" s="129"/>
      <c r="AIH147" s="129"/>
      <c r="AII147" s="129"/>
      <c r="AIJ147" s="129"/>
      <c r="AIK147" s="129"/>
      <c r="AIL147" s="129"/>
      <c r="AIM147" s="129"/>
      <c r="AIN147" s="129"/>
      <c r="AIO147" s="129"/>
      <c r="AIP147" s="129"/>
      <c r="AIQ147" s="129"/>
      <c r="AIR147" s="129"/>
      <c r="AIS147" s="129"/>
      <c r="AIT147" s="129"/>
      <c r="AIU147" s="129"/>
      <c r="AIV147" s="129"/>
      <c r="AIW147" s="129"/>
      <c r="AIX147" s="129"/>
      <c r="AIY147" s="129"/>
      <c r="AIZ147" s="129"/>
      <c r="AJA147" s="129"/>
      <c r="AJB147" s="129"/>
      <c r="AJC147" s="129"/>
      <c r="AJD147" s="129"/>
      <c r="AJE147" s="129"/>
      <c r="AJF147" s="129"/>
      <c r="AJG147" s="129"/>
      <c r="AJH147" s="129"/>
      <c r="AJI147" s="129"/>
      <c r="AJJ147" s="129"/>
      <c r="AJK147" s="129"/>
      <c r="AJL147" s="129"/>
      <c r="AJM147" s="129"/>
      <c r="AJN147" s="129"/>
      <c r="AJO147" s="129"/>
      <c r="AJP147" s="129"/>
      <c r="AJQ147" s="129"/>
      <c r="AJR147" s="129"/>
      <c r="AJS147" s="129"/>
      <c r="AJT147" s="129"/>
      <c r="AJU147" s="129"/>
      <c r="AJV147" s="129"/>
      <c r="AJW147" s="129"/>
      <c r="AJX147" s="129"/>
      <c r="AJY147" s="129"/>
      <c r="AJZ147" s="129"/>
      <c r="AKA147" s="129"/>
      <c r="AKB147" s="129"/>
      <c r="AKC147" s="129"/>
      <c r="AKD147" s="129"/>
      <c r="AKE147" s="129"/>
      <c r="AKF147" s="129"/>
      <c r="AKG147" s="129"/>
      <c r="AKH147" s="129"/>
      <c r="AKI147" s="129"/>
      <c r="AKJ147" s="129"/>
      <c r="AKK147" s="129"/>
      <c r="AKL147" s="129"/>
      <c r="AKM147" s="129"/>
      <c r="AKN147" s="129"/>
      <c r="AKO147" s="129"/>
      <c r="AKP147" s="129"/>
      <c r="AKQ147" s="129"/>
      <c r="AKR147" s="129"/>
      <c r="AKS147" s="129"/>
      <c r="AKT147" s="129"/>
      <c r="AKU147" s="129"/>
      <c r="AKV147" s="129"/>
      <c r="AKW147" s="129"/>
      <c r="AKX147" s="129"/>
      <c r="AKY147" s="129"/>
      <c r="AKZ147" s="129"/>
      <c r="ALA147" s="129"/>
      <c r="ALB147" s="129"/>
      <c r="ALC147" s="129"/>
      <c r="ALD147" s="129"/>
      <c r="ALE147" s="129"/>
      <c r="ALF147" s="129"/>
      <c r="ALG147" s="129"/>
      <c r="ALH147" s="129"/>
      <c r="ALI147" s="129"/>
      <c r="ALJ147" s="129"/>
      <c r="ALK147" s="129"/>
      <c r="ALL147" s="129"/>
      <c r="ALM147" s="129"/>
      <c r="ALN147" s="129"/>
      <c r="ALO147" s="129"/>
      <c r="ALP147" s="129"/>
      <c r="ALQ147" s="129"/>
      <c r="ALR147" s="129"/>
      <c r="ALS147" s="129"/>
      <c r="ALT147" s="129"/>
      <c r="ALU147" s="129"/>
      <c r="ALV147" s="129"/>
      <c r="ALW147" s="129"/>
      <c r="ALX147" s="129"/>
      <c r="ALY147" s="129"/>
      <c r="ALZ147" s="129"/>
      <c r="AMA147" s="129"/>
      <c r="AMB147" s="129"/>
      <c r="AMC147" s="129"/>
      <c r="AMD147" s="129"/>
      <c r="AME147" s="129"/>
      <c r="AMF147" s="129"/>
      <c r="AMG147" s="129"/>
      <c r="AMH147" s="129"/>
      <c r="AMI147" s="129"/>
      <c r="AMJ147" s="129"/>
      <c r="AMK147" s="129"/>
      <c r="AML147" s="129"/>
      <c r="AMM147" s="129"/>
      <c r="AMN147" s="129"/>
      <c r="AMO147" s="129"/>
      <c r="AMP147" s="129"/>
    </row>
    <row r="148" spans="1:1030" s="12" customFormat="1" x14ac:dyDescent="0.2">
      <c r="A148" s="9" t="str">
        <f t="shared" ref="A148" si="925">CONCATENATE(B148,"_",C148)</f>
        <v>ccr2_human_6GPX</v>
      </c>
      <c r="B148" s="9" t="s">
        <v>170</v>
      </c>
      <c r="C148" s="9" t="s">
        <v>1548</v>
      </c>
      <c r="D148" s="9" t="str">
        <f>IFERROR(MID(VLOOKUP($B148,Seqs!$A:$B,2,0),E148,1),"")</f>
        <v>F</v>
      </c>
      <c r="E148" s="9">
        <v>35</v>
      </c>
      <c r="F148" s="9" t="str">
        <f>IFERROR(MID(VLOOKUP($B148,Seqs!$A:$B,2,0),G148,1),"")</f>
        <v>K</v>
      </c>
      <c r="G148" s="9">
        <v>71</v>
      </c>
      <c r="H148" s="9" t="str">
        <f>IFERROR(MID(VLOOKUP($B148,Seqs!$A:$B,2,0),I148,1),"")</f>
        <v/>
      </c>
      <c r="I148" s="109" t="s">
        <v>23</v>
      </c>
      <c r="J148" s="9" t="str">
        <f>IFERROR(MID(VLOOKUP($B148,Seqs!$A:$B,2,0),K148,1),"")</f>
        <v/>
      </c>
      <c r="K148" s="109" t="s">
        <v>23</v>
      </c>
      <c r="L148" s="9" t="str">
        <f>IFERROR(MID(VLOOKUP($B148,Seqs!$A:$B,2,0),M148,1),"")</f>
        <v>C</v>
      </c>
      <c r="M148" s="9">
        <v>75</v>
      </c>
      <c r="N148" s="9" t="str">
        <f>IFERROR(MID(VLOOKUP($B148,Seqs!$A:$B,2,0),O148,1),"")</f>
        <v>A</v>
      </c>
      <c r="O148" s="9">
        <v>102</v>
      </c>
      <c r="P148" s="9" t="str">
        <f>IFERROR(MID(VLOOKUP($B148,Seqs!$A:$B,2,0),Q148,1),"")</f>
        <v>E</v>
      </c>
      <c r="Q148" s="9">
        <v>105</v>
      </c>
      <c r="R148" s="9" t="str">
        <f>IFERROR(MID(VLOOKUP($B148,Seqs!$A:$B,2,0),S148,1),"")</f>
        <v>F</v>
      </c>
      <c r="S148" s="9">
        <v>108</v>
      </c>
      <c r="T148" s="9" t="str">
        <f>IFERROR(MID(VLOOKUP($B148,Seqs!$A:$B,2,0),U148,1),"")</f>
        <v>G</v>
      </c>
      <c r="U148" s="9">
        <v>109</v>
      </c>
      <c r="V148" s="9" t="str">
        <f>IFERROR(MID(VLOOKUP($B148,Seqs!$A:$B,2,0),W148,1),"")</f>
        <v>H</v>
      </c>
      <c r="W148" s="9">
        <v>144</v>
      </c>
      <c r="X148" s="9" t="str">
        <f>IFERROR(MID(VLOOKUP($B148,Seqs!$A:$B,2,0),Y148,1),"")</f>
        <v/>
      </c>
      <c r="Y148" s="9" t="s">
        <v>23</v>
      </c>
      <c r="Z148" s="9" t="str">
        <f>IFERROR(MID(VLOOKUP($B148,Seqs!$A:$B,2,0),AA148,1),"")</f>
        <v/>
      </c>
      <c r="AA148" s="9" t="s">
        <v>23</v>
      </c>
      <c r="AB148" s="9" t="str">
        <f>IFERROR(MID(VLOOKUP($B148,Seqs!$A:$B,2,0),AC148,1),"")</f>
        <v>R</v>
      </c>
      <c r="AC148" s="9">
        <v>152</v>
      </c>
      <c r="AD148" s="9" t="str">
        <f>IFERROR(MID(VLOOKUP($B148,Seqs!$A:$B,2,0),AE148,1),"")</f>
        <v>T</v>
      </c>
      <c r="AE148" s="9">
        <v>179</v>
      </c>
      <c r="AF148" s="9" t="str">
        <f>IFERROR(MID(VLOOKUP($B148,Seqs!$A:$B,2,0),AG148,1),"")</f>
        <v>C</v>
      </c>
      <c r="AG148" s="9">
        <v>190</v>
      </c>
      <c r="AH148" s="9" t="str">
        <f>IFERROR(MID(VLOOKUP($B148,Seqs!$A:$B,2,0),AI148,1),"")</f>
        <v>P</v>
      </c>
      <c r="AI148" s="9">
        <v>192</v>
      </c>
      <c r="AJ148" s="9" t="str">
        <f>IFERROR(MID(VLOOKUP($B148,Seqs!$A:$B,2,0),AK148,1),"")</f>
        <v>P</v>
      </c>
      <c r="AK148" s="9">
        <v>195</v>
      </c>
      <c r="AL148" s="9" t="str">
        <f>IFERROR(MID(VLOOKUP($B148,Seqs!$A:$B,2,0),AM148,1),"")</f>
        <v>L</v>
      </c>
      <c r="AM148" s="9">
        <v>229</v>
      </c>
      <c r="AN148" s="9" t="str">
        <f>IFERROR(MID(VLOOKUP($B148,Seqs!$A:$B,2,0),AO148,1),"")</f>
        <v>A</v>
      </c>
      <c r="AO148" s="9">
        <v>241</v>
      </c>
      <c r="AP148" s="9" t="str">
        <f>IFERROR(MID(VLOOKUP($B148,Seqs!$A:$B,2,0),AQ148,1),"")</f>
        <v>F</v>
      </c>
      <c r="AQ148" s="9">
        <v>268</v>
      </c>
      <c r="AR148" s="9" t="str">
        <f>IFERROR(MID(VLOOKUP($B148,Seqs!$A:$B,2,0),AS148,1),"")</f>
        <v>N</v>
      </c>
      <c r="AS148" s="9">
        <v>276</v>
      </c>
      <c r="AT148" s="9" t="str">
        <f>IFERROR(MID(VLOOKUP($B148,Seqs!$A:$B,2,0),AU148,1),"")</f>
        <v>V</v>
      </c>
      <c r="AU148" s="9">
        <v>308</v>
      </c>
      <c r="AV148" s="9" t="str">
        <f>IFERROR(MID(VLOOKUP($B148,Seqs!$A:$B,2,0),AW148,1),"")</f>
        <v/>
      </c>
      <c r="AW148" s="9" t="s">
        <v>23</v>
      </c>
      <c r="AX148" s="9" t="str">
        <f>IFERROR(MID(VLOOKUP($B148,Seqs!$A:$B,2,0),AY148,1),"")</f>
        <v/>
      </c>
      <c r="AY148" s="9" t="s">
        <v>23</v>
      </c>
      <c r="AZ148" s="110" t="str">
        <f>VLOOKUP(B148,Classification!A:D,2,0)</f>
        <v>A</v>
      </c>
      <c r="BA148" s="98" t="str">
        <f>VLOOKUP(B148,Classification!A:D,4,0)</f>
        <v>Chemokine</v>
      </c>
      <c r="BB148" s="36" t="b">
        <f t="shared" ref="BB148" si="926">AND(E148&lt;G148,OR(G148&lt;I148,I148="-"),OR(I148&lt;K148,I148="-"),OR(K148&lt;M148,K148="-"),M148&lt;O148,OR(O148&lt;Q148,Q148="-"),OR(Q148&lt;S148,Q148="-"),OR(S148&lt;U148,S148="-"),U148&lt;W148,OR(W148&lt;Y148,Y148="-"),OR(Y148&lt;AA148,Y148="-"),OR(AA148&lt;AC148,AA148="-"),AC148&lt;AE148,OR(AE148&lt;AG148,AG148="-"),OR(AG148&lt;AI148,AG148="-"),OR(AI148&lt;AK148,AI148="-"),AK148&lt;AM148,AM148&lt;AO148,AO148&lt;AQ148,AQ148&lt;AS148,AS148&lt;AU148,OR(AU148&lt;AW148,AW148="-"),OR(AW148&lt;AY148,AW148="-"))</f>
        <v>1</v>
      </c>
      <c r="BC148" s="109">
        <f t="shared" ref="BC148" si="927">_xlfn.AGGREGATE(9,6,CH148:CS148)-_xlfn.AGGREGATE(9,6,BV148:CG148)+12</f>
        <v>235</v>
      </c>
      <c r="BD148" s="127" t="s">
        <v>23</v>
      </c>
      <c r="BE148" s="9" t="s">
        <v>1375</v>
      </c>
      <c r="BF148" s="120">
        <v>2.7</v>
      </c>
      <c r="BG148" s="51" t="s">
        <v>1</v>
      </c>
      <c r="BH148" s="51" t="s">
        <v>1</v>
      </c>
      <c r="BJ148" s="111" t="s">
        <v>1288</v>
      </c>
      <c r="BK148" s="112" t="s">
        <v>1288</v>
      </c>
      <c r="BL148" s="112" t="s">
        <v>1288</v>
      </c>
      <c r="BM148" s="112" t="s">
        <v>1288</v>
      </c>
      <c r="BN148" s="112" t="s">
        <v>1288</v>
      </c>
      <c r="BO148" s="112" t="s">
        <v>1288</v>
      </c>
      <c r="BP148" s="112" t="s">
        <v>1288</v>
      </c>
      <c r="BQ148" s="112" t="s">
        <v>1288</v>
      </c>
      <c r="BR148" s="112" t="s">
        <v>1288</v>
      </c>
      <c r="BS148" s="112" t="s">
        <v>1288</v>
      </c>
      <c r="BT148" s="112" t="s">
        <v>1288</v>
      </c>
      <c r="BU148" s="112" t="s">
        <v>1288</v>
      </c>
      <c r="BV148" s="111">
        <f t="shared" ref="BV148" si="928">E148</f>
        <v>35</v>
      </c>
      <c r="BW148" s="113" t="str">
        <f t="shared" ref="BW148" si="929">I148</f>
        <v>-</v>
      </c>
      <c r="BX148" s="114">
        <f t="shared" ref="BX148" si="930">M148</f>
        <v>75</v>
      </c>
      <c r="BY148" s="113">
        <f t="shared" ref="BY148" si="931">Q148</f>
        <v>105</v>
      </c>
      <c r="BZ148" s="114">
        <f t="shared" ref="BZ148" si="932">U148</f>
        <v>109</v>
      </c>
      <c r="CA148" s="113" t="str">
        <f t="shared" ref="CA148" si="933">Y148</f>
        <v>-</v>
      </c>
      <c r="CB148" s="114">
        <f t="shared" ref="CB148" si="934">AC148</f>
        <v>152</v>
      </c>
      <c r="CC148" s="113">
        <f t="shared" ref="CC148" si="935">AG148</f>
        <v>190</v>
      </c>
      <c r="CD148" s="114">
        <f t="shared" ref="CD148" si="936">AK148</f>
        <v>195</v>
      </c>
      <c r="CE148" s="113">
        <f t="shared" ref="CE148" si="937">AO148</f>
        <v>241</v>
      </c>
      <c r="CF148" s="114">
        <f t="shared" ref="CF148" si="938">AS148</f>
        <v>276</v>
      </c>
      <c r="CG148" s="113" t="str">
        <f t="shared" ref="CG148" si="939">AW148</f>
        <v>-</v>
      </c>
      <c r="CH148" s="111">
        <f t="shared" ref="CH148" si="940">G148</f>
        <v>71</v>
      </c>
      <c r="CI148" s="113" t="str">
        <f t="shared" ref="CI148" si="941">K148</f>
        <v>-</v>
      </c>
      <c r="CJ148" s="114">
        <f t="shared" ref="CJ148" si="942">O148</f>
        <v>102</v>
      </c>
      <c r="CK148" s="114">
        <f t="shared" ref="CK148" si="943">S148</f>
        <v>108</v>
      </c>
      <c r="CL148" s="114">
        <f t="shared" ref="CL148" si="944">W148</f>
        <v>144</v>
      </c>
      <c r="CM148" s="114" t="str">
        <f t="shared" ref="CM148" si="945">AA148</f>
        <v>-</v>
      </c>
      <c r="CN148" s="114">
        <f t="shared" ref="CN148" si="946">AE148</f>
        <v>179</v>
      </c>
      <c r="CO148" s="114">
        <f t="shared" ref="CO148" si="947">AI148</f>
        <v>192</v>
      </c>
      <c r="CP148" s="114">
        <f t="shared" ref="CP148" si="948">AM148</f>
        <v>229</v>
      </c>
      <c r="CQ148" s="114">
        <f t="shared" ref="CQ148" si="949">AQ148</f>
        <v>268</v>
      </c>
      <c r="CR148" s="114">
        <f t="shared" ref="CR148" si="950">AU148</f>
        <v>308</v>
      </c>
      <c r="CS148" s="114" t="str">
        <f t="shared" ref="CS148" si="951">AY148</f>
        <v>-</v>
      </c>
      <c r="CT148" s="109" t="e">
        <f t="shared" ref="CT148" si="952">M148-K148</f>
        <v>#VALUE!</v>
      </c>
      <c r="CU148" s="129"/>
      <c r="CV148" s="129"/>
      <c r="CW148" s="129"/>
      <c r="CX148" s="129"/>
      <c r="CY148" s="129"/>
      <c r="CZ148" s="129"/>
      <c r="DA148" s="129"/>
      <c r="DB148" s="129"/>
      <c r="DC148" s="129"/>
      <c r="DD148" s="129"/>
      <c r="DE148" s="129"/>
      <c r="DF148" s="129"/>
      <c r="DG148" s="129"/>
      <c r="DH148" s="129"/>
      <c r="DI148" s="129"/>
      <c r="DJ148" s="129"/>
      <c r="DK148" s="129"/>
      <c r="DL148" s="129"/>
      <c r="DM148" s="129"/>
      <c r="DN148" s="129"/>
      <c r="DO148" s="129"/>
      <c r="DP148" s="129"/>
      <c r="DQ148" s="129"/>
      <c r="DR148" s="129"/>
      <c r="DS148" s="129"/>
      <c r="DT148" s="129"/>
      <c r="DU148" s="129"/>
      <c r="DV148" s="129"/>
      <c r="DW148" s="129"/>
      <c r="DX148" s="129"/>
      <c r="DY148" s="129"/>
      <c r="DZ148" s="129"/>
      <c r="EA148" s="129"/>
      <c r="EB148" s="129"/>
      <c r="EC148" s="129"/>
      <c r="ED148" s="129"/>
      <c r="EE148" s="129"/>
      <c r="EF148" s="129"/>
      <c r="EG148" s="129"/>
      <c r="EH148" s="129"/>
      <c r="EI148" s="129"/>
      <c r="EJ148" s="129"/>
      <c r="EK148" s="129"/>
      <c r="EL148" s="129"/>
      <c r="EM148" s="129"/>
      <c r="EN148" s="129"/>
      <c r="EO148" s="129"/>
      <c r="EP148" s="129"/>
      <c r="EQ148" s="129"/>
      <c r="ER148" s="129"/>
      <c r="ES148" s="129"/>
      <c r="ET148" s="129"/>
      <c r="EU148" s="129"/>
      <c r="EV148" s="129"/>
      <c r="EW148" s="129"/>
      <c r="EX148" s="129"/>
      <c r="EY148" s="129"/>
      <c r="EZ148" s="129"/>
      <c r="FA148" s="129"/>
      <c r="FB148" s="129"/>
      <c r="FC148" s="129"/>
      <c r="FD148" s="129"/>
      <c r="FE148" s="129"/>
      <c r="FF148" s="129"/>
      <c r="FG148" s="129"/>
      <c r="FH148" s="129"/>
      <c r="FI148" s="129"/>
      <c r="FJ148" s="129"/>
      <c r="FK148" s="129"/>
      <c r="FL148" s="129"/>
      <c r="FM148" s="129"/>
      <c r="FN148" s="129"/>
      <c r="FO148" s="129"/>
      <c r="FP148" s="129"/>
      <c r="FQ148" s="129"/>
      <c r="FR148" s="129"/>
      <c r="FS148" s="129"/>
      <c r="FT148" s="129"/>
      <c r="FU148" s="129"/>
      <c r="FV148" s="129"/>
      <c r="FW148" s="129"/>
      <c r="FX148" s="129"/>
      <c r="FY148" s="129"/>
      <c r="FZ148" s="129"/>
      <c r="GA148" s="129"/>
      <c r="GB148" s="129"/>
      <c r="GC148" s="129"/>
      <c r="GD148" s="129"/>
      <c r="GE148" s="129"/>
      <c r="GF148" s="129"/>
      <c r="GG148" s="129"/>
      <c r="GH148" s="129"/>
      <c r="GI148" s="129"/>
      <c r="GJ148" s="129"/>
      <c r="GK148" s="129"/>
      <c r="GL148" s="129"/>
      <c r="GM148" s="129"/>
      <c r="GN148" s="129"/>
      <c r="GO148" s="129"/>
      <c r="GP148" s="129"/>
      <c r="GQ148" s="129"/>
      <c r="GR148" s="129"/>
      <c r="GS148" s="129"/>
      <c r="GT148" s="129"/>
      <c r="GU148" s="129"/>
      <c r="GV148" s="129"/>
      <c r="GW148" s="129"/>
      <c r="GX148" s="129"/>
      <c r="GY148" s="129"/>
      <c r="GZ148" s="129"/>
      <c r="HA148" s="129"/>
      <c r="HB148" s="129"/>
      <c r="HC148" s="129"/>
      <c r="HD148" s="129"/>
      <c r="HE148" s="129"/>
      <c r="HF148" s="129"/>
      <c r="HG148" s="129"/>
      <c r="HH148" s="129"/>
      <c r="HI148" s="129"/>
      <c r="HJ148" s="129"/>
      <c r="HK148" s="129"/>
      <c r="HL148" s="129"/>
      <c r="HM148" s="129"/>
      <c r="HN148" s="129"/>
      <c r="HO148" s="129"/>
      <c r="HP148" s="129"/>
      <c r="HQ148" s="129"/>
      <c r="HR148" s="129"/>
      <c r="HS148" s="129"/>
      <c r="HT148" s="129"/>
      <c r="HU148" s="129"/>
      <c r="HV148" s="129"/>
      <c r="HW148" s="129"/>
      <c r="HX148" s="129"/>
      <c r="HY148" s="129"/>
      <c r="HZ148" s="129"/>
      <c r="IA148" s="129"/>
      <c r="IB148" s="129"/>
      <c r="IC148" s="129"/>
      <c r="ID148" s="129"/>
      <c r="IE148" s="129"/>
      <c r="IF148" s="129"/>
      <c r="IG148" s="129"/>
      <c r="IH148" s="129"/>
      <c r="II148" s="129"/>
      <c r="IJ148" s="129"/>
      <c r="IK148" s="129"/>
      <c r="IL148" s="129"/>
      <c r="IM148" s="129"/>
      <c r="IN148" s="129"/>
      <c r="IO148" s="129"/>
      <c r="IP148" s="129"/>
      <c r="IQ148" s="129"/>
      <c r="IR148" s="129"/>
      <c r="IS148" s="129"/>
      <c r="IT148" s="129"/>
      <c r="IU148" s="129"/>
      <c r="IV148" s="129"/>
      <c r="IW148" s="129"/>
      <c r="IX148" s="129"/>
      <c r="IY148" s="129"/>
      <c r="IZ148" s="129"/>
      <c r="JA148" s="129"/>
      <c r="JB148" s="129"/>
      <c r="JC148" s="129"/>
      <c r="JD148" s="129"/>
      <c r="JE148" s="129"/>
      <c r="JF148" s="129"/>
      <c r="JG148" s="129"/>
      <c r="JH148" s="129"/>
      <c r="JI148" s="129"/>
      <c r="JJ148" s="129"/>
      <c r="JK148" s="129"/>
      <c r="JL148" s="129"/>
      <c r="JM148" s="129"/>
      <c r="JN148" s="129"/>
      <c r="JO148" s="129"/>
      <c r="JP148" s="129"/>
      <c r="JQ148" s="129"/>
      <c r="JR148" s="129"/>
      <c r="JS148" s="129"/>
      <c r="JT148" s="129"/>
      <c r="JU148" s="129"/>
      <c r="JV148" s="129"/>
      <c r="JW148" s="129"/>
      <c r="JX148" s="129"/>
      <c r="JY148" s="129"/>
      <c r="JZ148" s="129"/>
      <c r="KA148" s="129"/>
      <c r="KB148" s="129"/>
      <c r="KC148" s="129"/>
      <c r="KD148" s="129"/>
      <c r="KE148" s="129"/>
      <c r="KF148" s="129"/>
      <c r="KG148" s="129"/>
      <c r="KH148" s="129"/>
      <c r="KI148" s="129"/>
      <c r="KJ148" s="129"/>
      <c r="KK148" s="129"/>
      <c r="KL148" s="129"/>
      <c r="KM148" s="129"/>
      <c r="KN148" s="129"/>
      <c r="KO148" s="129"/>
      <c r="KP148" s="129"/>
      <c r="KQ148" s="129"/>
      <c r="KR148" s="129"/>
      <c r="KS148" s="129"/>
      <c r="KT148" s="129"/>
      <c r="KU148" s="129"/>
      <c r="KV148" s="129"/>
      <c r="KW148" s="129"/>
      <c r="KX148" s="129"/>
      <c r="KY148" s="129"/>
      <c r="KZ148" s="129"/>
      <c r="LA148" s="129"/>
      <c r="LB148" s="129"/>
      <c r="LC148" s="129"/>
      <c r="LD148" s="129"/>
      <c r="LE148" s="129"/>
      <c r="LF148" s="129"/>
      <c r="LG148" s="129"/>
      <c r="LH148" s="129"/>
      <c r="LI148" s="129"/>
      <c r="LJ148" s="129"/>
      <c r="LK148" s="129"/>
      <c r="LL148" s="129"/>
      <c r="LM148" s="129"/>
      <c r="LN148" s="129"/>
      <c r="LO148" s="129"/>
      <c r="LP148" s="129"/>
      <c r="LQ148" s="129"/>
      <c r="LR148" s="129"/>
      <c r="LS148" s="129"/>
      <c r="LT148" s="129"/>
      <c r="LU148" s="129"/>
      <c r="LV148" s="129"/>
      <c r="LW148" s="129"/>
      <c r="LX148" s="129"/>
      <c r="LY148" s="129"/>
      <c r="LZ148" s="129"/>
      <c r="MA148" s="129"/>
      <c r="MB148" s="129"/>
      <c r="MC148" s="129"/>
      <c r="MD148" s="129"/>
      <c r="ME148" s="129"/>
      <c r="MF148" s="129"/>
      <c r="MG148" s="129"/>
      <c r="MH148" s="129"/>
      <c r="MI148" s="129"/>
      <c r="MJ148" s="129"/>
      <c r="MK148" s="129"/>
      <c r="ML148" s="129"/>
      <c r="MM148" s="129"/>
      <c r="MN148" s="129"/>
      <c r="MO148" s="129"/>
      <c r="MP148" s="129"/>
      <c r="MQ148" s="129"/>
      <c r="MR148" s="129"/>
      <c r="MS148" s="129"/>
      <c r="MT148" s="129"/>
      <c r="MU148" s="129"/>
      <c r="MV148" s="129"/>
      <c r="MW148" s="129"/>
      <c r="MX148" s="129"/>
      <c r="MY148" s="129"/>
      <c r="MZ148" s="129"/>
      <c r="NA148" s="129"/>
      <c r="NB148" s="129"/>
      <c r="NC148" s="129"/>
      <c r="ND148" s="129"/>
      <c r="NE148" s="129"/>
      <c r="NF148" s="129"/>
      <c r="NG148" s="129"/>
      <c r="NH148" s="129"/>
      <c r="NI148" s="129"/>
      <c r="NJ148" s="129"/>
      <c r="NK148" s="129"/>
      <c r="NL148" s="129"/>
      <c r="NM148" s="129"/>
      <c r="NN148" s="129"/>
      <c r="NO148" s="129"/>
      <c r="NP148" s="129"/>
      <c r="NQ148" s="129"/>
      <c r="NR148" s="129"/>
      <c r="NS148" s="129"/>
      <c r="NT148" s="129"/>
      <c r="NU148" s="129"/>
      <c r="NV148" s="129"/>
      <c r="NW148" s="129"/>
      <c r="NX148" s="129"/>
      <c r="NY148" s="129"/>
      <c r="NZ148" s="129"/>
      <c r="OA148" s="129"/>
      <c r="OB148" s="129"/>
      <c r="OC148" s="129"/>
      <c r="OD148" s="129"/>
      <c r="OE148" s="129"/>
      <c r="OF148" s="129"/>
      <c r="OG148" s="129"/>
      <c r="OH148" s="129"/>
      <c r="OI148" s="129"/>
      <c r="OJ148" s="129"/>
      <c r="OK148" s="129"/>
      <c r="OL148" s="129"/>
      <c r="OM148" s="129"/>
      <c r="ON148" s="129"/>
      <c r="OO148" s="129"/>
      <c r="OP148" s="129"/>
      <c r="OQ148" s="129"/>
      <c r="OR148" s="129"/>
      <c r="OS148" s="129"/>
      <c r="OT148" s="129"/>
      <c r="OU148" s="129"/>
      <c r="OV148" s="129"/>
      <c r="OW148" s="129"/>
      <c r="OX148" s="129"/>
      <c r="OY148" s="129"/>
      <c r="OZ148" s="129"/>
      <c r="PA148" s="129"/>
      <c r="PB148" s="129"/>
      <c r="PC148" s="129"/>
      <c r="PD148" s="129"/>
      <c r="PE148" s="129"/>
      <c r="PF148" s="129"/>
      <c r="PG148" s="129"/>
      <c r="PH148" s="129"/>
      <c r="PI148" s="129"/>
      <c r="PJ148" s="129"/>
      <c r="PK148" s="129"/>
      <c r="PL148" s="129"/>
      <c r="PM148" s="129"/>
      <c r="PN148" s="129"/>
      <c r="PO148" s="129"/>
      <c r="PP148" s="129"/>
      <c r="PQ148" s="129"/>
      <c r="PR148" s="129"/>
      <c r="PS148" s="129"/>
      <c r="PT148" s="129"/>
      <c r="PU148" s="129"/>
      <c r="PV148" s="129"/>
      <c r="PW148" s="129"/>
      <c r="PX148" s="129"/>
      <c r="PY148" s="129"/>
      <c r="PZ148" s="129"/>
      <c r="QA148" s="129"/>
      <c r="QB148" s="129"/>
      <c r="QC148" s="129"/>
      <c r="QD148" s="129"/>
      <c r="QE148" s="129"/>
      <c r="QF148" s="129"/>
      <c r="QG148" s="129"/>
      <c r="QH148" s="129"/>
      <c r="QI148" s="129"/>
      <c r="QJ148" s="129"/>
      <c r="QK148" s="129"/>
      <c r="QL148" s="129"/>
      <c r="QM148" s="129"/>
      <c r="QN148" s="129"/>
      <c r="QO148" s="129"/>
      <c r="QP148" s="129"/>
      <c r="QQ148" s="129"/>
      <c r="QR148" s="129"/>
      <c r="QS148" s="129"/>
      <c r="QT148" s="129"/>
      <c r="QU148" s="129"/>
      <c r="QV148" s="129"/>
      <c r="QW148" s="129"/>
      <c r="QX148" s="129"/>
      <c r="QY148" s="129"/>
      <c r="QZ148" s="129"/>
      <c r="RA148" s="129"/>
      <c r="RB148" s="129"/>
      <c r="RC148" s="129"/>
      <c r="RD148" s="129"/>
      <c r="RE148" s="129"/>
      <c r="RF148" s="129"/>
      <c r="RG148" s="129"/>
      <c r="RH148" s="129"/>
      <c r="RI148" s="129"/>
      <c r="RJ148" s="129"/>
      <c r="RK148" s="129"/>
      <c r="RL148" s="129"/>
      <c r="RM148" s="129"/>
      <c r="RN148" s="129"/>
      <c r="RO148" s="129"/>
      <c r="RP148" s="129"/>
      <c r="RQ148" s="129"/>
      <c r="RR148" s="129"/>
      <c r="RS148" s="129"/>
      <c r="RT148" s="129"/>
      <c r="RU148" s="129"/>
      <c r="RV148" s="129"/>
      <c r="RW148" s="129"/>
      <c r="RX148" s="129"/>
      <c r="RY148" s="129"/>
      <c r="RZ148" s="129"/>
      <c r="SA148" s="129"/>
      <c r="SB148" s="129"/>
      <c r="SC148" s="129"/>
      <c r="SD148" s="129"/>
      <c r="SE148" s="129"/>
      <c r="SF148" s="129"/>
      <c r="SG148" s="129"/>
      <c r="SH148" s="129"/>
      <c r="SI148" s="129"/>
      <c r="SJ148" s="129"/>
      <c r="SK148" s="129"/>
      <c r="SL148" s="129"/>
      <c r="SM148" s="129"/>
      <c r="SN148" s="129"/>
      <c r="SO148" s="129"/>
      <c r="SP148" s="129"/>
      <c r="SQ148" s="129"/>
      <c r="SR148" s="129"/>
      <c r="SS148" s="129"/>
      <c r="ST148" s="129"/>
      <c r="SU148" s="129"/>
      <c r="SV148" s="129"/>
      <c r="SW148" s="129"/>
      <c r="SX148" s="129"/>
      <c r="SY148" s="129"/>
      <c r="SZ148" s="129"/>
      <c r="TA148" s="129"/>
      <c r="TB148" s="129"/>
      <c r="TC148" s="129"/>
      <c r="TD148" s="129"/>
      <c r="TE148" s="129"/>
      <c r="TF148" s="129"/>
      <c r="TG148" s="129"/>
      <c r="TH148" s="129"/>
      <c r="TI148" s="129"/>
      <c r="TJ148" s="129"/>
      <c r="TK148" s="129"/>
      <c r="TL148" s="129"/>
      <c r="TM148" s="129"/>
      <c r="TN148" s="129"/>
      <c r="TO148" s="129"/>
      <c r="TP148" s="129"/>
      <c r="TQ148" s="129"/>
      <c r="TR148" s="129"/>
      <c r="TS148" s="129"/>
      <c r="TT148" s="129"/>
      <c r="TU148" s="129"/>
      <c r="TV148" s="129"/>
      <c r="TW148" s="129"/>
      <c r="TX148" s="129"/>
      <c r="TY148" s="129"/>
      <c r="TZ148" s="129"/>
      <c r="UA148" s="129"/>
      <c r="UB148" s="129"/>
      <c r="UC148" s="129"/>
      <c r="UD148" s="129"/>
      <c r="UE148" s="129"/>
      <c r="UF148" s="129"/>
      <c r="UG148" s="129"/>
      <c r="UH148" s="129"/>
      <c r="UI148" s="129"/>
      <c r="UJ148" s="129"/>
      <c r="UK148" s="129"/>
      <c r="UL148" s="129"/>
      <c r="UM148" s="129"/>
      <c r="UN148" s="129"/>
      <c r="UO148" s="129"/>
      <c r="UP148" s="129"/>
      <c r="UQ148" s="129"/>
      <c r="UR148" s="129"/>
      <c r="US148" s="129"/>
      <c r="UT148" s="129"/>
      <c r="UU148" s="129"/>
      <c r="UV148" s="129"/>
      <c r="UW148" s="129"/>
      <c r="UX148" s="129"/>
      <c r="UY148" s="129"/>
      <c r="UZ148" s="129"/>
      <c r="VA148" s="129"/>
      <c r="VB148" s="129"/>
      <c r="VC148" s="129"/>
      <c r="VD148" s="129"/>
      <c r="VE148" s="129"/>
      <c r="VF148" s="129"/>
      <c r="VG148" s="129"/>
      <c r="VH148" s="129"/>
      <c r="VI148" s="129"/>
      <c r="VJ148" s="129"/>
      <c r="VK148" s="129"/>
      <c r="VL148" s="129"/>
      <c r="VM148" s="129"/>
      <c r="VN148" s="129"/>
      <c r="VO148" s="129"/>
      <c r="VP148" s="129"/>
      <c r="VQ148" s="129"/>
      <c r="VR148" s="129"/>
      <c r="VS148" s="129"/>
      <c r="VT148" s="129"/>
      <c r="VU148" s="129"/>
      <c r="VV148" s="129"/>
      <c r="VW148" s="129"/>
      <c r="VX148" s="129"/>
      <c r="VY148" s="129"/>
      <c r="VZ148" s="129"/>
      <c r="WA148" s="129"/>
      <c r="WB148" s="129"/>
      <c r="WC148" s="129"/>
      <c r="WD148" s="129"/>
      <c r="WE148" s="129"/>
      <c r="WF148" s="129"/>
      <c r="WG148" s="129"/>
      <c r="WH148" s="129"/>
      <c r="WI148" s="129"/>
      <c r="WJ148" s="129"/>
      <c r="WK148" s="129"/>
      <c r="WL148" s="129"/>
      <c r="WM148" s="129"/>
      <c r="WN148" s="129"/>
      <c r="WO148" s="129"/>
      <c r="WP148" s="129"/>
      <c r="WQ148" s="129"/>
      <c r="WR148" s="129"/>
      <c r="WS148" s="129"/>
      <c r="WT148" s="129"/>
      <c r="WU148" s="129"/>
      <c r="WV148" s="129"/>
      <c r="WW148" s="129"/>
      <c r="WX148" s="129"/>
      <c r="WY148" s="129"/>
      <c r="WZ148" s="129"/>
      <c r="XA148" s="129"/>
      <c r="XB148" s="129"/>
      <c r="XC148" s="129"/>
      <c r="XD148" s="129"/>
      <c r="XE148" s="129"/>
      <c r="XF148" s="129"/>
      <c r="XG148" s="129"/>
      <c r="XH148" s="129"/>
      <c r="XI148" s="129"/>
      <c r="XJ148" s="129"/>
      <c r="XK148" s="129"/>
      <c r="XL148" s="129"/>
      <c r="XM148" s="129"/>
      <c r="XN148" s="129"/>
      <c r="XO148" s="129"/>
      <c r="XP148" s="129"/>
      <c r="XQ148" s="129"/>
      <c r="XR148" s="129"/>
      <c r="XS148" s="129"/>
      <c r="XT148" s="129"/>
      <c r="XU148" s="129"/>
      <c r="XV148" s="129"/>
      <c r="XW148" s="129"/>
      <c r="XX148" s="129"/>
      <c r="XY148" s="129"/>
      <c r="XZ148" s="129"/>
      <c r="YA148" s="129"/>
      <c r="YB148" s="129"/>
      <c r="YC148" s="129"/>
      <c r="YD148" s="129"/>
      <c r="YE148" s="129"/>
      <c r="YF148" s="129"/>
      <c r="YG148" s="129"/>
      <c r="YH148" s="129"/>
      <c r="YI148" s="129"/>
      <c r="YJ148" s="129"/>
      <c r="YK148" s="129"/>
      <c r="YL148" s="129"/>
      <c r="YM148" s="129"/>
      <c r="YN148" s="129"/>
      <c r="YO148" s="129"/>
      <c r="YP148" s="129"/>
      <c r="YQ148" s="129"/>
      <c r="YR148" s="129"/>
      <c r="YS148" s="129"/>
      <c r="YT148" s="129"/>
      <c r="YU148" s="129"/>
      <c r="YV148" s="129"/>
      <c r="YW148" s="129"/>
      <c r="YX148" s="129"/>
      <c r="YY148" s="129"/>
      <c r="YZ148" s="129"/>
      <c r="ZA148" s="129"/>
      <c r="ZB148" s="129"/>
      <c r="ZC148" s="129"/>
      <c r="ZD148" s="129"/>
      <c r="ZE148" s="129"/>
      <c r="ZF148" s="129"/>
      <c r="ZG148" s="129"/>
      <c r="ZH148" s="129"/>
      <c r="ZI148" s="129"/>
      <c r="ZJ148" s="129"/>
      <c r="ZK148" s="129"/>
      <c r="ZL148" s="129"/>
      <c r="ZM148" s="129"/>
      <c r="ZN148" s="129"/>
      <c r="ZO148" s="129"/>
      <c r="ZP148" s="129"/>
      <c r="ZQ148" s="129"/>
      <c r="ZR148" s="129"/>
      <c r="ZS148" s="129"/>
      <c r="ZT148" s="129"/>
      <c r="ZU148" s="129"/>
      <c r="ZV148" s="129"/>
      <c r="ZW148" s="129"/>
      <c r="ZX148" s="129"/>
      <c r="ZY148" s="129"/>
      <c r="ZZ148" s="129"/>
      <c r="AAA148" s="129"/>
      <c r="AAB148" s="129"/>
      <c r="AAC148" s="129"/>
      <c r="AAD148" s="129"/>
      <c r="AAE148" s="129"/>
      <c r="AAF148" s="129"/>
      <c r="AAG148" s="129"/>
      <c r="AAH148" s="129"/>
      <c r="AAI148" s="129"/>
      <c r="AAJ148" s="129"/>
      <c r="AAK148" s="129"/>
      <c r="AAL148" s="129"/>
      <c r="AAM148" s="129"/>
      <c r="AAN148" s="129"/>
      <c r="AAO148" s="129"/>
      <c r="AAP148" s="129"/>
      <c r="AAQ148" s="129"/>
      <c r="AAR148" s="129"/>
      <c r="AAS148" s="129"/>
      <c r="AAT148" s="129"/>
      <c r="AAU148" s="129"/>
      <c r="AAV148" s="129"/>
      <c r="AAW148" s="129"/>
      <c r="AAX148" s="129"/>
      <c r="AAY148" s="129"/>
      <c r="AAZ148" s="129"/>
      <c r="ABA148" s="129"/>
      <c r="ABB148" s="129"/>
      <c r="ABC148" s="129"/>
      <c r="ABD148" s="129"/>
      <c r="ABE148" s="129"/>
      <c r="ABF148" s="129"/>
      <c r="ABG148" s="129"/>
      <c r="ABH148" s="129"/>
      <c r="ABI148" s="129"/>
      <c r="ABJ148" s="129"/>
      <c r="ABK148" s="129"/>
      <c r="ABL148" s="129"/>
      <c r="ABM148" s="129"/>
      <c r="ABN148" s="129"/>
      <c r="ABO148" s="129"/>
      <c r="ABP148" s="129"/>
      <c r="ABQ148" s="129"/>
      <c r="ABR148" s="129"/>
      <c r="ABS148" s="129"/>
      <c r="ABT148" s="129"/>
      <c r="ABU148" s="129"/>
      <c r="ABV148" s="129"/>
      <c r="ABW148" s="129"/>
      <c r="ABX148" s="129"/>
      <c r="ABY148" s="129"/>
      <c r="ABZ148" s="129"/>
      <c r="ACA148" s="129"/>
      <c r="ACB148" s="129"/>
      <c r="ACC148" s="129"/>
      <c r="ACD148" s="129"/>
      <c r="ACE148" s="129"/>
      <c r="ACF148" s="129"/>
      <c r="ACG148" s="129"/>
      <c r="ACH148" s="129"/>
      <c r="ACI148" s="129"/>
      <c r="ACJ148" s="129"/>
      <c r="ACK148" s="129"/>
      <c r="ACL148" s="129"/>
      <c r="ACM148" s="129"/>
      <c r="ACN148" s="129"/>
      <c r="ACO148" s="129"/>
      <c r="ACP148" s="129"/>
      <c r="ACQ148" s="129"/>
      <c r="ACR148" s="129"/>
      <c r="ACS148" s="129"/>
      <c r="ACT148" s="129"/>
      <c r="ACU148" s="129"/>
      <c r="ACV148" s="129"/>
      <c r="ACW148" s="129"/>
      <c r="ACX148" s="129"/>
      <c r="ACY148" s="129"/>
      <c r="ACZ148" s="129"/>
      <c r="ADA148" s="129"/>
      <c r="ADB148" s="129"/>
      <c r="ADC148" s="129"/>
      <c r="ADD148" s="129"/>
      <c r="ADE148" s="129"/>
      <c r="ADF148" s="129"/>
      <c r="ADG148" s="129"/>
      <c r="ADH148" s="129"/>
      <c r="ADI148" s="129"/>
      <c r="ADJ148" s="129"/>
      <c r="ADK148" s="129"/>
      <c r="ADL148" s="129"/>
      <c r="ADM148" s="129"/>
      <c r="ADN148" s="129"/>
      <c r="ADO148" s="129"/>
      <c r="ADP148" s="129"/>
      <c r="ADQ148" s="129"/>
      <c r="ADR148" s="129"/>
      <c r="ADS148" s="129"/>
      <c r="ADT148" s="129"/>
      <c r="ADU148" s="129"/>
      <c r="ADV148" s="129"/>
      <c r="ADW148" s="129"/>
      <c r="ADX148" s="129"/>
      <c r="ADY148" s="129"/>
      <c r="ADZ148" s="129"/>
      <c r="AEA148" s="129"/>
      <c r="AEB148" s="129"/>
      <c r="AEC148" s="129"/>
      <c r="AED148" s="129"/>
      <c r="AEE148" s="129"/>
      <c r="AEF148" s="129"/>
      <c r="AEG148" s="129"/>
      <c r="AEH148" s="129"/>
      <c r="AEI148" s="129"/>
      <c r="AEJ148" s="129"/>
      <c r="AEK148" s="129"/>
      <c r="AEL148" s="129"/>
      <c r="AEM148" s="129"/>
      <c r="AEN148" s="129"/>
      <c r="AEO148" s="129"/>
      <c r="AEP148" s="129"/>
      <c r="AEQ148" s="129"/>
      <c r="AER148" s="129"/>
      <c r="AES148" s="129"/>
      <c r="AET148" s="129"/>
      <c r="AEU148" s="129"/>
      <c r="AEV148" s="129"/>
      <c r="AEW148" s="129"/>
      <c r="AEX148" s="129"/>
      <c r="AEY148" s="129"/>
      <c r="AEZ148" s="129"/>
      <c r="AFA148" s="129"/>
      <c r="AFB148" s="129"/>
      <c r="AFC148" s="129"/>
      <c r="AFD148" s="129"/>
      <c r="AFE148" s="129"/>
      <c r="AFF148" s="129"/>
      <c r="AFG148" s="129"/>
      <c r="AFH148" s="129"/>
      <c r="AFI148" s="129"/>
      <c r="AFJ148" s="129"/>
      <c r="AFK148" s="129"/>
      <c r="AFL148" s="129"/>
      <c r="AFM148" s="129"/>
      <c r="AFN148" s="129"/>
      <c r="AFO148" s="129"/>
      <c r="AFP148" s="129"/>
      <c r="AFQ148" s="129"/>
      <c r="AFR148" s="129"/>
      <c r="AFS148" s="129"/>
      <c r="AFT148" s="129"/>
      <c r="AFU148" s="129"/>
      <c r="AFV148" s="129"/>
      <c r="AFW148" s="129"/>
      <c r="AFX148" s="129"/>
      <c r="AFY148" s="129"/>
      <c r="AFZ148" s="129"/>
      <c r="AGA148" s="129"/>
      <c r="AGB148" s="129"/>
      <c r="AGC148" s="129"/>
      <c r="AGD148" s="129"/>
      <c r="AGE148" s="129"/>
      <c r="AGF148" s="129"/>
      <c r="AGG148" s="129"/>
      <c r="AGH148" s="129"/>
      <c r="AGI148" s="129"/>
      <c r="AGJ148" s="129"/>
      <c r="AGK148" s="129"/>
      <c r="AGL148" s="129"/>
      <c r="AGM148" s="129"/>
      <c r="AGN148" s="129"/>
      <c r="AGO148" s="129"/>
      <c r="AGP148" s="129"/>
      <c r="AGQ148" s="129"/>
      <c r="AGR148" s="129"/>
      <c r="AGS148" s="129"/>
      <c r="AGT148" s="129"/>
      <c r="AGU148" s="129"/>
      <c r="AGV148" s="129"/>
      <c r="AGW148" s="129"/>
      <c r="AGX148" s="129"/>
      <c r="AGY148" s="129"/>
      <c r="AGZ148" s="129"/>
      <c r="AHA148" s="129"/>
      <c r="AHB148" s="129"/>
      <c r="AHC148" s="129"/>
      <c r="AHD148" s="129"/>
      <c r="AHE148" s="129"/>
      <c r="AHF148" s="129"/>
      <c r="AHG148" s="129"/>
      <c r="AHH148" s="129"/>
      <c r="AHI148" s="129"/>
      <c r="AHJ148" s="129"/>
      <c r="AHK148" s="129"/>
      <c r="AHL148" s="129"/>
      <c r="AHM148" s="129"/>
      <c r="AHN148" s="129"/>
      <c r="AHO148" s="129"/>
      <c r="AHP148" s="129"/>
      <c r="AHQ148" s="129"/>
      <c r="AHR148" s="129"/>
      <c r="AHS148" s="129"/>
      <c r="AHT148" s="129"/>
      <c r="AHU148" s="129"/>
      <c r="AHV148" s="129"/>
      <c r="AHW148" s="129"/>
      <c r="AHX148" s="129"/>
      <c r="AHY148" s="129"/>
      <c r="AHZ148" s="129"/>
      <c r="AIA148" s="129"/>
      <c r="AIB148" s="129"/>
      <c r="AIC148" s="129"/>
      <c r="AID148" s="129"/>
      <c r="AIE148" s="129"/>
      <c r="AIF148" s="129"/>
      <c r="AIG148" s="129"/>
      <c r="AIH148" s="129"/>
      <c r="AII148" s="129"/>
      <c r="AIJ148" s="129"/>
      <c r="AIK148" s="129"/>
      <c r="AIL148" s="129"/>
      <c r="AIM148" s="129"/>
      <c r="AIN148" s="129"/>
      <c r="AIO148" s="129"/>
      <c r="AIP148" s="129"/>
      <c r="AIQ148" s="129"/>
      <c r="AIR148" s="129"/>
      <c r="AIS148" s="129"/>
      <c r="AIT148" s="129"/>
      <c r="AIU148" s="129"/>
      <c r="AIV148" s="129"/>
      <c r="AIW148" s="129"/>
      <c r="AIX148" s="129"/>
      <c r="AIY148" s="129"/>
      <c r="AIZ148" s="129"/>
      <c r="AJA148" s="129"/>
      <c r="AJB148" s="129"/>
      <c r="AJC148" s="129"/>
      <c r="AJD148" s="129"/>
      <c r="AJE148" s="129"/>
      <c r="AJF148" s="129"/>
      <c r="AJG148" s="129"/>
      <c r="AJH148" s="129"/>
      <c r="AJI148" s="129"/>
      <c r="AJJ148" s="129"/>
      <c r="AJK148" s="129"/>
      <c r="AJL148" s="129"/>
      <c r="AJM148" s="129"/>
      <c r="AJN148" s="129"/>
      <c r="AJO148" s="129"/>
      <c r="AJP148" s="129"/>
      <c r="AJQ148" s="129"/>
      <c r="AJR148" s="129"/>
      <c r="AJS148" s="129"/>
      <c r="AJT148" s="129"/>
      <c r="AJU148" s="129"/>
      <c r="AJV148" s="129"/>
      <c r="AJW148" s="129"/>
      <c r="AJX148" s="129"/>
      <c r="AJY148" s="129"/>
      <c r="AJZ148" s="129"/>
      <c r="AKA148" s="129"/>
      <c r="AKB148" s="129"/>
      <c r="AKC148" s="129"/>
      <c r="AKD148" s="129"/>
      <c r="AKE148" s="129"/>
      <c r="AKF148" s="129"/>
      <c r="AKG148" s="129"/>
      <c r="AKH148" s="129"/>
      <c r="AKI148" s="129"/>
      <c r="AKJ148" s="129"/>
      <c r="AKK148" s="129"/>
      <c r="AKL148" s="129"/>
      <c r="AKM148" s="129"/>
      <c r="AKN148" s="129"/>
      <c r="AKO148" s="129"/>
      <c r="AKP148" s="129"/>
      <c r="AKQ148" s="129"/>
      <c r="AKR148" s="129"/>
      <c r="AKS148" s="129"/>
      <c r="AKT148" s="129"/>
      <c r="AKU148" s="129"/>
      <c r="AKV148" s="129"/>
      <c r="AKW148" s="129"/>
      <c r="AKX148" s="129"/>
      <c r="AKY148" s="129"/>
      <c r="AKZ148" s="129"/>
      <c r="ALA148" s="129"/>
      <c r="ALB148" s="129"/>
      <c r="ALC148" s="129"/>
      <c r="ALD148" s="129"/>
      <c r="ALE148" s="129"/>
      <c r="ALF148" s="129"/>
      <c r="ALG148" s="129"/>
      <c r="ALH148" s="129"/>
      <c r="ALI148" s="129"/>
      <c r="ALJ148" s="129"/>
      <c r="ALK148" s="129"/>
      <c r="ALL148" s="129"/>
      <c r="ALM148" s="129"/>
      <c r="ALN148" s="129"/>
      <c r="ALO148" s="129"/>
      <c r="ALP148" s="129"/>
      <c r="ALQ148" s="129"/>
      <c r="ALR148" s="129"/>
      <c r="ALS148" s="129"/>
      <c r="ALT148" s="129"/>
      <c r="ALU148" s="129"/>
      <c r="ALV148" s="129"/>
      <c r="ALW148" s="129"/>
      <c r="ALX148" s="129"/>
      <c r="ALY148" s="129"/>
      <c r="ALZ148" s="129"/>
      <c r="AMA148" s="129"/>
      <c r="AMB148" s="129"/>
      <c r="AMC148" s="129"/>
      <c r="AMD148" s="129"/>
      <c r="AME148" s="129"/>
      <c r="AMF148" s="129"/>
      <c r="AMG148" s="129"/>
      <c r="AMH148" s="129"/>
      <c r="AMI148" s="129"/>
      <c r="AMJ148" s="129"/>
      <c r="AMK148" s="129"/>
      <c r="AML148" s="129"/>
      <c r="AMM148" s="129"/>
      <c r="AMN148" s="129"/>
      <c r="AMO148" s="129"/>
      <c r="AMP148" s="129"/>
    </row>
    <row r="149" spans="1:1030" x14ac:dyDescent="0.2">
      <c r="A149" s="3" t="str">
        <f t="shared" si="811"/>
        <v>ccr5_human__wt</v>
      </c>
      <c r="B149" s="3" t="s">
        <v>173</v>
      </c>
      <c r="C149" s="3" t="s">
        <v>100</v>
      </c>
      <c r="D149" s="3" t="str">
        <f>IFERROR(MID(VLOOKUP($B149,Seqs!$A:$B,2,0),E149,1),"")</f>
        <v>K</v>
      </c>
      <c r="E149" s="3">
        <v>22</v>
      </c>
      <c r="F149" s="3" t="str">
        <f>IFERROR(MID(VLOOKUP($B149,Seqs!$A:$B,2,0),G149,1),"")</f>
        <v>C</v>
      </c>
      <c r="G149" s="3">
        <v>58</v>
      </c>
      <c r="H149" s="3" t="str">
        <f>IFERROR(MID(VLOOKUP($B149,Seqs!$A:$B,2,0),I149,1),"")</f>
        <v>K</v>
      </c>
      <c r="I149" s="23">
        <v>59</v>
      </c>
      <c r="J149" s="3" t="str">
        <f>IFERROR(MID(VLOOKUP($B149,Seqs!$A:$B,2,0),K149,1),"")</f>
        <v>K</v>
      </c>
      <c r="K149" s="23">
        <v>62</v>
      </c>
      <c r="L149" s="3" t="str">
        <f>IFERROR(MID(VLOOKUP($B149,Seqs!$A:$B,2,0),M149,1),"")</f>
        <v>S</v>
      </c>
      <c r="M149" s="3">
        <v>63</v>
      </c>
      <c r="N149" s="3" t="str">
        <f>IFERROR(MID(VLOOKUP($B149,Seqs!$A:$B,2,0),O149,1),"")</f>
        <v>A</v>
      </c>
      <c r="O149" s="3">
        <v>92</v>
      </c>
      <c r="P149" s="3" t="str">
        <f>IFERROR(MID(VLOOKUP($B149,Seqs!$A:$B,2,0),Q149,1),"")</f>
        <v>Q</v>
      </c>
      <c r="Q149" s="3">
        <v>93</v>
      </c>
      <c r="R149" s="3" t="str">
        <f>IFERROR(MID(VLOOKUP($B149,Seqs!$A:$B,2,0),S149,1),"")</f>
        <v>F</v>
      </c>
      <c r="S149" s="3">
        <v>96</v>
      </c>
      <c r="T149" s="3" t="str">
        <f>IFERROR(MID(VLOOKUP($B149,Seqs!$A:$B,2,0),U149,1),"")</f>
        <v>G</v>
      </c>
      <c r="U149" s="3">
        <v>97</v>
      </c>
      <c r="V149" s="3" t="str">
        <f>IFERROR(MID(VLOOKUP($B149,Seqs!$A:$B,2,0),W149,1),"")</f>
        <v>H</v>
      </c>
      <c r="W149" s="3">
        <v>132</v>
      </c>
      <c r="X149" s="3" t="str">
        <f>IFERROR(MID(VLOOKUP($B149,Seqs!$A:$B,2,0),Y149,1),"")</f>
        <v>A</v>
      </c>
      <c r="Y149" s="3">
        <v>133</v>
      </c>
      <c r="Z149" s="3" t="str">
        <f>IFERROR(MID(VLOOKUP($B149,Seqs!$A:$B,2,0),AA149,1),"")</f>
        <v>R</v>
      </c>
      <c r="AA149" s="3">
        <v>140</v>
      </c>
      <c r="AB149" s="3" t="str">
        <f>IFERROR(MID(VLOOKUP($B149,Seqs!$A:$B,2,0),AC149,1),"")</f>
        <v>T</v>
      </c>
      <c r="AC149" s="9">
        <v>141</v>
      </c>
      <c r="AD149" s="3" t="str">
        <f>IFERROR(MID(VLOOKUP($B149,Seqs!$A:$B,2,0),AE149,1),"")</f>
        <v>T</v>
      </c>
      <c r="AE149" s="3">
        <v>167</v>
      </c>
      <c r="AF149" s="3" t="str">
        <f>IFERROR(MID(VLOOKUP($B149,Seqs!$A:$B,2,0),AG149,1),"")</f>
        <v>C</v>
      </c>
      <c r="AG149" s="3">
        <v>178</v>
      </c>
      <c r="AH149" s="3" t="str">
        <f>IFERROR(MID(VLOOKUP($B149,Seqs!$A:$B,2,0),AI149,1),"")</f>
        <v>S</v>
      </c>
      <c r="AI149" s="3">
        <v>180</v>
      </c>
      <c r="AJ149" s="3" t="str">
        <f>IFERROR(MID(VLOOKUP($B149,Seqs!$A:$B,2,0),AK149,1),"")</f>
        <v>Q</v>
      </c>
      <c r="AK149" s="3">
        <v>186</v>
      </c>
      <c r="AL149" s="3" t="str">
        <f>IFERROR(MID(VLOOKUP($B149,Seqs!$A:$B,2,0),AM149,1),"")</f>
        <v>C</v>
      </c>
      <c r="AM149" s="3">
        <v>224</v>
      </c>
      <c r="AN149" s="3" t="str">
        <f>IFERROR(MID(VLOOKUP($B149,Seqs!$A:$B,2,0),AO149,1),"")</f>
        <v>K</v>
      </c>
      <c r="AO149" s="3">
        <v>228</v>
      </c>
      <c r="AP149" s="3" t="str">
        <f>IFERROR(MID(VLOOKUP($B149,Seqs!$A:$B,2,0),AQ149,1),"")</f>
        <v>G</v>
      </c>
      <c r="AQ149" s="3">
        <v>265</v>
      </c>
      <c r="AR149" s="3" t="str">
        <f>IFERROR(MID(VLOOKUP($B149,Seqs!$A:$B,2,0),AS149,1),"")</f>
        <v>N</v>
      </c>
      <c r="AS149" s="3">
        <v>268</v>
      </c>
      <c r="AT149" s="3" t="str">
        <f>IFERROR(MID(VLOOKUP($B149,Seqs!$A:$B,2,0),AU149,1),"")</f>
        <v>V</v>
      </c>
      <c r="AU149" s="3">
        <v>300</v>
      </c>
      <c r="AV149" s="3" t="str">
        <f>IFERROR(MID(VLOOKUP($B149,Seqs!$A:$B,2,0),AW149,1),"")</f>
        <v>G</v>
      </c>
      <c r="AW149" s="3">
        <v>301</v>
      </c>
      <c r="AX149" s="3" t="str">
        <f>IFERROR(MID(VLOOKUP($B149,Seqs!$A:$B,2,0),AY149,1),"")</f>
        <v>Q</v>
      </c>
      <c r="AY149" s="3">
        <v>313</v>
      </c>
      <c r="AZ149" s="77" t="str">
        <f>VLOOKUP(B149,Classification!A:D,2,0)</f>
        <v>A</v>
      </c>
      <c r="BA149" s="94" t="str">
        <f>VLOOKUP(B149,Classification!A:D,4,0)</f>
        <v>Chemokine</v>
      </c>
      <c r="BB149" s="27" t="b">
        <f t="shared" si="812"/>
        <v>1</v>
      </c>
      <c r="BC149" s="23">
        <f t="shared" si="589"/>
        <v>272</v>
      </c>
      <c r="BD149" s="34" t="s">
        <v>23</v>
      </c>
      <c r="BE149" s="3" t="s">
        <v>23</v>
      </c>
      <c r="BF149" s="119" t="s">
        <v>23</v>
      </c>
      <c r="BG149" s="49" t="s">
        <v>1373</v>
      </c>
      <c r="BH149" s="49" t="s">
        <v>1378</v>
      </c>
      <c r="BI149" s="1"/>
      <c r="BJ149" s="70" t="s">
        <v>1288</v>
      </c>
      <c r="BK149" s="57" t="s">
        <v>1288</v>
      </c>
      <c r="BL149" s="57" t="s">
        <v>1288</v>
      </c>
      <c r="BM149" s="57" t="s">
        <v>1288</v>
      </c>
      <c r="BN149" s="57" t="s">
        <v>1288</v>
      </c>
      <c r="BO149" s="57" t="s">
        <v>1288</v>
      </c>
      <c r="BP149" s="57" t="s">
        <v>1288</v>
      </c>
      <c r="BQ149" s="57" t="s">
        <v>1288</v>
      </c>
      <c r="BR149" s="57" t="s">
        <v>1288</v>
      </c>
      <c r="BS149" s="57" t="s">
        <v>1288</v>
      </c>
      <c r="BT149" s="57" t="s">
        <v>1288</v>
      </c>
      <c r="BU149" s="57" t="s">
        <v>1288</v>
      </c>
      <c r="BV149" s="70">
        <f t="shared" si="590"/>
        <v>22</v>
      </c>
      <c r="BW149" s="71">
        <f t="shared" si="591"/>
        <v>59</v>
      </c>
      <c r="BX149" s="72">
        <f t="shared" si="592"/>
        <v>63</v>
      </c>
      <c r="BY149" s="71">
        <f t="shared" si="593"/>
        <v>93</v>
      </c>
      <c r="BZ149" s="72">
        <f t="shared" si="594"/>
        <v>97</v>
      </c>
      <c r="CA149" s="71">
        <f t="shared" si="595"/>
        <v>133</v>
      </c>
      <c r="CB149" s="72">
        <f t="shared" si="596"/>
        <v>141</v>
      </c>
      <c r="CC149" s="71">
        <f t="shared" si="597"/>
        <v>178</v>
      </c>
      <c r="CD149" s="72">
        <f t="shared" si="598"/>
        <v>186</v>
      </c>
      <c r="CE149" s="71">
        <f t="shared" si="599"/>
        <v>228</v>
      </c>
      <c r="CF149" s="72">
        <f t="shared" si="600"/>
        <v>268</v>
      </c>
      <c r="CG149" s="71">
        <f t="shared" si="601"/>
        <v>301</v>
      </c>
      <c r="CH149" s="70">
        <f t="shared" si="602"/>
        <v>58</v>
      </c>
      <c r="CI149" s="71">
        <f t="shared" si="603"/>
        <v>62</v>
      </c>
      <c r="CJ149" s="72">
        <f t="shared" si="604"/>
        <v>92</v>
      </c>
      <c r="CK149" s="72">
        <f t="shared" si="605"/>
        <v>96</v>
      </c>
      <c r="CL149" s="72">
        <f t="shared" si="606"/>
        <v>132</v>
      </c>
      <c r="CM149" s="72">
        <f t="shared" si="607"/>
        <v>140</v>
      </c>
      <c r="CN149" s="72">
        <f t="shared" si="608"/>
        <v>167</v>
      </c>
      <c r="CO149" s="72">
        <f t="shared" si="609"/>
        <v>180</v>
      </c>
      <c r="CP149" s="72">
        <f t="shared" si="610"/>
        <v>224</v>
      </c>
      <c r="CQ149" s="72">
        <f t="shared" si="611"/>
        <v>265</v>
      </c>
      <c r="CR149" s="72">
        <f t="shared" si="612"/>
        <v>300</v>
      </c>
      <c r="CS149" s="72">
        <f t="shared" si="613"/>
        <v>313</v>
      </c>
      <c r="CT149" s="23">
        <f t="shared" si="614"/>
        <v>1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</row>
    <row r="150" spans="1:1030" x14ac:dyDescent="0.2">
      <c r="A150" s="3" t="str">
        <f t="shared" si="811"/>
        <v>ccr5_human_4MBS</v>
      </c>
      <c r="B150" s="3" t="s">
        <v>173</v>
      </c>
      <c r="C150" s="3" t="s">
        <v>74</v>
      </c>
      <c r="D150" s="3" t="str">
        <f>IFERROR(MID(VLOOKUP($B150,Seqs!$A:$B,2,0),E150,1),"")</f>
        <v>V</v>
      </c>
      <c r="E150" s="3">
        <v>25</v>
      </c>
      <c r="F150" s="3" t="str">
        <f>IFERROR(MID(VLOOKUP($B150,Seqs!$A:$B,2,0),G150,1),"")</f>
        <v>C</v>
      </c>
      <c r="G150" s="3">
        <v>58</v>
      </c>
      <c r="H150" s="3" t="str">
        <f>IFERROR(MID(VLOOKUP($B150,Seqs!$A:$B,2,0),I150,1),"")</f>
        <v/>
      </c>
      <c r="I150" s="23" t="s">
        <v>23</v>
      </c>
      <c r="J150" s="3" t="str">
        <f>IFERROR(MID(VLOOKUP($B150,Seqs!$A:$B,2,0),K150,1),"")</f>
        <v/>
      </c>
      <c r="K150" s="23" t="s">
        <v>23</v>
      </c>
      <c r="L150" s="3" t="str">
        <f>IFERROR(MID(VLOOKUP($B150,Seqs!$A:$B,2,0),M150,1),"")</f>
        <v>S</v>
      </c>
      <c r="M150" s="3">
        <v>63</v>
      </c>
      <c r="N150" s="3" t="str">
        <f>IFERROR(MID(VLOOKUP($B150,Seqs!$A:$B,2,0),O150,1),"")</f>
        <v>A</v>
      </c>
      <c r="O150" s="3">
        <v>92</v>
      </c>
      <c r="P150" s="3" t="str">
        <f>IFERROR(MID(VLOOKUP($B150,Seqs!$A:$B,2,0),Q150,1),"")</f>
        <v>Q</v>
      </c>
      <c r="Q150" s="3">
        <v>93</v>
      </c>
      <c r="R150" s="3" t="str">
        <f>IFERROR(MID(VLOOKUP($B150,Seqs!$A:$B,2,0),S150,1),"")</f>
        <v>F</v>
      </c>
      <c r="S150" s="3">
        <v>96</v>
      </c>
      <c r="T150" s="3" t="str">
        <f>IFERROR(MID(VLOOKUP($B150,Seqs!$A:$B,2,0),U150,1),"")</f>
        <v>G</v>
      </c>
      <c r="U150" s="3">
        <v>97</v>
      </c>
      <c r="V150" s="3" t="str">
        <f>IFERROR(MID(VLOOKUP($B150,Seqs!$A:$B,2,0),W150,1),"")</f>
        <v>H</v>
      </c>
      <c r="W150" s="3">
        <v>132</v>
      </c>
      <c r="X150" s="3" t="str">
        <f>IFERROR(MID(VLOOKUP($B150,Seqs!$A:$B,2,0),Y150,1),"")</f>
        <v>A</v>
      </c>
      <c r="Y150" s="3">
        <v>133</v>
      </c>
      <c r="Z150" s="3" t="str">
        <f>IFERROR(MID(VLOOKUP($B150,Seqs!$A:$B,2,0),AA150,1),"")</f>
        <v>R</v>
      </c>
      <c r="AA150" s="3">
        <v>140</v>
      </c>
      <c r="AB150" s="3" t="str">
        <f>IFERROR(MID(VLOOKUP($B150,Seqs!$A:$B,2,0),AC150,1),"")</f>
        <v>T</v>
      </c>
      <c r="AC150" s="9">
        <v>141</v>
      </c>
      <c r="AD150" s="3" t="str">
        <f>IFERROR(MID(VLOOKUP($B150,Seqs!$A:$B,2,0),AE150,1),"")</f>
        <v>T</v>
      </c>
      <c r="AE150" s="3">
        <v>167</v>
      </c>
      <c r="AF150" s="3" t="str">
        <f>IFERROR(MID(VLOOKUP($B150,Seqs!$A:$B,2,0),AG150,1),"")</f>
        <v>C</v>
      </c>
      <c r="AG150" s="3">
        <v>178</v>
      </c>
      <c r="AH150" s="3" t="str">
        <f>IFERROR(MID(VLOOKUP($B150,Seqs!$A:$B,2,0),AI150,1),"")</f>
        <v>S</v>
      </c>
      <c r="AI150" s="3">
        <v>180</v>
      </c>
      <c r="AJ150" s="3" t="str">
        <f>IFERROR(MID(VLOOKUP($B150,Seqs!$A:$B,2,0),AK150,1),"")</f>
        <v>Q</v>
      </c>
      <c r="AK150" s="3">
        <v>186</v>
      </c>
      <c r="AL150" s="3" t="str">
        <f>IFERROR(MID(VLOOKUP($B150,Seqs!$A:$B,2,0),AM150,1),"")</f>
        <v>R</v>
      </c>
      <c r="AM150" s="3">
        <v>223</v>
      </c>
      <c r="AN150" s="3" t="str">
        <f>IFERROR(MID(VLOOKUP($B150,Seqs!$A:$B,2,0),AO150,1),"")</f>
        <v>K</v>
      </c>
      <c r="AO150" s="3">
        <v>228</v>
      </c>
      <c r="AP150" s="3" t="str">
        <f>IFERROR(MID(VLOOKUP($B150,Seqs!$A:$B,2,0),AQ150,1),"")</f>
        <v>G</v>
      </c>
      <c r="AQ150" s="3">
        <v>265</v>
      </c>
      <c r="AR150" s="3" t="str">
        <f>IFERROR(MID(VLOOKUP($B150,Seqs!$A:$B,2,0),AS150,1),"")</f>
        <v>N</v>
      </c>
      <c r="AS150" s="3">
        <v>268</v>
      </c>
      <c r="AT150" s="3" t="str">
        <f>IFERROR(MID(VLOOKUP($B150,Seqs!$A:$B,2,0),AU150,1),"")</f>
        <v>V</v>
      </c>
      <c r="AU150" s="3">
        <v>300</v>
      </c>
      <c r="AV150" s="3" t="str">
        <f>IFERROR(MID(VLOOKUP($B150,Seqs!$A:$B,2,0),AW150,1),"")</f>
        <v>G</v>
      </c>
      <c r="AW150" s="3">
        <v>301</v>
      </c>
      <c r="AX150" s="3" t="str">
        <f>IFERROR(MID(VLOOKUP($B150,Seqs!$A:$B,2,0),AY150,1),"")</f>
        <v>Q</v>
      </c>
      <c r="AY150" s="3">
        <v>313</v>
      </c>
      <c r="AZ150" s="77" t="str">
        <f>VLOOKUP(B150,Classification!A:D,2,0)</f>
        <v>A</v>
      </c>
      <c r="BA150" s="94" t="str">
        <f>VLOOKUP(B150,Classification!A:D,4,0)</f>
        <v>Chemokine</v>
      </c>
      <c r="BB150" s="27" t="b">
        <f t="shared" si="812"/>
        <v>1</v>
      </c>
      <c r="BC150" s="23">
        <f t="shared" si="589"/>
        <v>265</v>
      </c>
      <c r="BD150" s="2" t="s">
        <v>23</v>
      </c>
      <c r="BE150" s="3" t="s">
        <v>1375</v>
      </c>
      <c r="BF150" s="119">
        <v>2.71</v>
      </c>
      <c r="BG150" s="49" t="s">
        <v>1378</v>
      </c>
      <c r="BH150" s="49" t="s">
        <v>1378</v>
      </c>
      <c r="BI150" s="1"/>
      <c r="BJ150" s="70" t="s">
        <v>1288</v>
      </c>
      <c r="BK150" s="57" t="s">
        <v>1288</v>
      </c>
      <c r="BL150" s="57" t="s">
        <v>1288</v>
      </c>
      <c r="BM150" s="57" t="s">
        <v>1288</v>
      </c>
      <c r="BN150" s="57" t="s">
        <v>1288</v>
      </c>
      <c r="BO150" s="57" t="s">
        <v>1288</v>
      </c>
      <c r="BP150" s="57" t="s">
        <v>1288</v>
      </c>
      <c r="BQ150" s="57" t="s">
        <v>1288</v>
      </c>
      <c r="BR150" s="57" t="s">
        <v>1288</v>
      </c>
      <c r="BS150" s="57" t="s">
        <v>1288</v>
      </c>
      <c r="BT150" s="57" t="s">
        <v>1288</v>
      </c>
      <c r="BU150" s="57" t="s">
        <v>1288</v>
      </c>
      <c r="BV150" s="70">
        <f t="shared" si="590"/>
        <v>25</v>
      </c>
      <c r="BW150" s="71" t="str">
        <f t="shared" si="591"/>
        <v>-</v>
      </c>
      <c r="BX150" s="72">
        <f t="shared" si="592"/>
        <v>63</v>
      </c>
      <c r="BY150" s="71">
        <f t="shared" si="593"/>
        <v>93</v>
      </c>
      <c r="BZ150" s="72">
        <f t="shared" si="594"/>
        <v>97</v>
      </c>
      <c r="CA150" s="71">
        <f t="shared" si="595"/>
        <v>133</v>
      </c>
      <c r="CB150" s="72">
        <f t="shared" si="596"/>
        <v>141</v>
      </c>
      <c r="CC150" s="71">
        <f t="shared" si="597"/>
        <v>178</v>
      </c>
      <c r="CD150" s="72">
        <f t="shared" si="598"/>
        <v>186</v>
      </c>
      <c r="CE150" s="71">
        <f t="shared" si="599"/>
        <v>228</v>
      </c>
      <c r="CF150" s="72">
        <f t="shared" si="600"/>
        <v>268</v>
      </c>
      <c r="CG150" s="71">
        <f t="shared" si="601"/>
        <v>301</v>
      </c>
      <c r="CH150" s="70">
        <f t="shared" si="602"/>
        <v>58</v>
      </c>
      <c r="CI150" s="71" t="str">
        <f t="shared" si="603"/>
        <v>-</v>
      </c>
      <c r="CJ150" s="72">
        <f t="shared" si="604"/>
        <v>92</v>
      </c>
      <c r="CK150" s="72">
        <f t="shared" si="605"/>
        <v>96</v>
      </c>
      <c r="CL150" s="72">
        <f t="shared" si="606"/>
        <v>132</v>
      </c>
      <c r="CM150" s="72">
        <f t="shared" si="607"/>
        <v>140</v>
      </c>
      <c r="CN150" s="72">
        <f t="shared" si="608"/>
        <v>167</v>
      </c>
      <c r="CO150" s="72">
        <f t="shared" si="609"/>
        <v>180</v>
      </c>
      <c r="CP150" s="72">
        <f t="shared" si="610"/>
        <v>223</v>
      </c>
      <c r="CQ150" s="72">
        <f t="shared" si="611"/>
        <v>265</v>
      </c>
      <c r="CR150" s="72">
        <f t="shared" si="612"/>
        <v>300</v>
      </c>
      <c r="CS150" s="72">
        <f t="shared" si="613"/>
        <v>313</v>
      </c>
      <c r="CT150" s="23" t="e">
        <f t="shared" si="614"/>
        <v>#VALUE!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30" x14ac:dyDescent="0.2">
      <c r="A151" s="3" t="str">
        <f>CONCATENATE(B151,"_",C151)</f>
        <v>ccr5_human_5UIW</v>
      </c>
      <c r="B151" s="3" t="s">
        <v>173</v>
      </c>
      <c r="C151" s="3" t="s">
        <v>1424</v>
      </c>
      <c r="D151" s="3" t="str">
        <f>IFERROR(MID(VLOOKUP($B151,Seqs!$A:$B,2,0),E151,1),"")</f>
        <v>K</v>
      </c>
      <c r="E151" s="3">
        <v>22</v>
      </c>
      <c r="F151" s="3" t="str">
        <f>IFERROR(MID(VLOOKUP($B151,Seqs!$A:$B,2,0),G151,1),"")</f>
        <v>C</v>
      </c>
      <c r="G151" s="3">
        <v>58</v>
      </c>
      <c r="H151" s="3" t="str">
        <f>IFERROR(MID(VLOOKUP($B151,Seqs!$A:$B,2,0),I151,1),"")</f>
        <v/>
      </c>
      <c r="I151" s="23" t="s">
        <v>23</v>
      </c>
      <c r="J151" s="3" t="str">
        <f>IFERROR(MID(VLOOKUP($B151,Seqs!$A:$B,2,0),K151,1),"")</f>
        <v/>
      </c>
      <c r="K151" s="23" t="s">
        <v>23</v>
      </c>
      <c r="L151" s="3" t="str">
        <f>IFERROR(MID(VLOOKUP($B151,Seqs!$A:$B,2,0),M151,1),"")</f>
        <v>S</v>
      </c>
      <c r="M151" s="3">
        <v>63</v>
      </c>
      <c r="N151" s="3" t="str">
        <f>IFERROR(MID(VLOOKUP($B151,Seqs!$A:$B,2,0),O151,1),"")</f>
        <v>A</v>
      </c>
      <c r="O151" s="3">
        <v>92</v>
      </c>
      <c r="P151" s="3" t="str">
        <f>IFERROR(MID(VLOOKUP($B151,Seqs!$A:$B,2,0),Q151,1),"")</f>
        <v>Q</v>
      </c>
      <c r="Q151" s="3">
        <v>93</v>
      </c>
      <c r="R151" s="3" t="str">
        <f>IFERROR(MID(VLOOKUP($B151,Seqs!$A:$B,2,0),S151,1),"")</f>
        <v>F</v>
      </c>
      <c r="S151" s="3">
        <v>96</v>
      </c>
      <c r="T151" s="3" t="str">
        <f>IFERROR(MID(VLOOKUP($B151,Seqs!$A:$B,2,0),U151,1),"")</f>
        <v>G</v>
      </c>
      <c r="U151" s="3">
        <v>97</v>
      </c>
      <c r="V151" s="3" t="str">
        <f>IFERROR(MID(VLOOKUP($B151,Seqs!$A:$B,2,0),W151,1),"")</f>
        <v>H</v>
      </c>
      <c r="W151" s="3">
        <v>132</v>
      </c>
      <c r="X151" s="3" t="str">
        <f>IFERROR(MID(VLOOKUP($B151,Seqs!$A:$B,2,0),Y151,1),"")</f>
        <v>A</v>
      </c>
      <c r="Y151" s="3">
        <v>133</v>
      </c>
      <c r="Z151" s="3" t="str">
        <f>IFERROR(MID(VLOOKUP($B151,Seqs!$A:$B,2,0),AA151,1),"")</f>
        <v>R</v>
      </c>
      <c r="AA151" s="3">
        <v>140</v>
      </c>
      <c r="AB151" s="3" t="str">
        <f>IFERROR(MID(VLOOKUP($B151,Seqs!$A:$B,2,0),AC151,1),"")</f>
        <v>T</v>
      </c>
      <c r="AC151" s="3">
        <v>141</v>
      </c>
      <c r="AD151" s="3" t="str">
        <f>IFERROR(MID(VLOOKUP($B151,Seqs!$A:$B,2,0),AE151,1),"")</f>
        <v>T</v>
      </c>
      <c r="AE151" s="3">
        <v>167</v>
      </c>
      <c r="AF151" s="3" t="str">
        <f>IFERROR(MID(VLOOKUP($B151,Seqs!$A:$B,2,0),AG151,1),"")</f>
        <v>C</v>
      </c>
      <c r="AG151" s="3">
        <v>178</v>
      </c>
      <c r="AH151" s="3" t="str">
        <f>IFERROR(MID(VLOOKUP($B151,Seqs!$A:$B,2,0),AI151,1),"")</f>
        <v>S</v>
      </c>
      <c r="AI151" s="3">
        <v>180</v>
      </c>
      <c r="AJ151" s="3" t="str">
        <f>IFERROR(MID(VLOOKUP($B151,Seqs!$A:$B,2,0),AK151,1),"")</f>
        <v>Q</v>
      </c>
      <c r="AK151" s="3">
        <v>186</v>
      </c>
      <c r="AL151" s="3" t="str">
        <f>IFERROR(MID(VLOOKUP($B151,Seqs!$A:$B,2,0),AM151,1),"")</f>
        <v>R</v>
      </c>
      <c r="AM151" s="3">
        <v>223</v>
      </c>
      <c r="AN151" s="3" t="str">
        <f>IFERROR(MID(VLOOKUP($B151,Seqs!$A:$B,2,0),AO151,1),"")</f>
        <v>E</v>
      </c>
      <c r="AO151" s="3">
        <v>227</v>
      </c>
      <c r="AP151" s="3" t="str">
        <f>IFERROR(MID(VLOOKUP($B151,Seqs!$A:$B,2,0),AQ151,1),"")</f>
        <v>Q</v>
      </c>
      <c r="AQ151" s="3">
        <v>261</v>
      </c>
      <c r="AR151" s="3" t="str">
        <f>IFERROR(MID(VLOOKUP($B151,Seqs!$A:$B,2,0),AS151,1),"")</f>
        <v>N</v>
      </c>
      <c r="AS151" s="3">
        <v>268</v>
      </c>
      <c r="AT151" s="3" t="str">
        <f>IFERROR(MID(VLOOKUP($B151,Seqs!$A:$B,2,0),AU151,1),"")</f>
        <v>V</v>
      </c>
      <c r="AU151" s="3">
        <v>300</v>
      </c>
      <c r="AV151" s="3" t="str">
        <f>IFERROR(MID(VLOOKUP($B151,Seqs!$A:$B,2,0),AW151,1),"")</f>
        <v>G</v>
      </c>
      <c r="AW151" s="3">
        <v>301</v>
      </c>
      <c r="AX151" s="3" t="str">
        <f>IFERROR(MID(VLOOKUP($B151,Seqs!$A:$B,2,0),AY151,1),"")</f>
        <v>I</v>
      </c>
      <c r="AY151" s="3">
        <v>316</v>
      </c>
      <c r="AZ151" s="77" t="str">
        <f>VLOOKUP(B151,Classification!A:D,2,0)</f>
        <v>A</v>
      </c>
      <c r="BA151" s="94" t="str">
        <f>VLOOKUP(B151,Classification!A:D,4,0)</f>
        <v>Chemokine</v>
      </c>
      <c r="BB151" s="27" t="b">
        <f>AND(E151&lt;G151,OR(G151&lt;I151,I151="-"),OR(I151&lt;K151,I151="-"),OR(K151&lt;M151,K151="-"),M151&lt;O151,OR(O151&lt;Q151,Q151="-"),OR(Q151&lt;S151,Q151="-"),OR(S151&lt;U151,S151="-"),U151&lt;W151,OR(W151&lt;Y151,Y151="-"),OR(Y151&lt;AA151,Y151="-"),OR(AA151&lt;AC151,AA151="-"),AC151&lt;AE151,OR(AE151&lt;AG151,AG151="-"),OR(AG151&lt;AI151,AG151="-"),OR(AI151&lt;AK151,AI151="-"),AK151&lt;AM151,AM151&lt;AO151,AO151&lt;AQ151,AQ151&lt;AS151,AS151&lt;AU151,OR(AU151&lt;AW151,AW151="-"),OR(AW151&lt;AY151,AW151="-"))</f>
        <v>1</v>
      </c>
      <c r="BC151" s="23">
        <f>_xlfn.AGGREGATE(9,6,CH151:CS151)-_xlfn.AGGREGATE(9,6,BV151:CG151)+12</f>
        <v>268</v>
      </c>
      <c r="BD151" s="2" t="s">
        <v>1377</v>
      </c>
      <c r="BE151" s="3" t="s">
        <v>1375</v>
      </c>
      <c r="BF151" s="119">
        <v>2.2000000000000002</v>
      </c>
      <c r="BG151" s="49" t="s">
        <v>1378</v>
      </c>
      <c r="BH151" s="49" t="s">
        <v>1378</v>
      </c>
      <c r="BI151" s="1"/>
      <c r="BJ151" s="70" t="s">
        <v>1288</v>
      </c>
      <c r="BK151" s="57" t="s">
        <v>1288</v>
      </c>
      <c r="BL151" s="57" t="s">
        <v>1288</v>
      </c>
      <c r="BM151" s="57" t="s">
        <v>1288</v>
      </c>
      <c r="BN151" s="57" t="s">
        <v>1288</v>
      </c>
      <c r="BO151" s="57" t="s">
        <v>1288</v>
      </c>
      <c r="BP151" s="57" t="s">
        <v>1288</v>
      </c>
      <c r="BQ151" s="57" t="s">
        <v>1288</v>
      </c>
      <c r="BR151" s="57" t="s">
        <v>1288</v>
      </c>
      <c r="BS151" s="57" t="s">
        <v>1288</v>
      </c>
      <c r="BT151" s="57" t="s">
        <v>1288</v>
      </c>
      <c r="BU151" s="57" t="s">
        <v>1288</v>
      </c>
      <c r="BV151" s="70">
        <f>E151</f>
        <v>22</v>
      </c>
      <c r="BW151" s="71" t="str">
        <f>I151</f>
        <v>-</v>
      </c>
      <c r="BX151" s="72">
        <f>M151</f>
        <v>63</v>
      </c>
      <c r="BY151" s="71">
        <f>Q151</f>
        <v>93</v>
      </c>
      <c r="BZ151" s="72">
        <f>U151</f>
        <v>97</v>
      </c>
      <c r="CA151" s="71">
        <f>Y151</f>
        <v>133</v>
      </c>
      <c r="CB151" s="72">
        <f>AC151</f>
        <v>141</v>
      </c>
      <c r="CC151" s="71">
        <f>AG151</f>
        <v>178</v>
      </c>
      <c r="CD151" s="72">
        <f>AK151</f>
        <v>186</v>
      </c>
      <c r="CE151" s="71">
        <f>AO151</f>
        <v>227</v>
      </c>
      <c r="CF151" s="72">
        <f>AS151</f>
        <v>268</v>
      </c>
      <c r="CG151" s="71">
        <f>AW151</f>
        <v>301</v>
      </c>
      <c r="CH151" s="70">
        <f>G151</f>
        <v>58</v>
      </c>
      <c r="CI151" s="71" t="str">
        <f>K151</f>
        <v>-</v>
      </c>
      <c r="CJ151" s="72">
        <f>O151</f>
        <v>92</v>
      </c>
      <c r="CK151" s="72">
        <f>S151</f>
        <v>96</v>
      </c>
      <c r="CL151" s="72">
        <f>W151</f>
        <v>132</v>
      </c>
      <c r="CM151" s="72">
        <f>AA151</f>
        <v>140</v>
      </c>
      <c r="CN151" s="72">
        <f>AE151</f>
        <v>167</v>
      </c>
      <c r="CO151" s="72">
        <f>AI151</f>
        <v>180</v>
      </c>
      <c r="CP151" s="72">
        <f>AM151</f>
        <v>223</v>
      </c>
      <c r="CQ151" s="72">
        <f>AQ151</f>
        <v>261</v>
      </c>
      <c r="CR151" s="72">
        <f>AU151</f>
        <v>300</v>
      </c>
      <c r="CS151" s="72">
        <f>AY151</f>
        <v>316</v>
      </c>
      <c r="CT151" s="23" t="e">
        <f>M151-K151</f>
        <v>#VALUE!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30" s="12" customFormat="1" x14ac:dyDescent="0.2">
      <c r="A152" s="9" t="str">
        <f>CONCATENATE(B152,"_",C152)</f>
        <v>ccr5_human_6AKX</v>
      </c>
      <c r="B152" s="9" t="s">
        <v>173</v>
      </c>
      <c r="C152" s="9" t="s">
        <v>1525</v>
      </c>
      <c r="D152" s="9" t="str">
        <f>IFERROR(MID(VLOOKUP($B152,Seqs!$A:$B,2,0),E152,1),"")</f>
        <v>V</v>
      </c>
      <c r="E152" s="9">
        <v>25</v>
      </c>
      <c r="F152" s="9" t="str">
        <f>IFERROR(MID(VLOOKUP($B152,Seqs!$A:$B,2,0),G152,1),"")</f>
        <v>C</v>
      </c>
      <c r="G152" s="9">
        <v>58</v>
      </c>
      <c r="H152" s="9" t="str">
        <f>IFERROR(MID(VLOOKUP($B152,Seqs!$A:$B,2,0),I152,1),"")</f>
        <v/>
      </c>
      <c r="I152" s="109" t="s">
        <v>23</v>
      </c>
      <c r="J152" s="9" t="str">
        <f>IFERROR(MID(VLOOKUP($B152,Seqs!$A:$B,2,0),K152,1),"")</f>
        <v/>
      </c>
      <c r="K152" s="109" t="s">
        <v>23</v>
      </c>
      <c r="L152" s="9" t="str">
        <f>IFERROR(MID(VLOOKUP($B152,Seqs!$A:$B,2,0),M152,1),"")</f>
        <v>S</v>
      </c>
      <c r="M152" s="9">
        <v>63</v>
      </c>
      <c r="N152" s="9" t="str">
        <f>IFERROR(MID(VLOOKUP($B152,Seqs!$A:$B,2,0),O152,1),"")</f>
        <v>A</v>
      </c>
      <c r="O152" s="9">
        <v>92</v>
      </c>
      <c r="P152" s="9" t="str">
        <f>IFERROR(MID(VLOOKUP($B152,Seqs!$A:$B,2,0),Q152,1),"")</f>
        <v>Q</v>
      </c>
      <c r="Q152" s="9">
        <v>93</v>
      </c>
      <c r="R152" s="9" t="str">
        <f>IFERROR(MID(VLOOKUP($B152,Seqs!$A:$B,2,0),S152,1),"")</f>
        <v>F</v>
      </c>
      <c r="S152" s="9">
        <v>96</v>
      </c>
      <c r="T152" s="9" t="str">
        <f>IFERROR(MID(VLOOKUP($B152,Seqs!$A:$B,2,0),U152,1),"")</f>
        <v>G</v>
      </c>
      <c r="U152" s="9">
        <v>97</v>
      </c>
      <c r="V152" s="9" t="str">
        <f>IFERROR(MID(VLOOKUP($B152,Seqs!$A:$B,2,0),W152,1),"")</f>
        <v>H</v>
      </c>
      <c r="W152" s="9">
        <v>132</v>
      </c>
      <c r="X152" s="9" t="str">
        <f>IFERROR(MID(VLOOKUP($B152,Seqs!$A:$B,2,0),Y152,1),"")</f>
        <v>A</v>
      </c>
      <c r="Y152" s="9">
        <v>133</v>
      </c>
      <c r="Z152" s="9" t="str">
        <f>IFERROR(MID(VLOOKUP($B152,Seqs!$A:$B,2,0),AA152,1),"")</f>
        <v>R</v>
      </c>
      <c r="AA152" s="9">
        <v>140</v>
      </c>
      <c r="AB152" s="9" t="str">
        <f>IFERROR(MID(VLOOKUP($B152,Seqs!$A:$B,2,0),AC152,1),"")</f>
        <v>T</v>
      </c>
      <c r="AC152" s="9">
        <v>141</v>
      </c>
      <c r="AD152" s="9" t="str">
        <f>IFERROR(MID(VLOOKUP($B152,Seqs!$A:$B,2,0),AE152,1),"")</f>
        <v>T</v>
      </c>
      <c r="AE152" s="9">
        <v>167</v>
      </c>
      <c r="AF152" s="9" t="str">
        <f>IFERROR(MID(VLOOKUP($B152,Seqs!$A:$B,2,0),AG152,1),"")</f>
        <v>C</v>
      </c>
      <c r="AG152" s="9">
        <v>178</v>
      </c>
      <c r="AH152" s="9" t="str">
        <f>IFERROR(MID(VLOOKUP($B152,Seqs!$A:$B,2,0),AI152,1),"")</f>
        <v>S</v>
      </c>
      <c r="AI152" s="9">
        <v>180</v>
      </c>
      <c r="AJ152" s="9" t="str">
        <f>IFERROR(MID(VLOOKUP($B152,Seqs!$A:$B,2,0),AK152,1),"")</f>
        <v>Q</v>
      </c>
      <c r="AK152" s="9">
        <v>186</v>
      </c>
      <c r="AL152" s="9" t="str">
        <f>IFERROR(MID(VLOOKUP($B152,Seqs!$A:$B,2,0),AM152,1),"")</f>
        <v>R</v>
      </c>
      <c r="AM152" s="9">
        <v>223</v>
      </c>
      <c r="AN152" s="9" t="str">
        <f>IFERROR(MID(VLOOKUP($B152,Seqs!$A:$B,2,0),AO152,1),"")</f>
        <v>K</v>
      </c>
      <c r="AO152" s="9">
        <v>228</v>
      </c>
      <c r="AP152" s="9" t="str">
        <f>IFERROR(MID(VLOOKUP($B152,Seqs!$A:$B,2,0),AQ152,1),"")</f>
        <v>G</v>
      </c>
      <c r="AQ152" s="9">
        <v>265</v>
      </c>
      <c r="AR152" s="9" t="str">
        <f>IFERROR(MID(VLOOKUP($B152,Seqs!$A:$B,2,0),AS152,1),"")</f>
        <v>N</v>
      </c>
      <c r="AS152" s="9">
        <v>268</v>
      </c>
      <c r="AT152" s="9" t="str">
        <f>IFERROR(MID(VLOOKUP($B152,Seqs!$A:$B,2,0),AU152,1),"")</f>
        <v>V</v>
      </c>
      <c r="AU152" s="9">
        <v>300</v>
      </c>
      <c r="AV152" s="9" t="str">
        <f>IFERROR(MID(VLOOKUP($B152,Seqs!$A:$B,2,0),AW152,1),"")</f>
        <v>G</v>
      </c>
      <c r="AW152" s="9">
        <v>301</v>
      </c>
      <c r="AX152" s="9" t="str">
        <f>IFERROR(MID(VLOOKUP($B152,Seqs!$A:$B,2,0),AY152,1),"")</f>
        <v>Q</v>
      </c>
      <c r="AY152" s="9">
        <v>313</v>
      </c>
      <c r="AZ152" s="110" t="str">
        <f>VLOOKUP(B152,Classification!A:D,2,0)</f>
        <v>A</v>
      </c>
      <c r="BA152" s="98" t="str">
        <f>VLOOKUP(B152,Classification!A:D,4,0)</f>
        <v>Chemokine</v>
      </c>
      <c r="BB152" s="36" t="b">
        <f>AND(E152&lt;G152,OR(G152&lt;I152,I152="-"),OR(I152&lt;K152,I152="-"),OR(K152&lt;M152,K152="-"),M152&lt;O152,OR(O152&lt;Q152,Q152="-"),OR(Q152&lt;S152,Q152="-"),OR(S152&lt;U152,S152="-"),U152&lt;W152,OR(W152&lt;Y152,Y152="-"),OR(Y152&lt;AA152,Y152="-"),OR(AA152&lt;AC152,AA152="-"),AC152&lt;AE152,OR(AE152&lt;AG152,AG152="-"),OR(AG152&lt;AI152,AG152="-"),OR(AI152&lt;AK152,AI152="-"),AK152&lt;AM152,AM152&lt;AO152,AO152&lt;AQ152,AQ152&lt;AS152,AS152&lt;AU152,OR(AU152&lt;AW152,AW152="-"),OR(AW152&lt;AY152,AW152="-"))</f>
        <v>1</v>
      </c>
      <c r="BC152" s="109">
        <f>_xlfn.AGGREGATE(9,6,CH152:CS152)-_xlfn.AGGREGATE(9,6,BV152:CG152)+12</f>
        <v>265</v>
      </c>
      <c r="BD152" s="40" t="s">
        <v>23</v>
      </c>
      <c r="BE152" s="9" t="s">
        <v>1375</v>
      </c>
      <c r="BF152" s="120">
        <v>2.8</v>
      </c>
      <c r="BG152" s="51" t="s">
        <v>1282</v>
      </c>
      <c r="BH152" s="51" t="s">
        <v>1282</v>
      </c>
      <c r="BJ152" s="111" t="s">
        <v>1288</v>
      </c>
      <c r="BK152" s="112" t="s">
        <v>1288</v>
      </c>
      <c r="BL152" s="112" t="s">
        <v>1288</v>
      </c>
      <c r="BM152" s="112" t="s">
        <v>1288</v>
      </c>
      <c r="BN152" s="112" t="s">
        <v>1288</v>
      </c>
      <c r="BO152" s="112" t="s">
        <v>1288</v>
      </c>
      <c r="BP152" s="112" t="s">
        <v>1288</v>
      </c>
      <c r="BQ152" s="112" t="s">
        <v>1288</v>
      </c>
      <c r="BR152" s="112" t="s">
        <v>1288</v>
      </c>
      <c r="BS152" s="112" t="s">
        <v>1288</v>
      </c>
      <c r="BT152" s="112" t="s">
        <v>1288</v>
      </c>
      <c r="BU152" s="112" t="s">
        <v>1288</v>
      </c>
      <c r="BV152" s="111">
        <f>E152</f>
        <v>25</v>
      </c>
      <c r="BW152" s="113" t="str">
        <f>I152</f>
        <v>-</v>
      </c>
      <c r="BX152" s="114">
        <f>M152</f>
        <v>63</v>
      </c>
      <c r="BY152" s="113">
        <f>Q152</f>
        <v>93</v>
      </c>
      <c r="BZ152" s="114">
        <f>U152</f>
        <v>97</v>
      </c>
      <c r="CA152" s="113">
        <f>Y152</f>
        <v>133</v>
      </c>
      <c r="CB152" s="114">
        <f>AC152</f>
        <v>141</v>
      </c>
      <c r="CC152" s="113">
        <f>AG152</f>
        <v>178</v>
      </c>
      <c r="CD152" s="114">
        <f>AK152</f>
        <v>186</v>
      </c>
      <c r="CE152" s="113">
        <f>AO152</f>
        <v>228</v>
      </c>
      <c r="CF152" s="114">
        <f>AS152</f>
        <v>268</v>
      </c>
      <c r="CG152" s="113">
        <f>AW152</f>
        <v>301</v>
      </c>
      <c r="CH152" s="111">
        <f>G152</f>
        <v>58</v>
      </c>
      <c r="CI152" s="113" t="str">
        <f>K152</f>
        <v>-</v>
      </c>
      <c r="CJ152" s="114">
        <f>O152</f>
        <v>92</v>
      </c>
      <c r="CK152" s="114">
        <f>S152</f>
        <v>96</v>
      </c>
      <c r="CL152" s="114">
        <f>W152</f>
        <v>132</v>
      </c>
      <c r="CM152" s="114">
        <f>AA152</f>
        <v>140</v>
      </c>
      <c r="CN152" s="114">
        <f>AE152</f>
        <v>167</v>
      </c>
      <c r="CO152" s="114">
        <f>AI152</f>
        <v>180</v>
      </c>
      <c r="CP152" s="114">
        <f>AM152</f>
        <v>223</v>
      </c>
      <c r="CQ152" s="114">
        <f>AQ152</f>
        <v>265</v>
      </c>
      <c r="CR152" s="114">
        <f>AU152</f>
        <v>300</v>
      </c>
      <c r="CS152" s="114">
        <f>AY152</f>
        <v>313</v>
      </c>
      <c r="CT152" s="109" t="e">
        <f>M152-K152</f>
        <v>#VALUE!</v>
      </c>
    </row>
    <row r="153" spans="1:1030" s="12" customFormat="1" x14ac:dyDescent="0.2">
      <c r="A153" s="9" t="str">
        <f>CONCATENATE(B153,"_",C153)</f>
        <v>ccr5_human_6AKY</v>
      </c>
      <c r="B153" s="9" t="s">
        <v>173</v>
      </c>
      <c r="C153" s="9" t="s">
        <v>1526</v>
      </c>
      <c r="D153" s="9" t="str">
        <f>IFERROR(MID(VLOOKUP($B153,Seqs!$A:$B,2,0),E153,1),"")</f>
        <v>V</v>
      </c>
      <c r="E153" s="9">
        <v>25</v>
      </c>
      <c r="F153" s="9" t="str">
        <f>IFERROR(MID(VLOOKUP($B153,Seqs!$A:$B,2,0),G153,1),"")</f>
        <v>C</v>
      </c>
      <c r="G153" s="9">
        <v>58</v>
      </c>
      <c r="H153" s="9" t="str">
        <f>IFERROR(MID(VLOOKUP($B153,Seqs!$A:$B,2,0),I153,1),"")</f>
        <v/>
      </c>
      <c r="I153" s="109" t="s">
        <v>23</v>
      </c>
      <c r="J153" s="9" t="str">
        <f>IFERROR(MID(VLOOKUP($B153,Seqs!$A:$B,2,0),K153,1),"")</f>
        <v/>
      </c>
      <c r="K153" s="109" t="s">
        <v>23</v>
      </c>
      <c r="L153" s="9" t="str">
        <f>IFERROR(MID(VLOOKUP($B153,Seqs!$A:$B,2,0),M153,1),"")</f>
        <v>S</v>
      </c>
      <c r="M153" s="9">
        <v>63</v>
      </c>
      <c r="N153" s="9" t="str">
        <f>IFERROR(MID(VLOOKUP($B153,Seqs!$A:$B,2,0),O153,1),"")</f>
        <v>A</v>
      </c>
      <c r="O153" s="9">
        <v>92</v>
      </c>
      <c r="P153" s="9" t="str">
        <f>IFERROR(MID(VLOOKUP($B153,Seqs!$A:$B,2,0),Q153,1),"")</f>
        <v>Q</v>
      </c>
      <c r="Q153" s="9">
        <v>93</v>
      </c>
      <c r="R153" s="9" t="str">
        <f>IFERROR(MID(VLOOKUP($B153,Seqs!$A:$B,2,0),S153,1),"")</f>
        <v>F</v>
      </c>
      <c r="S153" s="9">
        <v>96</v>
      </c>
      <c r="T153" s="9" t="str">
        <f>IFERROR(MID(VLOOKUP($B153,Seqs!$A:$B,2,0),U153,1),"")</f>
        <v>G</v>
      </c>
      <c r="U153" s="9">
        <v>97</v>
      </c>
      <c r="V153" s="9" t="str">
        <f>IFERROR(MID(VLOOKUP($B153,Seqs!$A:$B,2,0),W153,1),"")</f>
        <v>H</v>
      </c>
      <c r="W153" s="9">
        <v>132</v>
      </c>
      <c r="X153" s="9" t="str">
        <f>IFERROR(MID(VLOOKUP($B153,Seqs!$A:$B,2,0),Y153,1),"")</f>
        <v>A</v>
      </c>
      <c r="Y153" s="9">
        <v>133</v>
      </c>
      <c r="Z153" s="9" t="str">
        <f>IFERROR(MID(VLOOKUP($B153,Seqs!$A:$B,2,0),AA153,1),"")</f>
        <v>R</v>
      </c>
      <c r="AA153" s="9">
        <v>140</v>
      </c>
      <c r="AB153" s="9" t="str">
        <f>IFERROR(MID(VLOOKUP($B153,Seqs!$A:$B,2,0),AC153,1),"")</f>
        <v>T</v>
      </c>
      <c r="AC153" s="9">
        <v>141</v>
      </c>
      <c r="AD153" s="9" t="str">
        <f>IFERROR(MID(VLOOKUP($B153,Seqs!$A:$B,2,0),AE153,1),"")</f>
        <v>T</v>
      </c>
      <c r="AE153" s="9">
        <v>167</v>
      </c>
      <c r="AF153" s="9" t="str">
        <f>IFERROR(MID(VLOOKUP($B153,Seqs!$A:$B,2,0),AG153,1),"")</f>
        <v>C</v>
      </c>
      <c r="AG153" s="9">
        <v>178</v>
      </c>
      <c r="AH153" s="9" t="str">
        <f>IFERROR(MID(VLOOKUP($B153,Seqs!$A:$B,2,0),AI153,1),"")</f>
        <v>S</v>
      </c>
      <c r="AI153" s="9">
        <v>180</v>
      </c>
      <c r="AJ153" s="9" t="str">
        <f>IFERROR(MID(VLOOKUP($B153,Seqs!$A:$B,2,0),AK153,1),"")</f>
        <v>Q</v>
      </c>
      <c r="AK153" s="9">
        <v>186</v>
      </c>
      <c r="AL153" s="9" t="str">
        <f>IFERROR(MID(VLOOKUP($B153,Seqs!$A:$B,2,0),AM153,1),"")</f>
        <v>R</v>
      </c>
      <c r="AM153" s="9">
        <v>223</v>
      </c>
      <c r="AN153" s="9" t="str">
        <f>IFERROR(MID(VLOOKUP($B153,Seqs!$A:$B,2,0),AO153,1),"")</f>
        <v>H</v>
      </c>
      <c r="AO153" s="9">
        <v>231</v>
      </c>
      <c r="AP153" s="9" t="str">
        <f>IFERROR(MID(VLOOKUP($B153,Seqs!$A:$B,2,0),AQ153,1),"")</f>
        <v>F</v>
      </c>
      <c r="AQ153" s="9">
        <v>260</v>
      </c>
      <c r="AR153" s="9" t="str">
        <f>IFERROR(MID(VLOOKUP($B153,Seqs!$A:$B,2,0),AS153,1),"")</f>
        <v>N</v>
      </c>
      <c r="AS153" s="9">
        <v>268</v>
      </c>
      <c r="AT153" s="9" t="str">
        <f>IFERROR(MID(VLOOKUP($B153,Seqs!$A:$B,2,0),AU153,1),"")</f>
        <v>V</v>
      </c>
      <c r="AU153" s="9">
        <v>300</v>
      </c>
      <c r="AV153" s="9" t="str">
        <f>IFERROR(MID(VLOOKUP($B153,Seqs!$A:$B,2,0),AW153,1),"")</f>
        <v>G</v>
      </c>
      <c r="AW153" s="9">
        <v>301</v>
      </c>
      <c r="AX153" s="9" t="str">
        <f>IFERROR(MID(VLOOKUP($B153,Seqs!$A:$B,2,0),AY153,1),"")</f>
        <v>L</v>
      </c>
      <c r="AY153" s="9">
        <v>308</v>
      </c>
      <c r="AZ153" s="110" t="str">
        <f>VLOOKUP(B153,Classification!A:D,2,0)</f>
        <v>A</v>
      </c>
      <c r="BA153" s="98" t="str">
        <f>VLOOKUP(B153,Classification!A:D,4,0)</f>
        <v>Chemokine</v>
      </c>
      <c r="BB153" s="36" t="b">
        <f>AND(E153&lt;G153,OR(G153&lt;I153,I153="-"),OR(I153&lt;K153,I153="-"),OR(K153&lt;M153,K153="-"),M153&lt;O153,OR(O153&lt;Q153,Q153="-"),OR(Q153&lt;S153,Q153="-"),OR(S153&lt;U153,S153="-"),U153&lt;W153,OR(W153&lt;Y153,Y153="-"),OR(Y153&lt;AA153,Y153="-"),OR(AA153&lt;AC153,AA153="-"),AC153&lt;AE153,OR(AE153&lt;AG153,AG153="-"),OR(AG153&lt;AI153,AG153="-"),OR(AI153&lt;AK153,AI153="-"),AK153&lt;AM153,AM153&lt;AO153,AO153&lt;AQ153,AQ153&lt;AS153,AS153&lt;AU153,OR(AU153&lt;AW153,AW153="-"),OR(AW153&lt;AY153,AW153="-"))</f>
        <v>1</v>
      </c>
      <c r="BC153" s="109">
        <f>_xlfn.AGGREGATE(9,6,CH153:CS153)-_xlfn.AGGREGATE(9,6,BV153:CG153)+12</f>
        <v>252</v>
      </c>
      <c r="BD153" s="40" t="s">
        <v>23</v>
      </c>
      <c r="BE153" s="9" t="s">
        <v>1375</v>
      </c>
      <c r="BF153" s="120">
        <v>2.8</v>
      </c>
      <c r="BG153" s="51" t="s">
        <v>1282</v>
      </c>
      <c r="BH153" s="51" t="s">
        <v>1282</v>
      </c>
      <c r="BJ153" s="111" t="s">
        <v>1288</v>
      </c>
      <c r="BK153" s="112" t="s">
        <v>1288</v>
      </c>
      <c r="BL153" s="112" t="s">
        <v>1288</v>
      </c>
      <c r="BM153" s="112" t="s">
        <v>1288</v>
      </c>
      <c r="BN153" s="112" t="s">
        <v>1288</v>
      </c>
      <c r="BO153" s="112" t="s">
        <v>1288</v>
      </c>
      <c r="BP153" s="112" t="s">
        <v>1288</v>
      </c>
      <c r="BQ153" s="112" t="s">
        <v>1288</v>
      </c>
      <c r="BR153" s="112" t="s">
        <v>1288</v>
      </c>
      <c r="BS153" s="112" t="s">
        <v>1288</v>
      </c>
      <c r="BT153" s="112" t="s">
        <v>1288</v>
      </c>
      <c r="BU153" s="112" t="s">
        <v>1288</v>
      </c>
      <c r="BV153" s="111">
        <f>E153</f>
        <v>25</v>
      </c>
      <c r="BW153" s="113" t="str">
        <f>I153</f>
        <v>-</v>
      </c>
      <c r="BX153" s="114">
        <f>M153</f>
        <v>63</v>
      </c>
      <c r="BY153" s="113">
        <f>Q153</f>
        <v>93</v>
      </c>
      <c r="BZ153" s="114">
        <f>U153</f>
        <v>97</v>
      </c>
      <c r="CA153" s="113">
        <f>Y153</f>
        <v>133</v>
      </c>
      <c r="CB153" s="114">
        <f>AC153</f>
        <v>141</v>
      </c>
      <c r="CC153" s="113">
        <f>AG153</f>
        <v>178</v>
      </c>
      <c r="CD153" s="114">
        <f>AK153</f>
        <v>186</v>
      </c>
      <c r="CE153" s="113">
        <f>AO153</f>
        <v>231</v>
      </c>
      <c r="CF153" s="114">
        <f>AS153</f>
        <v>268</v>
      </c>
      <c r="CG153" s="113">
        <f>AW153</f>
        <v>301</v>
      </c>
      <c r="CH153" s="111">
        <f>G153</f>
        <v>58</v>
      </c>
      <c r="CI153" s="113" t="str">
        <f>K153</f>
        <v>-</v>
      </c>
      <c r="CJ153" s="114">
        <f>O153</f>
        <v>92</v>
      </c>
      <c r="CK153" s="114">
        <f>S153</f>
        <v>96</v>
      </c>
      <c r="CL153" s="114">
        <f>W153</f>
        <v>132</v>
      </c>
      <c r="CM153" s="114">
        <f>AA153</f>
        <v>140</v>
      </c>
      <c r="CN153" s="114">
        <f>AE153</f>
        <v>167</v>
      </c>
      <c r="CO153" s="114">
        <f>AI153</f>
        <v>180</v>
      </c>
      <c r="CP153" s="114">
        <f>AM153</f>
        <v>223</v>
      </c>
      <c r="CQ153" s="114">
        <f>AQ153</f>
        <v>260</v>
      </c>
      <c r="CR153" s="114">
        <f>AU153</f>
        <v>300</v>
      </c>
      <c r="CS153" s="114">
        <f>AY153</f>
        <v>308</v>
      </c>
      <c r="CT153" s="109" t="e">
        <f>M153-K153</f>
        <v>#VALUE!</v>
      </c>
    </row>
    <row r="154" spans="1:1030" s="12" customFormat="1" x14ac:dyDescent="0.2">
      <c r="A154" s="9" t="str">
        <f>CONCATENATE(B154,"_",C154)</f>
        <v>ccr5_human_6MEO</v>
      </c>
      <c r="B154" s="9" t="s">
        <v>173</v>
      </c>
      <c r="C154" s="9" t="s">
        <v>1542</v>
      </c>
      <c r="D154" s="9" t="str">
        <f>IFERROR(MID(VLOOKUP($B154,Seqs!$A:$B,2,0),E154,1),"")</f>
        <v>K</v>
      </c>
      <c r="E154" s="9">
        <v>26</v>
      </c>
      <c r="F154" s="9" t="str">
        <f>IFERROR(MID(VLOOKUP($B154,Seqs!$A:$B,2,0),G154,1),"")</f>
        <v>R</v>
      </c>
      <c r="G154" s="9">
        <v>60</v>
      </c>
      <c r="H154" s="9" t="str">
        <f>IFERROR(MID(VLOOKUP($B154,Seqs!$A:$B,2,0),I154,1),"")</f>
        <v/>
      </c>
      <c r="I154" s="109" t="s">
        <v>23</v>
      </c>
      <c r="J154" s="9" t="str">
        <f>IFERROR(MID(VLOOKUP($B154,Seqs!$A:$B,2,0),K154,1),"")</f>
        <v/>
      </c>
      <c r="K154" s="109" t="s">
        <v>23</v>
      </c>
      <c r="L154" s="9" t="str">
        <f>IFERROR(MID(VLOOKUP($B154,Seqs!$A:$B,2,0),M154,1),"")</f>
        <v>S</v>
      </c>
      <c r="M154" s="9">
        <v>63</v>
      </c>
      <c r="N154" s="9" t="str">
        <f>IFERROR(MID(VLOOKUP($B154,Seqs!$A:$B,2,0),O154,1),"")</f>
        <v>A</v>
      </c>
      <c r="O154" s="9">
        <v>90</v>
      </c>
      <c r="P154" s="9" t="str">
        <f>IFERROR(MID(VLOOKUP($B154,Seqs!$A:$B,2,0),Q154,1),"")</f>
        <v>Q</v>
      </c>
      <c r="Q154" s="9">
        <v>93</v>
      </c>
      <c r="R154" s="9" t="str">
        <f>IFERROR(MID(VLOOKUP($B154,Seqs!$A:$B,2,0),S154,1),"")</f>
        <v>F</v>
      </c>
      <c r="S154" s="9">
        <v>96</v>
      </c>
      <c r="T154" s="9" t="str">
        <f>IFERROR(MID(VLOOKUP($B154,Seqs!$A:$B,2,0),U154,1),"")</f>
        <v>M</v>
      </c>
      <c r="U154" s="9">
        <v>100</v>
      </c>
      <c r="V154" s="9" t="str">
        <f>IFERROR(MID(VLOOKUP($B154,Seqs!$A:$B,2,0),W154,1),"")</f>
        <v>H</v>
      </c>
      <c r="W154" s="9">
        <v>132</v>
      </c>
      <c r="X154" s="9" t="str">
        <f>IFERROR(MID(VLOOKUP($B154,Seqs!$A:$B,2,0),Y154,1),"")</f>
        <v>A</v>
      </c>
      <c r="Y154" s="9">
        <v>133</v>
      </c>
      <c r="Z154" s="9" t="str">
        <f>IFERROR(MID(VLOOKUP($B154,Seqs!$A:$B,2,0),AA154,1),"")</f>
        <v>R</v>
      </c>
      <c r="AA154" s="9">
        <v>140</v>
      </c>
      <c r="AB154" s="9" t="str">
        <f>IFERROR(MID(VLOOKUP($B154,Seqs!$A:$B,2,0),AC154,1),"")</f>
        <v>T</v>
      </c>
      <c r="AC154" s="9">
        <v>141</v>
      </c>
      <c r="AD154" s="9" t="str">
        <f>IFERROR(MID(VLOOKUP($B154,Seqs!$A:$B,2,0),AE154,1),"")</f>
        <v>I</v>
      </c>
      <c r="AE154" s="9">
        <v>165</v>
      </c>
      <c r="AF154" s="9" t="str">
        <f>IFERROR(MID(VLOOKUP($B154,Seqs!$A:$B,2,0),AG154,1),"")</f>
        <v>C</v>
      </c>
      <c r="AG154" s="9">
        <v>178</v>
      </c>
      <c r="AH154" s="9" t="str">
        <f>IFERROR(MID(VLOOKUP($B154,Seqs!$A:$B,2,0),AI154,1),"")</f>
        <v>S</v>
      </c>
      <c r="AI154" s="9">
        <v>180</v>
      </c>
      <c r="AJ154" s="9" t="str">
        <f>IFERROR(MID(VLOOKUP($B154,Seqs!$A:$B,2,0),AK154,1),"")</f>
        <v>Q</v>
      </c>
      <c r="AK154" s="9">
        <v>186</v>
      </c>
      <c r="AL154" s="9" t="str">
        <f>IFERROR(MID(VLOOKUP($B154,Seqs!$A:$B,2,0),AM154,1),"")</f>
        <v>C</v>
      </c>
      <c r="AM154" s="9">
        <v>224</v>
      </c>
      <c r="AN154" s="9" t="str">
        <f>IFERROR(MID(VLOOKUP($B154,Seqs!$A:$B,2,0),AO154,1),"")</f>
        <v>K</v>
      </c>
      <c r="AO154" s="9">
        <v>228</v>
      </c>
      <c r="AP154" s="9" t="str">
        <f>IFERROR(MID(VLOOKUP($B154,Seqs!$A:$B,2,0),AQ154,1),"")</f>
        <v>F</v>
      </c>
      <c r="AQ154" s="9">
        <v>260</v>
      </c>
      <c r="AR154" s="9" t="str">
        <f>IFERROR(MID(VLOOKUP($B154,Seqs!$A:$B,2,0),AS154,1),"")</f>
        <v>N</v>
      </c>
      <c r="AS154" s="9">
        <v>268</v>
      </c>
      <c r="AT154" s="9" t="str">
        <f>IFERROR(MID(VLOOKUP($B154,Seqs!$A:$B,2,0),AU154,1),"")</f>
        <v>V</v>
      </c>
      <c r="AU154" s="9">
        <v>300</v>
      </c>
      <c r="AV154" s="9" t="str">
        <f>IFERROR(MID(VLOOKUP($B154,Seqs!$A:$B,2,0),AW154,1),"")</f>
        <v/>
      </c>
      <c r="AW154" s="9" t="s">
        <v>23</v>
      </c>
      <c r="AX154" s="9" t="str">
        <f>IFERROR(MID(VLOOKUP($B154,Seqs!$A:$B,2,0),AY154,1),"")</f>
        <v/>
      </c>
      <c r="AY154" s="9" t="s">
        <v>23</v>
      </c>
      <c r="AZ154" s="110" t="str">
        <f>VLOOKUP(B154,Classification!A:D,2,0)</f>
        <v>A</v>
      </c>
      <c r="BA154" s="98" t="str">
        <f>VLOOKUP(B154,Classification!A:D,4,0)</f>
        <v>Chemokine</v>
      </c>
      <c r="BB154" s="36" t="b">
        <f>AND(E154&lt;G154,OR(G154&lt;I154,I154="-"),OR(I154&lt;K154,I154="-"),OR(K154&lt;M154,K154="-"),M154&lt;O154,OR(O154&lt;Q154,Q154="-"),OR(Q154&lt;S154,Q154="-"),OR(S154&lt;U154,S154="-"),U154&lt;W154,OR(W154&lt;Y154,Y154="-"),OR(Y154&lt;AA154,Y154="-"),OR(AA154&lt;AC154,AA154="-"),AC154&lt;AE154,OR(AE154&lt;AG154,AG154="-"),OR(AG154&lt;AI154,AG154="-"),OR(AI154&lt;AK154,AI154="-"),AK154&lt;AM154,AM154&lt;AO154,AO154&lt;AQ154,AQ154&lt;AS154,AS154&lt;AU154,OR(AU154&lt;AW154,AW154="-"),OR(AW154&lt;AY154,AW154="-"))</f>
        <v>1</v>
      </c>
      <c r="BC154" s="109">
        <f>_xlfn.AGGREGATE(9,6,CH154:CS154)-_xlfn.AGGREGATE(9,6,BV154:CG154)+12</f>
        <v>243</v>
      </c>
      <c r="BD154" s="40" t="s">
        <v>23</v>
      </c>
      <c r="BE154" s="9" t="s">
        <v>1375</v>
      </c>
      <c r="BF154" s="120">
        <v>3.9</v>
      </c>
      <c r="BG154" s="51" t="s">
        <v>1282</v>
      </c>
      <c r="BH154" s="51" t="s">
        <v>1282</v>
      </c>
      <c r="BJ154" s="111" t="s">
        <v>1288</v>
      </c>
      <c r="BK154" s="112" t="s">
        <v>1288</v>
      </c>
      <c r="BL154" s="112" t="s">
        <v>1288</v>
      </c>
      <c r="BM154" s="112" t="s">
        <v>1288</v>
      </c>
      <c r="BN154" s="112" t="s">
        <v>1288</v>
      </c>
      <c r="BO154" s="112" t="s">
        <v>1288</v>
      </c>
      <c r="BP154" s="112" t="s">
        <v>1288</v>
      </c>
      <c r="BQ154" s="112" t="s">
        <v>1288</v>
      </c>
      <c r="BR154" s="112" t="s">
        <v>1288</v>
      </c>
      <c r="BS154" s="112" t="s">
        <v>1288</v>
      </c>
      <c r="BT154" s="112" t="s">
        <v>1288</v>
      </c>
      <c r="BU154" s="112" t="s">
        <v>1288</v>
      </c>
      <c r="BV154" s="111">
        <f>E154</f>
        <v>26</v>
      </c>
      <c r="BW154" s="113" t="str">
        <f>I154</f>
        <v>-</v>
      </c>
      <c r="BX154" s="114">
        <f>M154</f>
        <v>63</v>
      </c>
      <c r="BY154" s="113">
        <f>Q154</f>
        <v>93</v>
      </c>
      <c r="BZ154" s="114">
        <f>U154</f>
        <v>100</v>
      </c>
      <c r="CA154" s="113">
        <f>Y154</f>
        <v>133</v>
      </c>
      <c r="CB154" s="114">
        <f>AC154</f>
        <v>141</v>
      </c>
      <c r="CC154" s="113">
        <f>AG154</f>
        <v>178</v>
      </c>
      <c r="CD154" s="114">
        <f>AK154</f>
        <v>186</v>
      </c>
      <c r="CE154" s="113">
        <f>AO154</f>
        <v>228</v>
      </c>
      <c r="CF154" s="114">
        <f>AS154</f>
        <v>268</v>
      </c>
      <c r="CG154" s="113" t="str">
        <f>AW154</f>
        <v>-</v>
      </c>
      <c r="CH154" s="111">
        <f>G154</f>
        <v>60</v>
      </c>
      <c r="CI154" s="113" t="str">
        <f>K154</f>
        <v>-</v>
      </c>
      <c r="CJ154" s="114">
        <f>O154</f>
        <v>90</v>
      </c>
      <c r="CK154" s="114">
        <f>S154</f>
        <v>96</v>
      </c>
      <c r="CL154" s="114">
        <f>W154</f>
        <v>132</v>
      </c>
      <c r="CM154" s="114">
        <f>AA154</f>
        <v>140</v>
      </c>
      <c r="CN154" s="114">
        <f>AE154</f>
        <v>165</v>
      </c>
      <c r="CO154" s="114">
        <f>AI154</f>
        <v>180</v>
      </c>
      <c r="CP154" s="114">
        <f>AM154</f>
        <v>224</v>
      </c>
      <c r="CQ154" s="114">
        <f>AQ154</f>
        <v>260</v>
      </c>
      <c r="CR154" s="114">
        <f>AU154</f>
        <v>300</v>
      </c>
      <c r="CS154" s="114" t="str">
        <f>AY154</f>
        <v>-</v>
      </c>
      <c r="CT154" s="109" t="e">
        <f>M154-K154</f>
        <v>#VALUE!</v>
      </c>
    </row>
    <row r="155" spans="1:1030" s="12" customFormat="1" x14ac:dyDescent="0.2">
      <c r="A155" s="9" t="str">
        <f>CONCATENATE(B155,"_",C155)</f>
        <v>ccr5_human_6MET</v>
      </c>
      <c r="B155" s="9" t="s">
        <v>173</v>
      </c>
      <c r="C155" s="9" t="s">
        <v>1541</v>
      </c>
      <c r="D155" s="9" t="str">
        <f>IFERROR(MID(VLOOKUP($B155,Seqs!$A:$B,2,0),E155,1),"")</f>
        <v>K</v>
      </c>
      <c r="E155" s="9">
        <v>26</v>
      </c>
      <c r="F155" s="9" t="str">
        <f>IFERROR(MID(VLOOKUP($B155,Seqs!$A:$B,2,0),G155,1),"")</f>
        <v>R</v>
      </c>
      <c r="G155" s="9">
        <v>60</v>
      </c>
      <c r="H155" s="9" t="str">
        <f>IFERROR(MID(VLOOKUP($B155,Seqs!$A:$B,2,0),I155,1),"")</f>
        <v/>
      </c>
      <c r="I155" s="109" t="s">
        <v>23</v>
      </c>
      <c r="J155" s="9" t="str">
        <f>IFERROR(MID(VLOOKUP($B155,Seqs!$A:$B,2,0),K155,1),"")</f>
        <v/>
      </c>
      <c r="K155" s="109" t="s">
        <v>23</v>
      </c>
      <c r="L155" s="9" t="str">
        <f>IFERROR(MID(VLOOKUP($B155,Seqs!$A:$B,2,0),M155,1),"")</f>
        <v>S</v>
      </c>
      <c r="M155" s="9">
        <v>63</v>
      </c>
      <c r="N155" s="9" t="str">
        <f>IFERROR(MID(VLOOKUP($B155,Seqs!$A:$B,2,0),O155,1),"")</f>
        <v>A</v>
      </c>
      <c r="O155" s="9">
        <v>90</v>
      </c>
      <c r="P155" s="9" t="str">
        <f>IFERROR(MID(VLOOKUP($B155,Seqs!$A:$B,2,0),Q155,1),"")</f>
        <v>Q</v>
      </c>
      <c r="Q155" s="9">
        <v>93</v>
      </c>
      <c r="R155" s="9" t="str">
        <f>IFERROR(MID(VLOOKUP($B155,Seqs!$A:$B,2,0),S155,1),"")</f>
        <v>F</v>
      </c>
      <c r="S155" s="9">
        <v>96</v>
      </c>
      <c r="T155" s="9" t="str">
        <f>IFERROR(MID(VLOOKUP($B155,Seqs!$A:$B,2,0),U155,1),"")</f>
        <v>M</v>
      </c>
      <c r="U155" s="9">
        <v>100</v>
      </c>
      <c r="V155" s="9" t="str">
        <f>IFERROR(MID(VLOOKUP($B155,Seqs!$A:$B,2,0),W155,1),"")</f>
        <v>H</v>
      </c>
      <c r="W155" s="9">
        <v>132</v>
      </c>
      <c r="X155" s="9" t="str">
        <f>IFERROR(MID(VLOOKUP($B155,Seqs!$A:$B,2,0),Y155,1),"")</f>
        <v>A</v>
      </c>
      <c r="Y155" s="9">
        <v>133</v>
      </c>
      <c r="Z155" s="9" t="str">
        <f>IFERROR(MID(VLOOKUP($B155,Seqs!$A:$B,2,0),AA155,1),"")</f>
        <v>R</v>
      </c>
      <c r="AA155" s="9">
        <v>140</v>
      </c>
      <c r="AB155" s="9" t="str">
        <f>IFERROR(MID(VLOOKUP($B155,Seqs!$A:$B,2,0),AC155,1),"")</f>
        <v>T</v>
      </c>
      <c r="AC155" s="9">
        <v>141</v>
      </c>
      <c r="AD155" s="9" t="str">
        <f>IFERROR(MID(VLOOKUP($B155,Seqs!$A:$B,2,0),AE155,1),"")</f>
        <v>I</v>
      </c>
      <c r="AE155" s="9">
        <v>165</v>
      </c>
      <c r="AF155" s="9" t="str">
        <f>IFERROR(MID(VLOOKUP($B155,Seqs!$A:$B,2,0),AG155,1),"")</f>
        <v>C</v>
      </c>
      <c r="AG155" s="9">
        <v>178</v>
      </c>
      <c r="AH155" s="9" t="str">
        <f>IFERROR(MID(VLOOKUP($B155,Seqs!$A:$B,2,0),AI155,1),"")</f>
        <v>S</v>
      </c>
      <c r="AI155" s="9">
        <v>180</v>
      </c>
      <c r="AJ155" s="9" t="str">
        <f>IFERROR(MID(VLOOKUP($B155,Seqs!$A:$B,2,0),AK155,1),"")</f>
        <v>Q</v>
      </c>
      <c r="AK155" s="9">
        <v>186</v>
      </c>
      <c r="AL155" s="9" t="str">
        <f>IFERROR(MID(VLOOKUP($B155,Seqs!$A:$B,2,0),AM155,1),"")</f>
        <v>C</v>
      </c>
      <c r="AM155" s="9">
        <v>224</v>
      </c>
      <c r="AN155" s="9" t="str">
        <f>IFERROR(MID(VLOOKUP($B155,Seqs!$A:$B,2,0),AO155,1),"")</f>
        <v>K</v>
      </c>
      <c r="AO155" s="9">
        <v>228</v>
      </c>
      <c r="AP155" s="9" t="str">
        <f>IFERROR(MID(VLOOKUP($B155,Seqs!$A:$B,2,0),AQ155,1),"")</f>
        <v>F</v>
      </c>
      <c r="AQ155" s="9">
        <v>260</v>
      </c>
      <c r="AR155" s="9" t="str">
        <f>IFERROR(MID(VLOOKUP($B155,Seqs!$A:$B,2,0),AS155,1),"")</f>
        <v>N</v>
      </c>
      <c r="AS155" s="9">
        <v>268</v>
      </c>
      <c r="AT155" s="9" t="str">
        <f>IFERROR(MID(VLOOKUP($B155,Seqs!$A:$B,2,0),AU155,1),"")</f>
        <v>V</v>
      </c>
      <c r="AU155" s="9">
        <v>300</v>
      </c>
      <c r="AV155" s="9" t="str">
        <f>IFERROR(MID(VLOOKUP($B155,Seqs!$A:$B,2,0),AW155,1),"")</f>
        <v/>
      </c>
      <c r="AW155" s="9" t="s">
        <v>23</v>
      </c>
      <c r="AX155" s="9" t="str">
        <f>IFERROR(MID(VLOOKUP($B155,Seqs!$A:$B,2,0),AY155,1),"")</f>
        <v/>
      </c>
      <c r="AY155" s="9" t="s">
        <v>23</v>
      </c>
      <c r="AZ155" s="110" t="str">
        <f>VLOOKUP(B155,Classification!A:D,2,0)</f>
        <v>A</v>
      </c>
      <c r="BA155" s="98" t="str">
        <f>VLOOKUP(B155,Classification!A:D,4,0)</f>
        <v>Chemokine</v>
      </c>
      <c r="BB155" s="36" t="b">
        <f>AND(E155&lt;G155,OR(G155&lt;I155,I155="-"),OR(I155&lt;K155,I155="-"),OR(K155&lt;M155,K155="-"),M155&lt;O155,OR(O155&lt;Q155,Q155="-"),OR(Q155&lt;S155,Q155="-"),OR(S155&lt;U155,S155="-"),U155&lt;W155,OR(W155&lt;Y155,Y155="-"),OR(Y155&lt;AA155,Y155="-"),OR(AA155&lt;AC155,AA155="-"),AC155&lt;AE155,OR(AE155&lt;AG155,AG155="-"),OR(AG155&lt;AI155,AG155="-"),OR(AI155&lt;AK155,AI155="-"),AK155&lt;AM155,AM155&lt;AO155,AO155&lt;AQ155,AQ155&lt;AS155,AS155&lt;AU155,OR(AU155&lt;AW155,AW155="-"),OR(AW155&lt;AY155,AW155="-"))</f>
        <v>1</v>
      </c>
      <c r="BC155" s="109">
        <f>_xlfn.AGGREGATE(9,6,CH155:CS155)-_xlfn.AGGREGATE(9,6,BV155:CG155)+12</f>
        <v>243</v>
      </c>
      <c r="BD155" s="40" t="s">
        <v>23</v>
      </c>
      <c r="BE155" s="9" t="s">
        <v>1375</v>
      </c>
      <c r="BF155" s="120">
        <v>4.5</v>
      </c>
      <c r="BG155" s="51" t="s">
        <v>1282</v>
      </c>
      <c r="BH155" s="51" t="s">
        <v>1282</v>
      </c>
      <c r="BJ155" s="111" t="s">
        <v>1288</v>
      </c>
      <c r="BK155" s="112" t="s">
        <v>1288</v>
      </c>
      <c r="BL155" s="112" t="s">
        <v>1288</v>
      </c>
      <c r="BM155" s="112" t="s">
        <v>1288</v>
      </c>
      <c r="BN155" s="112" t="s">
        <v>1288</v>
      </c>
      <c r="BO155" s="112" t="s">
        <v>1288</v>
      </c>
      <c r="BP155" s="112" t="s">
        <v>1288</v>
      </c>
      <c r="BQ155" s="112" t="s">
        <v>1288</v>
      </c>
      <c r="BR155" s="112" t="s">
        <v>1288</v>
      </c>
      <c r="BS155" s="112" t="s">
        <v>1288</v>
      </c>
      <c r="BT155" s="112" t="s">
        <v>1288</v>
      </c>
      <c r="BU155" s="112" t="s">
        <v>1288</v>
      </c>
      <c r="BV155" s="111">
        <f>E155</f>
        <v>26</v>
      </c>
      <c r="BW155" s="113" t="str">
        <f>I155</f>
        <v>-</v>
      </c>
      <c r="BX155" s="114">
        <f>M155</f>
        <v>63</v>
      </c>
      <c r="BY155" s="113">
        <f>Q155</f>
        <v>93</v>
      </c>
      <c r="BZ155" s="114">
        <f>U155</f>
        <v>100</v>
      </c>
      <c r="CA155" s="113">
        <f>Y155</f>
        <v>133</v>
      </c>
      <c r="CB155" s="114">
        <f>AC155</f>
        <v>141</v>
      </c>
      <c r="CC155" s="113">
        <f>AG155</f>
        <v>178</v>
      </c>
      <c r="CD155" s="114">
        <f>AK155</f>
        <v>186</v>
      </c>
      <c r="CE155" s="113">
        <f>AO155</f>
        <v>228</v>
      </c>
      <c r="CF155" s="114">
        <f>AS155</f>
        <v>268</v>
      </c>
      <c r="CG155" s="113" t="str">
        <f>AW155</f>
        <v>-</v>
      </c>
      <c r="CH155" s="111">
        <f>G155</f>
        <v>60</v>
      </c>
      <c r="CI155" s="113" t="str">
        <f>K155</f>
        <v>-</v>
      </c>
      <c r="CJ155" s="114">
        <f>O155</f>
        <v>90</v>
      </c>
      <c r="CK155" s="114">
        <f>S155</f>
        <v>96</v>
      </c>
      <c r="CL155" s="114">
        <f>W155</f>
        <v>132</v>
      </c>
      <c r="CM155" s="114">
        <f>AA155</f>
        <v>140</v>
      </c>
      <c r="CN155" s="114">
        <f>AE155</f>
        <v>165</v>
      </c>
      <c r="CO155" s="114">
        <f>AI155</f>
        <v>180</v>
      </c>
      <c r="CP155" s="114">
        <f>AM155</f>
        <v>224</v>
      </c>
      <c r="CQ155" s="114">
        <f>AQ155</f>
        <v>260</v>
      </c>
      <c r="CR155" s="114">
        <f>AU155</f>
        <v>300</v>
      </c>
      <c r="CS155" s="114" t="str">
        <f>AY155</f>
        <v>-</v>
      </c>
      <c r="CT155" s="109" t="e">
        <f>M155-K155</f>
        <v>#VALUE!</v>
      </c>
    </row>
    <row r="156" spans="1:1030" x14ac:dyDescent="0.2">
      <c r="A156" s="3" t="str">
        <f t="shared" si="811"/>
        <v>ccr9_human__wt</v>
      </c>
      <c r="B156" s="3" t="s">
        <v>177</v>
      </c>
      <c r="C156" s="3" t="s">
        <v>100</v>
      </c>
      <c r="D156" s="3" t="str">
        <f>IFERROR(MID(VLOOKUP($B156,Seqs!$A:$B,2,0),E156,1),"")</f>
        <v>V</v>
      </c>
      <c r="E156" s="3">
        <v>43</v>
      </c>
      <c r="F156" s="3" t="str">
        <f>IFERROR(MID(VLOOKUP($B156,Seqs!$A:$B,2,0),G156,1),"")</f>
        <v>C</v>
      </c>
      <c r="G156" s="3">
        <v>76</v>
      </c>
      <c r="H156" s="3" t="str">
        <f>IFERROR(MID(VLOOKUP($B156,Seqs!$A:$B,2,0),I156,1),"")</f>
        <v>T</v>
      </c>
      <c r="I156" s="23">
        <v>77</v>
      </c>
      <c r="J156" s="3" t="str">
        <f>IFERROR(MID(VLOOKUP($B156,Seqs!$A:$B,2,0),K156,1),"")</f>
        <v>K</v>
      </c>
      <c r="K156" s="23">
        <v>80</v>
      </c>
      <c r="L156" s="3" t="str">
        <f>IFERROR(MID(VLOOKUP($B156,Seqs!$A:$B,2,0),M156,1),"")</f>
        <v>T</v>
      </c>
      <c r="M156" s="3">
        <v>81</v>
      </c>
      <c r="N156" s="3" t="str">
        <f>IFERROR(MID(VLOOKUP($B156,Seqs!$A:$B,2,0),O156,1),"")</f>
        <v>D</v>
      </c>
      <c r="O156" s="3">
        <v>110</v>
      </c>
      <c r="P156" s="3" t="str">
        <f>IFERROR(MID(VLOOKUP($B156,Seqs!$A:$B,2,0),Q156,1),"")</f>
        <v>Q</v>
      </c>
      <c r="Q156" s="3">
        <v>111</v>
      </c>
      <c r="R156" s="3" t="str">
        <f>IFERROR(MID(VLOOKUP($B156,Seqs!$A:$B,2,0),S156,1),"")</f>
        <v>F</v>
      </c>
      <c r="S156" s="3">
        <v>114</v>
      </c>
      <c r="T156" s="3" t="str">
        <f>IFERROR(MID(VLOOKUP($B156,Seqs!$A:$B,2,0),U156,1),"")</f>
        <v>Q</v>
      </c>
      <c r="U156" s="3">
        <v>115</v>
      </c>
      <c r="V156" s="3" t="str">
        <f>IFERROR(MID(VLOOKUP($B156,Seqs!$A:$B,2,0),W156,1),"")</f>
        <v>Q</v>
      </c>
      <c r="W156" s="3">
        <v>150</v>
      </c>
      <c r="X156" s="3" t="str">
        <f>IFERROR(MID(VLOOKUP($B156,Seqs!$A:$B,2,0),Y156,1),"")</f>
        <v>A</v>
      </c>
      <c r="Y156" s="3">
        <v>151</v>
      </c>
      <c r="Z156" s="3" t="str">
        <f>IFERROR(MID(VLOOKUP($B156,Seqs!$A:$B,2,0),AA156,1),"")</f>
        <v>W</v>
      </c>
      <c r="AA156" s="3">
        <v>157</v>
      </c>
      <c r="AB156" s="3" t="str">
        <f>IFERROR(MID(VLOOKUP($B156,Seqs!$A:$B,2,0),AC156,1),"")</f>
        <v>R</v>
      </c>
      <c r="AC156" s="9">
        <v>158</v>
      </c>
      <c r="AD156" s="3" t="str">
        <f>IFERROR(MID(VLOOKUP($B156,Seqs!$A:$B,2,0),AE156,1),"")</f>
        <v>S</v>
      </c>
      <c r="AE156" s="3">
        <v>187</v>
      </c>
      <c r="AF156" s="3" t="str">
        <f>IFERROR(MID(VLOOKUP($B156,Seqs!$A:$B,2,0),AG156,1),"")</f>
        <v>C</v>
      </c>
      <c r="AG156" s="3">
        <v>198</v>
      </c>
      <c r="AH156" s="3" t="str">
        <f>IFERROR(MID(VLOOKUP($B156,Seqs!$A:$B,2,0),AI156,1),"")</f>
        <v>M</v>
      </c>
      <c r="AI156" s="3">
        <v>200</v>
      </c>
      <c r="AJ156" s="3" t="str">
        <f>IFERROR(MID(VLOOKUP($B156,Seqs!$A:$B,2,0),AK156,1),"")</f>
        <v>K</v>
      </c>
      <c r="AK156" s="3">
        <v>209</v>
      </c>
      <c r="AL156" s="3" t="str">
        <f>IFERROR(MID(VLOOKUP($B156,Seqs!$A:$B,2,0),AM156,1),"")</f>
        <v>A</v>
      </c>
      <c r="AM156" s="3">
        <v>244</v>
      </c>
      <c r="AN156" s="3" t="str">
        <f>IFERROR(MID(VLOOKUP($B156,Seqs!$A:$B,2,0),AO156,1),"")</f>
        <v>S</v>
      </c>
      <c r="AO156" s="3">
        <v>247</v>
      </c>
      <c r="AP156" s="3" t="str">
        <f>IFERROR(MID(VLOOKUP($B156,Seqs!$A:$B,2,0),AQ156,1),"")</f>
        <v>M</v>
      </c>
      <c r="AQ156" s="3">
        <v>284</v>
      </c>
      <c r="AR156" s="3" t="str">
        <f>IFERROR(MID(VLOOKUP($B156,Seqs!$A:$B,2,0),AS156,1),"")</f>
        <v>N</v>
      </c>
      <c r="AS156" s="3">
        <v>288</v>
      </c>
      <c r="AT156" s="3" t="str">
        <f>IFERROR(MID(VLOOKUP($B156,Seqs!$A:$B,2,0),AU156,1),"")</f>
        <v>V</v>
      </c>
      <c r="AU156" s="3">
        <v>320</v>
      </c>
      <c r="AV156" s="3" t="str">
        <f>IFERROR(MID(VLOOKUP($B156,Seqs!$A:$B,2,0),AW156,1),"")</f>
        <v>G</v>
      </c>
      <c r="AW156" s="3">
        <v>321</v>
      </c>
      <c r="AX156" s="3" t="str">
        <f>IFERROR(MID(VLOOKUP($B156,Seqs!$A:$B,2,0),AY156,1),"")</f>
        <v>A</v>
      </c>
      <c r="AY156" s="3">
        <v>341</v>
      </c>
      <c r="AZ156" s="77" t="str">
        <f>VLOOKUP(B156,Classification!A:D,2,0)</f>
        <v>A</v>
      </c>
      <c r="BA156" s="94" t="str">
        <f>VLOOKUP(B156,Classification!A:D,4,0)</f>
        <v>Chemokine</v>
      </c>
      <c r="BB156" s="27" t="b">
        <f t="shared" si="812"/>
        <v>1</v>
      </c>
      <c r="BC156" s="23">
        <f t="shared" si="589"/>
        <v>276</v>
      </c>
      <c r="BD156" s="56" t="s">
        <v>23</v>
      </c>
      <c r="BE156" s="3" t="s">
        <v>23</v>
      </c>
      <c r="BF156" s="119" t="s">
        <v>23</v>
      </c>
      <c r="BG156" s="49" t="s">
        <v>1373</v>
      </c>
      <c r="BH156" s="49" t="s">
        <v>1378</v>
      </c>
      <c r="BI156" s="1"/>
      <c r="BJ156" s="70" t="s">
        <v>1288</v>
      </c>
      <c r="BK156" s="57" t="s">
        <v>1288</v>
      </c>
      <c r="BL156" s="57" t="s">
        <v>1288</v>
      </c>
      <c r="BM156" s="57" t="s">
        <v>1288</v>
      </c>
      <c r="BN156" s="57" t="s">
        <v>1288</v>
      </c>
      <c r="BO156" s="57" t="s">
        <v>1288</v>
      </c>
      <c r="BP156" s="57" t="s">
        <v>1288</v>
      </c>
      <c r="BQ156" s="57" t="s">
        <v>1288</v>
      </c>
      <c r="BR156" s="57" t="s">
        <v>1288</v>
      </c>
      <c r="BS156" s="57" t="s">
        <v>1288</v>
      </c>
      <c r="BT156" s="57" t="s">
        <v>1288</v>
      </c>
      <c r="BU156" s="57" t="s">
        <v>1288</v>
      </c>
      <c r="BV156" s="70">
        <f t="shared" si="590"/>
        <v>43</v>
      </c>
      <c r="BW156" s="71">
        <f t="shared" si="591"/>
        <v>77</v>
      </c>
      <c r="BX156" s="72">
        <f t="shared" si="592"/>
        <v>81</v>
      </c>
      <c r="BY156" s="71">
        <f t="shared" si="593"/>
        <v>111</v>
      </c>
      <c r="BZ156" s="72">
        <f t="shared" si="594"/>
        <v>115</v>
      </c>
      <c r="CA156" s="71">
        <f t="shared" si="595"/>
        <v>151</v>
      </c>
      <c r="CB156" s="72">
        <f t="shared" si="596"/>
        <v>158</v>
      </c>
      <c r="CC156" s="71">
        <f t="shared" si="597"/>
        <v>198</v>
      </c>
      <c r="CD156" s="72">
        <f t="shared" si="598"/>
        <v>209</v>
      </c>
      <c r="CE156" s="71">
        <f t="shared" si="599"/>
        <v>247</v>
      </c>
      <c r="CF156" s="72">
        <f t="shared" si="600"/>
        <v>288</v>
      </c>
      <c r="CG156" s="71">
        <f t="shared" si="601"/>
        <v>321</v>
      </c>
      <c r="CH156" s="70">
        <f t="shared" si="602"/>
        <v>76</v>
      </c>
      <c r="CI156" s="71">
        <f t="shared" si="603"/>
        <v>80</v>
      </c>
      <c r="CJ156" s="72">
        <f t="shared" si="604"/>
        <v>110</v>
      </c>
      <c r="CK156" s="72">
        <f t="shared" si="605"/>
        <v>114</v>
      </c>
      <c r="CL156" s="72">
        <f t="shared" si="606"/>
        <v>150</v>
      </c>
      <c r="CM156" s="72">
        <f t="shared" si="607"/>
        <v>157</v>
      </c>
      <c r="CN156" s="72">
        <f t="shared" si="608"/>
        <v>187</v>
      </c>
      <c r="CO156" s="72">
        <f t="shared" si="609"/>
        <v>200</v>
      </c>
      <c r="CP156" s="72">
        <f t="shared" si="610"/>
        <v>244</v>
      </c>
      <c r="CQ156" s="72">
        <f t="shared" si="611"/>
        <v>284</v>
      </c>
      <c r="CR156" s="72">
        <f t="shared" si="612"/>
        <v>320</v>
      </c>
      <c r="CS156" s="72">
        <f t="shared" si="613"/>
        <v>341</v>
      </c>
      <c r="CT156" s="23">
        <f t="shared" si="614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30" x14ac:dyDescent="0.2">
      <c r="A157" s="3" t="str">
        <f t="shared" si="811"/>
        <v>ccr9_human_5LWE</v>
      </c>
      <c r="B157" s="3" t="s">
        <v>177</v>
      </c>
      <c r="C157" s="3" t="s">
        <v>1366</v>
      </c>
      <c r="D157" s="3" t="str">
        <f>IFERROR(MID(VLOOKUP($B157,Seqs!$A:$B,2,0),E157,1),"")</f>
        <v>V</v>
      </c>
      <c r="E157" s="3">
        <v>43</v>
      </c>
      <c r="F157" s="3" t="str">
        <f>IFERROR(MID(VLOOKUP($B157,Seqs!$A:$B,2,0),G157,1),"")</f>
        <v>C</v>
      </c>
      <c r="G157" s="3">
        <v>76</v>
      </c>
      <c r="H157" s="3" t="str">
        <f>IFERROR(MID(VLOOKUP($B157,Seqs!$A:$B,2,0),I157,1),"")</f>
        <v/>
      </c>
      <c r="I157" s="23" t="s">
        <v>23</v>
      </c>
      <c r="J157" s="3" t="str">
        <f>IFERROR(MID(VLOOKUP($B157,Seqs!$A:$B,2,0),K157,1),"")</f>
        <v/>
      </c>
      <c r="K157" s="23" t="s">
        <v>23</v>
      </c>
      <c r="L157" s="3" t="str">
        <f>IFERROR(MID(VLOOKUP($B157,Seqs!$A:$B,2,0),M157,1),"")</f>
        <v>T</v>
      </c>
      <c r="M157" s="3">
        <v>81</v>
      </c>
      <c r="N157" s="3" t="str">
        <f>IFERROR(MID(VLOOKUP($B157,Seqs!$A:$B,2,0),O157,1),"")</f>
        <v>A</v>
      </c>
      <c r="O157" s="3">
        <v>108</v>
      </c>
      <c r="P157" s="3" t="str">
        <f>IFERROR(MID(VLOOKUP($B157,Seqs!$A:$B,2,0),Q157,1),"")</f>
        <v/>
      </c>
      <c r="Q157" s="3" t="s">
        <v>23</v>
      </c>
      <c r="R157" s="3" t="str">
        <f>IFERROR(MID(VLOOKUP($B157,Seqs!$A:$B,2,0),S157,1),"")</f>
        <v/>
      </c>
      <c r="S157" s="3" t="s">
        <v>23</v>
      </c>
      <c r="T157" s="3" t="str">
        <f>IFERROR(MID(VLOOKUP($B157,Seqs!$A:$B,2,0),U157,1),"")</f>
        <v>C</v>
      </c>
      <c r="U157" s="3">
        <v>119</v>
      </c>
      <c r="V157" s="3" t="str">
        <f>IFERROR(MID(VLOOKUP($B157,Seqs!$A:$B,2,0),W157,1),"")</f>
        <v>Q</v>
      </c>
      <c r="W157" s="3">
        <v>150</v>
      </c>
      <c r="X157" s="3" t="str">
        <f>IFERROR(MID(VLOOKUP($B157,Seqs!$A:$B,2,0),Y157,1),"")</f>
        <v>A</v>
      </c>
      <c r="Y157" s="3">
        <v>151</v>
      </c>
      <c r="Z157" s="3" t="str">
        <f>IFERROR(MID(VLOOKUP($B157,Seqs!$A:$B,2,0),AA157,1),"")</f>
        <v>W</v>
      </c>
      <c r="AA157" s="3">
        <v>157</v>
      </c>
      <c r="AB157" s="3" t="str">
        <f>IFERROR(MID(VLOOKUP($B157,Seqs!$A:$B,2,0),AC157,1),"")</f>
        <v>R</v>
      </c>
      <c r="AC157" s="9">
        <v>158</v>
      </c>
      <c r="AD157" s="3" t="str">
        <f>IFERROR(MID(VLOOKUP($B157,Seqs!$A:$B,2,0),AE157,1),"")</f>
        <v>I</v>
      </c>
      <c r="AE157" s="3">
        <v>184</v>
      </c>
      <c r="AF157" s="3" t="str">
        <f>IFERROR(MID(VLOOKUP($B157,Seqs!$A:$B,2,0),AG157,1),"")</f>
        <v/>
      </c>
      <c r="AG157" s="3" t="s">
        <v>23</v>
      </c>
      <c r="AH157" s="3" t="str">
        <f>IFERROR(MID(VLOOKUP($B157,Seqs!$A:$B,2,0),AI157,1),"")</f>
        <v/>
      </c>
      <c r="AI157" s="3" t="s">
        <v>23</v>
      </c>
      <c r="AJ157" s="3" t="str">
        <f>IFERROR(MID(VLOOKUP($B157,Seqs!$A:$B,2,0),AK157,1),"")</f>
        <v/>
      </c>
      <c r="AK157" s="3" t="s">
        <v>23</v>
      </c>
      <c r="AL157" s="3" t="str">
        <f>IFERROR(MID(VLOOKUP($B157,Seqs!$A:$B,2,0),AM157,1),"")</f>
        <v/>
      </c>
      <c r="AM157" s="3" t="s">
        <v>23</v>
      </c>
      <c r="AN157" s="3" t="str">
        <f>IFERROR(MID(VLOOKUP($B157,Seqs!$A:$B,2,0),AO157,1),"")</f>
        <v>S</v>
      </c>
      <c r="AO157" s="3">
        <v>247</v>
      </c>
      <c r="AP157" s="3" t="str">
        <f>IFERROR(MID(VLOOKUP($B157,Seqs!$A:$B,2,0),AQ157,1),"")</f>
        <v>M</v>
      </c>
      <c r="AQ157" s="3">
        <v>284</v>
      </c>
      <c r="AR157" s="3" t="str">
        <f>IFERROR(MID(VLOOKUP($B157,Seqs!$A:$B,2,0),AS157,1),"")</f>
        <v>N</v>
      </c>
      <c r="AS157" s="3">
        <v>288</v>
      </c>
      <c r="AT157" s="3" t="str">
        <f>IFERROR(MID(VLOOKUP($B157,Seqs!$A:$B,2,0),AU157,1),"")</f>
        <v>V</v>
      </c>
      <c r="AU157" s="3">
        <v>320</v>
      </c>
      <c r="AV157" s="3" t="str">
        <f>IFERROR(MID(VLOOKUP($B157,Seqs!$A:$B,2,0),AW157,1),"")</f>
        <v>G</v>
      </c>
      <c r="AW157" s="3">
        <v>321</v>
      </c>
      <c r="AX157" s="3" t="str">
        <f>IFERROR(MID(VLOOKUP($B157,Seqs!$A:$B,2,0),AY157,1),"")</f>
        <v>A</v>
      </c>
      <c r="AY157" s="3">
        <v>341</v>
      </c>
      <c r="AZ157" s="77" t="str">
        <f>VLOOKUP(B157,Classification!A:D,2,0)</f>
        <v>A</v>
      </c>
      <c r="BA157" s="94" t="str">
        <f>VLOOKUP(B157,Classification!A:D,4,0)</f>
        <v>Chemokine</v>
      </c>
      <c r="BB157" s="27" t="b">
        <f t="shared" si="812"/>
        <v>0</v>
      </c>
      <c r="BC157" s="23">
        <f t="shared" si="589"/>
        <v>224</v>
      </c>
      <c r="BD157" s="16" t="s">
        <v>1377</v>
      </c>
      <c r="BE157" s="3" t="s">
        <v>1375</v>
      </c>
      <c r="BF157" s="119">
        <v>2.8</v>
      </c>
      <c r="BG157" s="49" t="s">
        <v>1378</v>
      </c>
      <c r="BH157" s="49" t="s">
        <v>1378</v>
      </c>
      <c r="BI157" s="1"/>
      <c r="BJ157" s="70" t="s">
        <v>1288</v>
      </c>
      <c r="BK157" s="57" t="s">
        <v>1288</v>
      </c>
      <c r="BL157" s="57" t="s">
        <v>1288</v>
      </c>
      <c r="BM157" s="57" t="s">
        <v>1288</v>
      </c>
      <c r="BN157" s="57" t="s">
        <v>1288</v>
      </c>
      <c r="BO157" s="57" t="s">
        <v>1288</v>
      </c>
      <c r="BP157" s="57" t="s">
        <v>1288</v>
      </c>
      <c r="BQ157" s="57" t="s">
        <v>1288</v>
      </c>
      <c r="BR157" s="57" t="s">
        <v>1288</v>
      </c>
      <c r="BS157" s="57" t="s">
        <v>1288</v>
      </c>
      <c r="BT157" s="57" t="s">
        <v>1288</v>
      </c>
      <c r="BU157" s="57" t="s">
        <v>1288</v>
      </c>
      <c r="BV157" s="70">
        <f t="shared" si="590"/>
        <v>43</v>
      </c>
      <c r="BW157" s="71" t="str">
        <f t="shared" si="591"/>
        <v>-</v>
      </c>
      <c r="BX157" s="72">
        <f t="shared" si="592"/>
        <v>81</v>
      </c>
      <c r="BY157" s="71" t="str">
        <f t="shared" si="593"/>
        <v>-</v>
      </c>
      <c r="BZ157" s="72">
        <f t="shared" si="594"/>
        <v>119</v>
      </c>
      <c r="CA157" s="71">
        <f t="shared" si="595"/>
        <v>151</v>
      </c>
      <c r="CB157" s="72">
        <f t="shared" si="596"/>
        <v>158</v>
      </c>
      <c r="CC157" s="71" t="str">
        <f t="shared" si="597"/>
        <v>-</v>
      </c>
      <c r="CD157" s="72" t="str">
        <f t="shared" si="598"/>
        <v>-</v>
      </c>
      <c r="CE157" s="71">
        <f t="shared" si="599"/>
        <v>247</v>
      </c>
      <c r="CF157" s="72">
        <f t="shared" si="600"/>
        <v>288</v>
      </c>
      <c r="CG157" s="71">
        <f t="shared" si="601"/>
        <v>321</v>
      </c>
      <c r="CH157" s="70">
        <f t="shared" si="602"/>
        <v>76</v>
      </c>
      <c r="CI157" s="71" t="str">
        <f t="shared" si="603"/>
        <v>-</v>
      </c>
      <c r="CJ157" s="72">
        <f t="shared" si="604"/>
        <v>108</v>
      </c>
      <c r="CK157" s="72" t="str">
        <f t="shared" si="605"/>
        <v>-</v>
      </c>
      <c r="CL157" s="72">
        <f t="shared" si="606"/>
        <v>150</v>
      </c>
      <c r="CM157" s="72">
        <f t="shared" si="607"/>
        <v>157</v>
      </c>
      <c r="CN157" s="72">
        <f t="shared" si="608"/>
        <v>184</v>
      </c>
      <c r="CO157" s="72" t="str">
        <f t="shared" si="609"/>
        <v>-</v>
      </c>
      <c r="CP157" s="72" t="str">
        <f t="shared" si="610"/>
        <v>-</v>
      </c>
      <c r="CQ157" s="72">
        <f t="shared" si="611"/>
        <v>284</v>
      </c>
      <c r="CR157" s="72">
        <f t="shared" si="612"/>
        <v>320</v>
      </c>
      <c r="CS157" s="72">
        <f t="shared" si="613"/>
        <v>341</v>
      </c>
      <c r="CT157" s="23" t="e">
        <f t="shared" si="614"/>
        <v>#VALUE!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30" x14ac:dyDescent="0.2">
      <c r="A158" s="3" t="str">
        <f>CONCATENATE(B158,"_",C158)</f>
        <v>ccr9_human_5LWE_dist</v>
      </c>
      <c r="B158" s="3" t="s">
        <v>177</v>
      </c>
      <c r="C158" s="3" t="s">
        <v>1385</v>
      </c>
      <c r="D158" s="3" t="str">
        <f>IFERROR(MID(VLOOKUP($B158,Seqs!$A:$B,2,0),E158,1),"")</f>
        <v>V</v>
      </c>
      <c r="E158" s="3">
        <v>43</v>
      </c>
      <c r="F158" s="3" t="str">
        <f>IFERROR(MID(VLOOKUP($B158,Seqs!$A:$B,2,0),G158,1),"")</f>
        <v>C</v>
      </c>
      <c r="G158" s="3">
        <v>76</v>
      </c>
      <c r="H158" s="3" t="str">
        <f>IFERROR(MID(VLOOKUP($B158,Seqs!$A:$B,2,0),I158,1),"")</f>
        <v/>
      </c>
      <c r="I158" s="23" t="s">
        <v>23</v>
      </c>
      <c r="J158" s="3" t="str">
        <f>IFERROR(MID(VLOOKUP($B158,Seqs!$A:$B,2,0),K158,1),"")</f>
        <v/>
      </c>
      <c r="K158" s="23" t="s">
        <v>23</v>
      </c>
      <c r="L158" s="3" t="str">
        <f>IFERROR(MID(VLOOKUP($B158,Seqs!$A:$B,2,0),M158,1),"")</f>
        <v>T</v>
      </c>
      <c r="M158" s="3">
        <v>81</v>
      </c>
      <c r="N158" s="3" t="str">
        <f>IFERROR(MID(VLOOKUP($B158,Seqs!$A:$B,2,0),O158,1),"")</f>
        <v>A</v>
      </c>
      <c r="O158" s="3">
        <v>108</v>
      </c>
      <c r="P158" s="3" t="str">
        <f>IFERROR(MID(VLOOKUP($B158,Seqs!$A:$B,2,0),Q158,1),"")</f>
        <v/>
      </c>
      <c r="Q158" s="3" t="s">
        <v>23</v>
      </c>
      <c r="R158" s="3" t="str">
        <f>IFERROR(MID(VLOOKUP($B158,Seqs!$A:$B,2,0),S158,1),"")</f>
        <v/>
      </c>
      <c r="S158" s="3" t="s">
        <v>23</v>
      </c>
      <c r="T158" s="3" t="str">
        <f>IFERROR(MID(VLOOKUP($B158,Seqs!$A:$B,2,0),U158,1),"")</f>
        <v>C</v>
      </c>
      <c r="U158" s="3">
        <v>119</v>
      </c>
      <c r="V158" s="3" t="str">
        <f>IFERROR(MID(VLOOKUP($B158,Seqs!$A:$B,2,0),W158,1),"")</f>
        <v>Q</v>
      </c>
      <c r="W158" s="3">
        <v>150</v>
      </c>
      <c r="X158" s="3" t="str">
        <f>IFERROR(MID(VLOOKUP($B158,Seqs!$A:$B,2,0),Y158,1),"")</f>
        <v>A</v>
      </c>
      <c r="Y158" s="3">
        <v>151</v>
      </c>
      <c r="Z158" s="3" t="str">
        <f>IFERROR(MID(VLOOKUP($B158,Seqs!$A:$B,2,0),AA158,1),"")</f>
        <v>W</v>
      </c>
      <c r="AA158" s="3">
        <v>157</v>
      </c>
      <c r="AB158" s="3" t="str">
        <f>IFERROR(MID(VLOOKUP($B158,Seqs!$A:$B,2,0),AC158,1),"")</f>
        <v>R</v>
      </c>
      <c r="AC158" s="9">
        <v>158</v>
      </c>
      <c r="AD158" s="3" t="str">
        <f>IFERROR(MID(VLOOKUP($B158,Seqs!$A:$B,2,0),AE158,1),"")</f>
        <v>I</v>
      </c>
      <c r="AE158" s="3">
        <v>184</v>
      </c>
      <c r="AF158" s="3" t="str">
        <f>IFERROR(MID(VLOOKUP($B158,Seqs!$A:$B,2,0),AG158,1),"")</f>
        <v/>
      </c>
      <c r="AG158" s="3" t="s">
        <v>23</v>
      </c>
      <c r="AH158" s="3" t="str">
        <f>IFERROR(MID(VLOOKUP($B158,Seqs!$A:$B,2,0),AI158,1),"")</f>
        <v/>
      </c>
      <c r="AI158" s="3" t="s">
        <v>23</v>
      </c>
      <c r="AJ158" s="3" t="str">
        <f>IFERROR(MID(VLOOKUP($B158,Seqs!$A:$B,2,0),AK158,1),"")</f>
        <v>K</v>
      </c>
      <c r="AK158" s="3">
        <v>209</v>
      </c>
      <c r="AL158" s="3" t="str">
        <f>IFERROR(MID(VLOOKUP($B158,Seqs!$A:$B,2,0),AM158,1),"")</f>
        <v>A</v>
      </c>
      <c r="AM158" s="3">
        <v>244</v>
      </c>
      <c r="AN158" s="3" t="str">
        <f>IFERROR(MID(VLOOKUP($B158,Seqs!$A:$B,2,0),AO158,1),"")</f>
        <v>S</v>
      </c>
      <c r="AO158" s="3">
        <v>247</v>
      </c>
      <c r="AP158" s="3" t="str">
        <f>IFERROR(MID(VLOOKUP($B158,Seqs!$A:$B,2,0),AQ158,1),"")</f>
        <v>M</v>
      </c>
      <c r="AQ158" s="3">
        <v>284</v>
      </c>
      <c r="AR158" s="3" t="str">
        <f>IFERROR(MID(VLOOKUP($B158,Seqs!$A:$B,2,0),AS158,1),"")</f>
        <v>N</v>
      </c>
      <c r="AS158" s="3">
        <v>288</v>
      </c>
      <c r="AT158" s="3" t="str">
        <f>IFERROR(MID(VLOOKUP($B158,Seqs!$A:$B,2,0),AU158,1),"")</f>
        <v>V</v>
      </c>
      <c r="AU158" s="3">
        <v>320</v>
      </c>
      <c r="AV158" s="3" t="str">
        <f>IFERROR(MID(VLOOKUP($B158,Seqs!$A:$B,2,0),AW158,1),"")</f>
        <v>G</v>
      </c>
      <c r="AW158" s="3">
        <v>321</v>
      </c>
      <c r="AX158" s="3" t="str">
        <f>IFERROR(MID(VLOOKUP($B158,Seqs!$A:$B,2,0),AY158,1),"")</f>
        <v>A</v>
      </c>
      <c r="AY158" s="3">
        <v>341</v>
      </c>
      <c r="AZ158" s="77" t="str">
        <f>VLOOKUP(B158,Classification!A:D,2,0)</f>
        <v>A</v>
      </c>
      <c r="BA158" s="94" t="str">
        <f>VLOOKUP(B158,Classification!A:D,4,0)</f>
        <v>Chemokine</v>
      </c>
      <c r="BB158" s="27" t="b">
        <f>AND(E158&lt;G158,OR(G158&lt;I158,I158="-"),OR(I158&lt;K158,I158="-"),OR(K158&lt;M158,K158="-"),M158&lt;O158,OR(O158&lt;Q158,Q158="-"),OR(Q158&lt;S158,Q158="-"),OR(S158&lt;U158,S158="-"),U158&lt;W158,OR(W158&lt;Y158,Y158="-"),OR(Y158&lt;AA158,Y158="-"),OR(AA158&lt;AC158,AA158="-"),AC158&lt;AE158,OR(AE158&lt;AG158,AG158="-"),OR(AG158&lt;AI158,AG158="-"),OR(AI158&lt;AK158,AI158="-"),AK158&lt;AM158,AM158&lt;AO158,AO158&lt;AQ158,AQ158&lt;AS158,AS158&lt;AU158,OR(AU158&lt;AW158,AW158="-"),OR(AW158&lt;AY158,AW158="-"))</f>
        <v>1</v>
      </c>
      <c r="BC158" s="23">
        <f>_xlfn.AGGREGATE(9,6,CH158:CS158)-_xlfn.AGGREGATE(9,6,BV158:CG158)+12</f>
        <v>259</v>
      </c>
      <c r="BD158" s="16" t="s">
        <v>23</v>
      </c>
      <c r="BE158" s="3" t="s">
        <v>1375</v>
      </c>
      <c r="BF158" s="119">
        <v>2.8</v>
      </c>
      <c r="BG158" s="49" t="s">
        <v>1378</v>
      </c>
      <c r="BH158" s="49" t="s">
        <v>1378</v>
      </c>
      <c r="BI158" s="1"/>
      <c r="BJ158" s="70" t="s">
        <v>1288</v>
      </c>
      <c r="BK158" s="57" t="s">
        <v>1288</v>
      </c>
      <c r="BL158" s="57" t="s">
        <v>1288</v>
      </c>
      <c r="BM158" s="57" t="s">
        <v>1288</v>
      </c>
      <c r="BN158" s="57" t="s">
        <v>1288</v>
      </c>
      <c r="BO158" s="57" t="s">
        <v>1288</v>
      </c>
      <c r="BP158" s="57" t="s">
        <v>1288</v>
      </c>
      <c r="BQ158" s="57" t="s">
        <v>1288</v>
      </c>
      <c r="BR158" s="57" t="s">
        <v>1288</v>
      </c>
      <c r="BS158" s="57" t="s">
        <v>1288</v>
      </c>
      <c r="BT158" s="57" t="s">
        <v>1288</v>
      </c>
      <c r="BU158" s="57" t="s">
        <v>1288</v>
      </c>
      <c r="BV158" s="70">
        <f>E158</f>
        <v>43</v>
      </c>
      <c r="BW158" s="71" t="str">
        <f>I158</f>
        <v>-</v>
      </c>
      <c r="BX158" s="72">
        <f>M158</f>
        <v>81</v>
      </c>
      <c r="BY158" s="71" t="str">
        <f>Q158</f>
        <v>-</v>
      </c>
      <c r="BZ158" s="72">
        <f>U158</f>
        <v>119</v>
      </c>
      <c r="CA158" s="71">
        <f>Y158</f>
        <v>151</v>
      </c>
      <c r="CB158" s="72">
        <f>AC158</f>
        <v>158</v>
      </c>
      <c r="CC158" s="71" t="str">
        <f>AG158</f>
        <v>-</v>
      </c>
      <c r="CD158" s="72">
        <f>AK158</f>
        <v>209</v>
      </c>
      <c r="CE158" s="71">
        <f>AO158</f>
        <v>247</v>
      </c>
      <c r="CF158" s="72">
        <f>AS158</f>
        <v>288</v>
      </c>
      <c r="CG158" s="71">
        <f>AW158</f>
        <v>321</v>
      </c>
      <c r="CH158" s="70">
        <f>G158</f>
        <v>76</v>
      </c>
      <c r="CI158" s="71" t="str">
        <f>K158</f>
        <v>-</v>
      </c>
      <c r="CJ158" s="72">
        <f>O158</f>
        <v>108</v>
      </c>
      <c r="CK158" s="72" t="str">
        <f>S158</f>
        <v>-</v>
      </c>
      <c r="CL158" s="72">
        <f>W158</f>
        <v>150</v>
      </c>
      <c r="CM158" s="72">
        <f>AA158</f>
        <v>157</v>
      </c>
      <c r="CN158" s="72">
        <f>AE158</f>
        <v>184</v>
      </c>
      <c r="CO158" s="72" t="str">
        <f>AI158</f>
        <v>-</v>
      </c>
      <c r="CP158" s="72">
        <f>AM158</f>
        <v>244</v>
      </c>
      <c r="CQ158" s="72">
        <f>AQ158</f>
        <v>284</v>
      </c>
      <c r="CR158" s="72">
        <f>AU158</f>
        <v>320</v>
      </c>
      <c r="CS158" s="72">
        <f>AY158</f>
        <v>341</v>
      </c>
      <c r="CT158" s="23" t="e">
        <f>M158-K158</f>
        <v>#VALUE!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30" x14ac:dyDescent="0.2">
      <c r="A159" s="3" t="str">
        <f t="shared" si="811"/>
        <v>cnr1_human__wt</v>
      </c>
      <c r="B159" s="3" t="s">
        <v>182</v>
      </c>
      <c r="C159" s="3" t="s">
        <v>100</v>
      </c>
      <c r="D159" s="3" t="str">
        <f>IFERROR(MID(VLOOKUP($B159,Seqs!$A:$B,2,0),E159,1),"")</f>
        <v>N</v>
      </c>
      <c r="E159" s="3">
        <v>112</v>
      </c>
      <c r="F159" s="3" t="str">
        <f>IFERROR(MID(VLOOKUP($B159,Seqs!$A:$B,2,0),G159,1),"")</f>
        <v>S</v>
      </c>
      <c r="G159" s="3">
        <v>144</v>
      </c>
      <c r="H159" s="3" t="str">
        <f>IFERROR(MID(VLOOKUP($B159,Seqs!$A:$B,2,0),I159,1),"")</f>
        <v>R</v>
      </c>
      <c r="I159" s="23">
        <v>145</v>
      </c>
      <c r="J159" s="3" t="str">
        <f>IFERROR(MID(VLOOKUP($B159,Seqs!$A:$B,2,0),K159,1),"")</f>
        <v>R</v>
      </c>
      <c r="K159" s="23">
        <v>148</v>
      </c>
      <c r="L159" s="3" t="str">
        <f>IFERROR(MID(VLOOKUP($B159,Seqs!$A:$B,2,0),M159,1),"")</f>
        <v>R</v>
      </c>
      <c r="M159" s="3">
        <v>150</v>
      </c>
      <c r="N159" s="3" t="str">
        <f>IFERROR(MID(VLOOKUP($B159,Seqs!$A:$B,2,0),O159,1),"")</f>
        <v>V</v>
      </c>
      <c r="O159" s="3">
        <v>179</v>
      </c>
      <c r="P159" s="3" t="str">
        <f>IFERROR(MID(VLOOKUP($B159,Seqs!$A:$B,2,0),Q159,1),"")</f>
        <v/>
      </c>
      <c r="Q159" s="3" t="s">
        <v>23</v>
      </c>
      <c r="R159" s="3" t="str">
        <f>IFERROR(MID(VLOOKUP($B159,Seqs!$A:$B,2,0),S159,1),"")</f>
        <v/>
      </c>
      <c r="S159" s="3" t="s">
        <v>23</v>
      </c>
      <c r="T159" s="3" t="str">
        <f>IFERROR(MID(VLOOKUP($B159,Seqs!$A:$B,2,0),U159,1),"")</f>
        <v>S</v>
      </c>
      <c r="U159" s="3">
        <v>185</v>
      </c>
      <c r="V159" s="3" t="str">
        <f>IFERROR(MID(VLOOKUP($B159,Seqs!$A:$B,2,0),W159,1),"")</f>
        <v>R</v>
      </c>
      <c r="W159" s="3">
        <v>220</v>
      </c>
      <c r="X159" s="3" t="str">
        <f>IFERROR(MID(VLOOKUP($B159,Seqs!$A:$B,2,0),Y159,1),"")</f>
        <v>P</v>
      </c>
      <c r="Y159" s="3">
        <v>221</v>
      </c>
      <c r="Z159" s="3" t="str">
        <f>IFERROR(MID(VLOOKUP($B159,Seqs!$A:$B,2,0),AA159,1),"")</f>
        <v>V</v>
      </c>
      <c r="AA159" s="3">
        <v>228</v>
      </c>
      <c r="AB159" s="3" t="str">
        <f>IFERROR(MID(VLOOKUP($B159,Seqs!$A:$B,2,0),AC159,1),"")</f>
        <v>T</v>
      </c>
      <c r="AC159" s="9">
        <v>229</v>
      </c>
      <c r="AD159" s="3" t="str">
        <f>IFERROR(MID(VLOOKUP($B159,Seqs!$A:$B,2,0),AE159,1),"")</f>
        <v>G</v>
      </c>
      <c r="AE159" s="3">
        <v>254</v>
      </c>
      <c r="AF159" s="3" t="str">
        <f>IFERROR(MID(VLOOKUP($B159,Seqs!$A:$B,2,0),AG159,1),"")</f>
        <v/>
      </c>
      <c r="AG159" s="3" t="s">
        <v>23</v>
      </c>
      <c r="AH159" s="3" t="str">
        <f>IFERROR(MID(VLOOKUP($B159,Seqs!$A:$B,2,0),AI159,1),"")</f>
        <v/>
      </c>
      <c r="AI159" s="3" t="s">
        <v>23</v>
      </c>
      <c r="AJ159" s="3" t="str">
        <f>IFERROR(MID(VLOOKUP($B159,Seqs!$A:$B,2,0),AK159,1),"")</f>
        <v>D</v>
      </c>
      <c r="AK159" s="3">
        <v>272</v>
      </c>
      <c r="AL159" s="3" t="str">
        <f>IFERROR(MID(VLOOKUP($B159,Seqs!$A:$B,2,0),AM159,1),"")</f>
        <v>G</v>
      </c>
      <c r="AM159" s="3">
        <v>312</v>
      </c>
      <c r="AN159" s="3" t="str">
        <f>IFERROR(MID(VLOOKUP($B159,Seqs!$A:$B,2,0),AO159,1),"")</f>
        <v>P</v>
      </c>
      <c r="AO159" s="3">
        <v>332</v>
      </c>
      <c r="AP159" s="3" t="str">
        <f>IFERROR(MID(VLOOKUP($B159,Seqs!$A:$B,2,0),AQ159,1),"")</f>
        <v>G</v>
      </c>
      <c r="AQ159" s="3">
        <v>369</v>
      </c>
      <c r="AR159" s="3" t="str">
        <f>IFERROR(MID(VLOOKUP($B159,Seqs!$A:$B,2,0),AS159,1),"")</f>
        <v>N</v>
      </c>
      <c r="AS159" s="3">
        <v>372</v>
      </c>
      <c r="AT159" s="3" t="str">
        <f>IFERROR(MID(VLOOKUP($B159,Seqs!$A:$B,2,0),AU159,1),"")</f>
        <v>R</v>
      </c>
      <c r="AU159" s="3">
        <v>400</v>
      </c>
      <c r="AV159" s="3" t="str">
        <f>IFERROR(MID(VLOOKUP($B159,Seqs!$A:$B,2,0),AW159,1),"")</f>
        <v>S</v>
      </c>
      <c r="AW159" s="3">
        <v>401</v>
      </c>
      <c r="AX159" s="3" t="str">
        <f>IFERROR(MID(VLOOKUP($B159,Seqs!$A:$B,2,0),AY159,1),"")</f>
        <v>P</v>
      </c>
      <c r="AY159" s="3">
        <v>413</v>
      </c>
      <c r="AZ159" s="77" t="str">
        <f>VLOOKUP(B159,Classification!A:D,2,0)</f>
        <v>A</v>
      </c>
      <c r="BA159" s="94" t="str">
        <f>VLOOKUP(B159,Classification!A:D,4,0)</f>
        <v>Cannabinoid</v>
      </c>
      <c r="BB159" s="27" t="b">
        <f t="shared" si="812"/>
        <v>1</v>
      </c>
      <c r="BC159" s="23">
        <f t="shared" si="589"/>
        <v>260</v>
      </c>
      <c r="BD159" s="56" t="s">
        <v>23</v>
      </c>
      <c r="BE159" s="3" t="s">
        <v>23</v>
      </c>
      <c r="BF159" s="119" t="s">
        <v>23</v>
      </c>
      <c r="BG159" s="49" t="s">
        <v>1373</v>
      </c>
      <c r="BH159" s="49" t="s">
        <v>1378</v>
      </c>
      <c r="BJ159" s="70" t="s">
        <v>1288</v>
      </c>
      <c r="BK159" s="57" t="s">
        <v>1288</v>
      </c>
      <c r="BL159" s="57" t="s">
        <v>1288</v>
      </c>
      <c r="BM159" s="57" t="s">
        <v>1288</v>
      </c>
      <c r="BN159" s="57" t="s">
        <v>1288</v>
      </c>
      <c r="BO159" s="57" t="s">
        <v>1288</v>
      </c>
      <c r="BP159" s="57" t="s">
        <v>1288</v>
      </c>
      <c r="BQ159" s="57" t="s">
        <v>1288</v>
      </c>
      <c r="BR159" s="57" t="s">
        <v>1288</v>
      </c>
      <c r="BS159" s="57" t="s">
        <v>1288</v>
      </c>
      <c r="BT159" s="57" t="s">
        <v>1288</v>
      </c>
      <c r="BU159" s="57" t="s">
        <v>1288</v>
      </c>
      <c r="BV159" s="70">
        <f t="shared" si="590"/>
        <v>112</v>
      </c>
      <c r="BW159" s="71">
        <f t="shared" si="591"/>
        <v>145</v>
      </c>
      <c r="BX159" s="72">
        <f t="shared" si="592"/>
        <v>150</v>
      </c>
      <c r="BY159" s="71" t="str">
        <f t="shared" si="593"/>
        <v>-</v>
      </c>
      <c r="BZ159" s="72">
        <f t="shared" si="594"/>
        <v>185</v>
      </c>
      <c r="CA159" s="71">
        <f t="shared" si="595"/>
        <v>221</v>
      </c>
      <c r="CB159" s="72">
        <f t="shared" si="596"/>
        <v>229</v>
      </c>
      <c r="CC159" s="71" t="str">
        <f t="shared" si="597"/>
        <v>-</v>
      </c>
      <c r="CD159" s="72">
        <f t="shared" si="598"/>
        <v>272</v>
      </c>
      <c r="CE159" s="71">
        <f t="shared" si="599"/>
        <v>332</v>
      </c>
      <c r="CF159" s="72">
        <f t="shared" si="600"/>
        <v>372</v>
      </c>
      <c r="CG159" s="71">
        <f t="shared" si="601"/>
        <v>401</v>
      </c>
      <c r="CH159" s="70">
        <f t="shared" si="602"/>
        <v>144</v>
      </c>
      <c r="CI159" s="71">
        <f t="shared" si="603"/>
        <v>148</v>
      </c>
      <c r="CJ159" s="72">
        <f t="shared" si="604"/>
        <v>179</v>
      </c>
      <c r="CK159" s="72" t="str">
        <f t="shared" si="605"/>
        <v>-</v>
      </c>
      <c r="CL159" s="72">
        <f t="shared" si="606"/>
        <v>220</v>
      </c>
      <c r="CM159" s="72">
        <f t="shared" si="607"/>
        <v>228</v>
      </c>
      <c r="CN159" s="72">
        <f t="shared" si="608"/>
        <v>254</v>
      </c>
      <c r="CO159" s="72" t="str">
        <f t="shared" si="609"/>
        <v>-</v>
      </c>
      <c r="CP159" s="72">
        <f t="shared" si="610"/>
        <v>312</v>
      </c>
      <c r="CQ159" s="72">
        <f t="shared" si="611"/>
        <v>369</v>
      </c>
      <c r="CR159" s="72">
        <f t="shared" si="612"/>
        <v>400</v>
      </c>
      <c r="CS159" s="72">
        <f t="shared" si="613"/>
        <v>413</v>
      </c>
      <c r="CT159" s="23">
        <f t="shared" si="614"/>
        <v>2</v>
      </c>
    </row>
    <row r="160" spans="1:1030" s="3" customFormat="1" x14ac:dyDescent="0.2">
      <c r="A160" s="3" t="str">
        <f t="shared" si="811"/>
        <v>cnr1_human_5TGZ</v>
      </c>
      <c r="B160" s="3" t="s">
        <v>182</v>
      </c>
      <c r="C160" s="3" t="s">
        <v>1360</v>
      </c>
      <c r="D160" s="3" t="str">
        <f>IFERROR(MID(VLOOKUP($B160,Seqs!$A:$B,2,0),E160,1),"")</f>
        <v>P</v>
      </c>
      <c r="E160" s="3">
        <v>113</v>
      </c>
      <c r="F160" s="3" t="str">
        <f>IFERROR(MID(VLOOKUP($B160,Seqs!$A:$B,2,0),G160,1),"")</f>
        <v>S</v>
      </c>
      <c r="G160" s="3">
        <v>144</v>
      </c>
      <c r="H160" s="3" t="str">
        <f>IFERROR(MID(VLOOKUP($B160,Seqs!$A:$B,2,0),I160,1),"")</f>
        <v>R</v>
      </c>
      <c r="I160" s="23">
        <v>145</v>
      </c>
      <c r="J160" s="3" t="str">
        <f>IFERROR(MID(VLOOKUP($B160,Seqs!$A:$B,2,0),K160,1),"")</f>
        <v>R</v>
      </c>
      <c r="K160" s="23">
        <v>148</v>
      </c>
      <c r="L160" s="3" t="str">
        <f>IFERROR(MID(VLOOKUP($B160,Seqs!$A:$B,2,0),M160,1),"")</f>
        <v>R</v>
      </c>
      <c r="M160" s="3">
        <v>150</v>
      </c>
      <c r="N160" s="3" t="str">
        <f>IFERROR(MID(VLOOKUP($B160,Seqs!$A:$B,2,0),O160,1),"")</f>
        <v>V</v>
      </c>
      <c r="O160" s="3">
        <v>179</v>
      </c>
      <c r="P160" s="3" t="str">
        <f>IFERROR(MID(VLOOKUP($B160,Seqs!$A:$B,2,0),Q160,1),"")</f>
        <v/>
      </c>
      <c r="Q160" s="3" t="s">
        <v>23</v>
      </c>
      <c r="R160" s="3" t="str">
        <f>IFERROR(MID(VLOOKUP($B160,Seqs!$A:$B,2,0),S160,1),"")</f>
        <v/>
      </c>
      <c r="S160" s="3" t="s">
        <v>23</v>
      </c>
      <c r="T160" s="3" t="str">
        <f>IFERROR(MID(VLOOKUP($B160,Seqs!$A:$B,2,0),U160,1),"")</f>
        <v>S</v>
      </c>
      <c r="U160" s="3">
        <v>185</v>
      </c>
      <c r="V160" s="3" t="str">
        <f>IFERROR(MID(VLOOKUP($B160,Seqs!$A:$B,2,0),W160,1),"")</f>
        <v>R</v>
      </c>
      <c r="W160" s="3">
        <v>220</v>
      </c>
      <c r="X160" s="3" t="str">
        <f>IFERROR(MID(VLOOKUP($B160,Seqs!$A:$B,2,0),Y160,1),"")</f>
        <v>P</v>
      </c>
      <c r="Y160" s="3">
        <v>221</v>
      </c>
      <c r="Z160" s="3" t="str">
        <f>IFERROR(MID(VLOOKUP($B160,Seqs!$A:$B,2,0),AA160,1),"")</f>
        <v>V</v>
      </c>
      <c r="AA160" s="3">
        <v>228</v>
      </c>
      <c r="AB160" s="3" t="str">
        <f>IFERROR(MID(VLOOKUP($B160,Seqs!$A:$B,2,0),AC160,1),"")</f>
        <v>T</v>
      </c>
      <c r="AC160" s="9">
        <v>229</v>
      </c>
      <c r="AD160" s="3" t="str">
        <f>IFERROR(MID(VLOOKUP($B160,Seqs!$A:$B,2,0),AE160,1),"")</f>
        <v>G</v>
      </c>
      <c r="AE160" s="3">
        <v>254</v>
      </c>
      <c r="AF160" s="3" t="str">
        <f>IFERROR(MID(VLOOKUP($B160,Seqs!$A:$B,2,0),AG160,1),"")</f>
        <v/>
      </c>
      <c r="AG160" s="3" t="s">
        <v>23</v>
      </c>
      <c r="AH160" s="3" t="str">
        <f>IFERROR(MID(VLOOKUP($B160,Seqs!$A:$B,2,0),AI160,1),"")</f>
        <v/>
      </c>
      <c r="AI160" s="3" t="s">
        <v>23</v>
      </c>
      <c r="AJ160" s="3" t="str">
        <f>IFERROR(MID(VLOOKUP($B160,Seqs!$A:$B,2,0),AK160,1),"")</f>
        <v>D</v>
      </c>
      <c r="AK160" s="3">
        <v>272</v>
      </c>
      <c r="AL160" s="3" t="str">
        <f>IFERROR(MID(VLOOKUP($B160,Seqs!$A:$B,2,0),AM160,1),"")</f>
        <v>H</v>
      </c>
      <c r="AM160" s="3">
        <v>304</v>
      </c>
      <c r="AN160" s="3" t="str">
        <f>IFERROR(MID(VLOOKUP($B160,Seqs!$A:$B,2,0),AO160,1),"")</f>
        <v>P</v>
      </c>
      <c r="AO160" s="3">
        <v>332</v>
      </c>
      <c r="AP160" s="3" t="str">
        <f>IFERROR(MID(VLOOKUP($B160,Seqs!$A:$B,2,0),AQ160,1),"")</f>
        <v>F</v>
      </c>
      <c r="AQ160" s="3">
        <v>368</v>
      </c>
      <c r="AR160" s="3" t="str">
        <f>IFERROR(MID(VLOOKUP($B160,Seqs!$A:$B,2,0),AS160,1),"")</f>
        <v>N</v>
      </c>
      <c r="AS160" s="3">
        <v>372</v>
      </c>
      <c r="AT160" s="3" t="str">
        <f>IFERROR(MID(VLOOKUP($B160,Seqs!$A:$B,2,0),AU160,1),"")</f>
        <v>R</v>
      </c>
      <c r="AU160" s="3">
        <v>400</v>
      </c>
      <c r="AV160" s="3" t="str">
        <f>IFERROR(MID(VLOOKUP($B160,Seqs!$A:$B,2,0),AW160,1),"")</f>
        <v>S</v>
      </c>
      <c r="AW160" s="3">
        <v>401</v>
      </c>
      <c r="AX160" s="3" t="str">
        <f>IFERROR(MID(VLOOKUP($B160,Seqs!$A:$B,2,0),AY160,1),"")</f>
        <v>M</v>
      </c>
      <c r="AY160" s="3">
        <v>411</v>
      </c>
      <c r="AZ160" s="77" t="str">
        <f>VLOOKUP(B160,Classification!A:D,2,0)</f>
        <v>A</v>
      </c>
      <c r="BA160" s="94" t="str">
        <f>VLOOKUP(B160,Classification!A:D,4,0)</f>
        <v>Cannabinoid</v>
      </c>
      <c r="BB160" s="27" t="b">
        <f t="shared" si="812"/>
        <v>1</v>
      </c>
      <c r="BC160" s="23">
        <f t="shared" si="589"/>
        <v>248</v>
      </c>
      <c r="BD160" s="16" t="s">
        <v>1377</v>
      </c>
      <c r="BE160" s="3" t="s">
        <v>1375</v>
      </c>
      <c r="BF160" s="119">
        <v>2.8</v>
      </c>
      <c r="BG160" s="49" t="s">
        <v>1378</v>
      </c>
      <c r="BH160" s="49" t="s">
        <v>1378</v>
      </c>
      <c r="BJ160" s="70" t="s">
        <v>1288</v>
      </c>
      <c r="BK160" s="57" t="s">
        <v>1288</v>
      </c>
      <c r="BL160" s="57" t="s">
        <v>1288</v>
      </c>
      <c r="BM160" s="57" t="s">
        <v>1288</v>
      </c>
      <c r="BN160" s="57" t="s">
        <v>1288</v>
      </c>
      <c r="BO160" s="57" t="s">
        <v>1288</v>
      </c>
      <c r="BP160" s="57" t="s">
        <v>1288</v>
      </c>
      <c r="BQ160" s="57" t="s">
        <v>1288</v>
      </c>
      <c r="BR160" s="57" t="s">
        <v>1288</v>
      </c>
      <c r="BS160" s="57" t="s">
        <v>1288</v>
      </c>
      <c r="BT160" s="57" t="s">
        <v>1288</v>
      </c>
      <c r="BU160" s="57" t="s">
        <v>1288</v>
      </c>
      <c r="BV160" s="70">
        <f t="shared" si="590"/>
        <v>113</v>
      </c>
      <c r="BW160" s="71">
        <f t="shared" si="591"/>
        <v>145</v>
      </c>
      <c r="BX160" s="72">
        <f t="shared" si="592"/>
        <v>150</v>
      </c>
      <c r="BY160" s="71" t="str">
        <f t="shared" si="593"/>
        <v>-</v>
      </c>
      <c r="BZ160" s="72">
        <f t="shared" si="594"/>
        <v>185</v>
      </c>
      <c r="CA160" s="71">
        <f t="shared" si="595"/>
        <v>221</v>
      </c>
      <c r="CB160" s="72">
        <f t="shared" si="596"/>
        <v>229</v>
      </c>
      <c r="CC160" s="71" t="str">
        <f t="shared" si="597"/>
        <v>-</v>
      </c>
      <c r="CD160" s="72">
        <f t="shared" si="598"/>
        <v>272</v>
      </c>
      <c r="CE160" s="71">
        <f t="shared" si="599"/>
        <v>332</v>
      </c>
      <c r="CF160" s="72">
        <f t="shared" si="600"/>
        <v>372</v>
      </c>
      <c r="CG160" s="71">
        <f t="shared" si="601"/>
        <v>401</v>
      </c>
      <c r="CH160" s="70">
        <f t="shared" si="602"/>
        <v>144</v>
      </c>
      <c r="CI160" s="71">
        <f t="shared" si="603"/>
        <v>148</v>
      </c>
      <c r="CJ160" s="72">
        <f t="shared" si="604"/>
        <v>179</v>
      </c>
      <c r="CK160" s="72" t="str">
        <f t="shared" si="605"/>
        <v>-</v>
      </c>
      <c r="CL160" s="72">
        <f t="shared" si="606"/>
        <v>220</v>
      </c>
      <c r="CM160" s="72">
        <f t="shared" si="607"/>
        <v>228</v>
      </c>
      <c r="CN160" s="72">
        <f t="shared" si="608"/>
        <v>254</v>
      </c>
      <c r="CO160" s="72" t="str">
        <f t="shared" si="609"/>
        <v>-</v>
      </c>
      <c r="CP160" s="72">
        <f t="shared" si="610"/>
        <v>304</v>
      </c>
      <c r="CQ160" s="72">
        <f t="shared" si="611"/>
        <v>368</v>
      </c>
      <c r="CR160" s="72">
        <f t="shared" si="612"/>
        <v>400</v>
      </c>
      <c r="CS160" s="72">
        <f t="shared" si="613"/>
        <v>411</v>
      </c>
      <c r="CT160" s="23">
        <f t="shared" si="614"/>
        <v>2</v>
      </c>
      <c r="AMP160" s="1"/>
    </row>
    <row r="161" spans="1:1029" x14ac:dyDescent="0.2">
      <c r="A161" s="3" t="str">
        <f t="shared" si="811"/>
        <v>cnr1_human_5U09</v>
      </c>
      <c r="B161" s="3" t="s">
        <v>182</v>
      </c>
      <c r="C161" s="3" t="s">
        <v>1365</v>
      </c>
      <c r="D161" s="3" t="str">
        <f>IFERROR(MID(VLOOKUP($B161,Seqs!$A:$B,2,0),E161,1),"")</f>
        <v>N</v>
      </c>
      <c r="E161" s="3">
        <v>112</v>
      </c>
      <c r="F161" s="3" t="str">
        <f>IFERROR(MID(VLOOKUP($B161,Seqs!$A:$B,2,0),G161,1),"")</f>
        <v>S</v>
      </c>
      <c r="G161" s="3">
        <v>144</v>
      </c>
      <c r="H161" s="3" t="str">
        <f>IFERROR(MID(VLOOKUP($B161,Seqs!$A:$B,2,0),I161,1),"")</f>
        <v>R</v>
      </c>
      <c r="I161" s="23">
        <v>145</v>
      </c>
      <c r="J161" s="3" t="str">
        <f>IFERROR(MID(VLOOKUP($B161,Seqs!$A:$B,2,0),K161,1),"")</f>
        <v>R</v>
      </c>
      <c r="K161" s="23">
        <v>148</v>
      </c>
      <c r="L161" s="3" t="str">
        <f>IFERROR(MID(VLOOKUP($B161,Seqs!$A:$B,2,0),M161,1),"")</f>
        <v>R</v>
      </c>
      <c r="M161" s="3">
        <v>150</v>
      </c>
      <c r="N161" s="3" t="str">
        <f>IFERROR(MID(VLOOKUP($B161,Seqs!$A:$B,2,0),O161,1),"")</f>
        <v>V</v>
      </c>
      <c r="O161" s="3">
        <v>179</v>
      </c>
      <c r="P161" s="3" t="str">
        <f>IFERROR(MID(VLOOKUP($B161,Seqs!$A:$B,2,0),Q161,1),"")</f>
        <v/>
      </c>
      <c r="Q161" s="3" t="s">
        <v>23</v>
      </c>
      <c r="R161" s="3" t="str">
        <f>IFERROR(MID(VLOOKUP($B161,Seqs!$A:$B,2,0),S161,1),"")</f>
        <v/>
      </c>
      <c r="S161" s="3" t="s">
        <v>23</v>
      </c>
      <c r="T161" s="3" t="str">
        <f>IFERROR(MID(VLOOKUP($B161,Seqs!$A:$B,2,0),U161,1),"")</f>
        <v>S</v>
      </c>
      <c r="U161" s="3">
        <v>185</v>
      </c>
      <c r="V161" s="3" t="str">
        <f>IFERROR(MID(VLOOKUP($B161,Seqs!$A:$B,2,0),W161,1),"")</f>
        <v>R</v>
      </c>
      <c r="W161" s="3">
        <v>220</v>
      </c>
      <c r="X161" s="3" t="str">
        <f>IFERROR(MID(VLOOKUP($B161,Seqs!$A:$B,2,0),Y161,1),"")</f>
        <v>P</v>
      </c>
      <c r="Y161" s="3">
        <v>221</v>
      </c>
      <c r="Z161" s="3" t="str">
        <f>IFERROR(MID(VLOOKUP($B161,Seqs!$A:$B,2,0),AA161,1),"")</f>
        <v>V</v>
      </c>
      <c r="AA161" s="3">
        <v>228</v>
      </c>
      <c r="AB161" s="3" t="str">
        <f>IFERROR(MID(VLOOKUP($B161,Seqs!$A:$B,2,0),AC161,1),"")</f>
        <v>T</v>
      </c>
      <c r="AC161" s="9">
        <v>229</v>
      </c>
      <c r="AD161" s="3" t="str">
        <f>IFERROR(MID(VLOOKUP($B161,Seqs!$A:$B,2,0),AE161,1),"")</f>
        <v>G</v>
      </c>
      <c r="AE161" s="3">
        <v>254</v>
      </c>
      <c r="AF161" s="3" t="str">
        <f>IFERROR(MID(VLOOKUP($B161,Seqs!$A:$B,2,0),AG161,1),"")</f>
        <v/>
      </c>
      <c r="AG161" s="3" t="s">
        <v>23</v>
      </c>
      <c r="AH161" s="3" t="str">
        <f>IFERROR(MID(VLOOKUP($B161,Seqs!$A:$B,2,0),AI161,1),"")</f>
        <v/>
      </c>
      <c r="AI161" s="3" t="s">
        <v>23</v>
      </c>
      <c r="AJ161" s="3" t="str">
        <f>IFERROR(MID(VLOOKUP($B161,Seqs!$A:$B,2,0),AK161,1),"")</f>
        <v>D</v>
      </c>
      <c r="AK161" s="3">
        <v>272</v>
      </c>
      <c r="AL161" s="3" t="str">
        <f>IFERROR(MID(VLOOKUP($B161,Seqs!$A:$B,2,0),AM161,1),"")</f>
        <v>A</v>
      </c>
      <c r="AM161" s="3">
        <v>301</v>
      </c>
      <c r="AN161" s="3" t="str">
        <f>IFERROR(MID(VLOOKUP($B161,Seqs!$A:$B,2,0),AO161,1),"")</f>
        <v>D</v>
      </c>
      <c r="AO161" s="3">
        <v>333</v>
      </c>
      <c r="AP161" s="3" t="str">
        <f>IFERROR(MID(VLOOKUP($B161,Seqs!$A:$B,2,0),AQ161,1),"")</f>
        <v>F</v>
      </c>
      <c r="AQ161" s="3">
        <v>368</v>
      </c>
      <c r="AR161" s="3" t="str">
        <f>IFERROR(MID(VLOOKUP($B161,Seqs!$A:$B,2,0),AS161,1),"")</f>
        <v>L</v>
      </c>
      <c r="AS161" s="3">
        <v>374</v>
      </c>
      <c r="AT161" s="3" t="str">
        <f>IFERROR(MID(VLOOKUP($B161,Seqs!$A:$B,2,0),AU161,1),"")</f>
        <v>R</v>
      </c>
      <c r="AU161" s="3">
        <v>400</v>
      </c>
      <c r="AV161" s="3" t="str">
        <f>IFERROR(MID(VLOOKUP($B161,Seqs!$A:$B,2,0),AW161,1),"")</f>
        <v>S</v>
      </c>
      <c r="AW161" s="3">
        <v>401</v>
      </c>
      <c r="AX161" s="3" t="str">
        <f>IFERROR(MID(VLOOKUP($B161,Seqs!$A:$B,2,0),AY161,1),"")</f>
        <v>M</v>
      </c>
      <c r="AY161" s="3">
        <v>411</v>
      </c>
      <c r="AZ161" s="77" t="str">
        <f>VLOOKUP(B161,Classification!A:D,2,0)</f>
        <v>A</v>
      </c>
      <c r="BA161" s="94" t="str">
        <f>VLOOKUP(B161,Classification!A:D,4,0)</f>
        <v>Cannabinoid</v>
      </c>
      <c r="BB161" s="27" t="b">
        <f t="shared" si="812"/>
        <v>1</v>
      </c>
      <c r="BC161" s="23">
        <f t="shared" si="589"/>
        <v>243</v>
      </c>
      <c r="BD161" s="2" t="s">
        <v>23</v>
      </c>
      <c r="BE161" s="3" t="s">
        <v>1375</v>
      </c>
      <c r="BF161" s="119">
        <v>2.6</v>
      </c>
      <c r="BG161" s="49" t="s">
        <v>1378</v>
      </c>
      <c r="BH161" s="49" t="s">
        <v>1378</v>
      </c>
      <c r="BJ161" s="70" t="s">
        <v>1288</v>
      </c>
      <c r="BK161" s="57" t="s">
        <v>1288</v>
      </c>
      <c r="BL161" s="57" t="s">
        <v>1288</v>
      </c>
      <c r="BM161" s="57" t="s">
        <v>1288</v>
      </c>
      <c r="BN161" s="57" t="s">
        <v>1288</v>
      </c>
      <c r="BO161" s="57" t="s">
        <v>1288</v>
      </c>
      <c r="BP161" s="57" t="s">
        <v>1288</v>
      </c>
      <c r="BQ161" s="57" t="s">
        <v>1288</v>
      </c>
      <c r="BR161" s="57" t="s">
        <v>1288</v>
      </c>
      <c r="BS161" s="57" t="s">
        <v>1288</v>
      </c>
      <c r="BT161" s="57" t="s">
        <v>1288</v>
      </c>
      <c r="BU161" s="57" t="s">
        <v>1288</v>
      </c>
      <c r="BV161" s="70">
        <f t="shared" si="590"/>
        <v>112</v>
      </c>
      <c r="BW161" s="71">
        <f t="shared" si="591"/>
        <v>145</v>
      </c>
      <c r="BX161" s="72">
        <f t="shared" si="592"/>
        <v>150</v>
      </c>
      <c r="BY161" s="71" t="str">
        <f t="shared" si="593"/>
        <v>-</v>
      </c>
      <c r="BZ161" s="72">
        <f t="shared" si="594"/>
        <v>185</v>
      </c>
      <c r="CA161" s="71">
        <f t="shared" si="595"/>
        <v>221</v>
      </c>
      <c r="CB161" s="72">
        <f t="shared" si="596"/>
        <v>229</v>
      </c>
      <c r="CC161" s="71" t="str">
        <f t="shared" si="597"/>
        <v>-</v>
      </c>
      <c r="CD161" s="72">
        <f t="shared" si="598"/>
        <v>272</v>
      </c>
      <c r="CE161" s="71">
        <f t="shared" si="599"/>
        <v>333</v>
      </c>
      <c r="CF161" s="72">
        <f t="shared" si="600"/>
        <v>374</v>
      </c>
      <c r="CG161" s="71">
        <f t="shared" si="601"/>
        <v>401</v>
      </c>
      <c r="CH161" s="70">
        <f t="shared" si="602"/>
        <v>144</v>
      </c>
      <c r="CI161" s="71">
        <f t="shared" si="603"/>
        <v>148</v>
      </c>
      <c r="CJ161" s="72">
        <f t="shared" si="604"/>
        <v>179</v>
      </c>
      <c r="CK161" s="72" t="str">
        <f t="shared" si="605"/>
        <v>-</v>
      </c>
      <c r="CL161" s="72">
        <f t="shared" si="606"/>
        <v>220</v>
      </c>
      <c r="CM161" s="72">
        <f t="shared" si="607"/>
        <v>228</v>
      </c>
      <c r="CN161" s="72">
        <f t="shared" si="608"/>
        <v>254</v>
      </c>
      <c r="CO161" s="72" t="str">
        <f t="shared" si="609"/>
        <v>-</v>
      </c>
      <c r="CP161" s="72">
        <f t="shared" si="610"/>
        <v>301</v>
      </c>
      <c r="CQ161" s="72">
        <f t="shared" si="611"/>
        <v>368</v>
      </c>
      <c r="CR161" s="72">
        <f t="shared" si="612"/>
        <v>400</v>
      </c>
      <c r="CS161" s="72">
        <f t="shared" si="613"/>
        <v>411</v>
      </c>
      <c r="CT161" s="23">
        <f t="shared" si="614"/>
        <v>2</v>
      </c>
    </row>
    <row r="162" spans="1:1029" x14ac:dyDescent="0.2">
      <c r="A162" s="3" t="str">
        <f>CONCATENATE(B162,"_",C162)</f>
        <v>cnr1_human_5XR8</v>
      </c>
      <c r="B162" s="3" t="s">
        <v>182</v>
      </c>
      <c r="C162" s="3" t="s">
        <v>1425</v>
      </c>
      <c r="D162" s="3" t="str">
        <f>IFERROR(MID(VLOOKUP($B162,Seqs!$A:$B,2,0),E162,1),"")</f>
        <v>N</v>
      </c>
      <c r="E162" s="3">
        <v>112</v>
      </c>
      <c r="F162" s="3" t="str">
        <f>IFERROR(MID(VLOOKUP($B162,Seqs!$A:$B,2,0),G162,1),"")</f>
        <v>S</v>
      </c>
      <c r="G162" s="3">
        <v>146</v>
      </c>
      <c r="H162" s="3" t="str">
        <f>IFERROR(MID(VLOOKUP($B162,Seqs!$A:$B,2,0),I162,1),"")</f>
        <v/>
      </c>
      <c r="I162" s="23" t="s">
        <v>23</v>
      </c>
      <c r="J162" s="3" t="str">
        <f>IFERROR(MID(VLOOKUP($B162,Seqs!$A:$B,2,0),K162,1),"")</f>
        <v/>
      </c>
      <c r="K162" s="23" t="s">
        <v>23</v>
      </c>
      <c r="L162" s="3" t="str">
        <f>IFERROR(MID(VLOOKUP($B162,Seqs!$A:$B,2,0),M162,1),"")</f>
        <v>Y</v>
      </c>
      <c r="M162" s="3">
        <v>153</v>
      </c>
      <c r="N162" s="3" t="str">
        <f>IFERROR(MID(VLOOKUP($B162,Seqs!$A:$B,2,0),O162,1),"")</f>
        <v>F</v>
      </c>
      <c r="O162" s="3">
        <v>180</v>
      </c>
      <c r="P162" s="3" t="str">
        <f>IFERROR(MID(VLOOKUP($B162,Seqs!$A:$B,2,0),Q162,1),"")</f>
        <v/>
      </c>
      <c r="Q162" s="3" t="s">
        <v>23</v>
      </c>
      <c r="R162" s="3" t="str">
        <f>IFERROR(MID(VLOOKUP($B162,Seqs!$A:$B,2,0),S162,1),"")</f>
        <v/>
      </c>
      <c r="S162" s="3" t="s">
        <v>23</v>
      </c>
      <c r="T162" s="3" t="str">
        <f>IFERROR(MID(VLOOKUP($B162,Seqs!$A:$B,2,0),U162,1),"")</f>
        <v>S</v>
      </c>
      <c r="U162" s="3">
        <v>185</v>
      </c>
      <c r="V162" s="3" t="str">
        <f>IFERROR(MID(VLOOKUP($B162,Seqs!$A:$B,2,0),W162,1),"")</f>
        <v>R</v>
      </c>
      <c r="W162" s="3">
        <v>220</v>
      </c>
      <c r="X162" s="3" t="str">
        <f>IFERROR(MID(VLOOKUP($B162,Seqs!$A:$B,2,0),Y162,1),"")</f>
        <v>P</v>
      </c>
      <c r="Y162" s="3">
        <v>221</v>
      </c>
      <c r="Z162" s="3" t="str">
        <f>IFERROR(MID(VLOOKUP($B162,Seqs!$A:$B,2,0),AA162,1),"")</f>
        <v>V</v>
      </c>
      <c r="AA162" s="3">
        <v>228</v>
      </c>
      <c r="AB162" s="3" t="str">
        <f>IFERROR(MID(VLOOKUP($B162,Seqs!$A:$B,2,0),AC162,1),"")</f>
        <v>T</v>
      </c>
      <c r="AC162" s="3">
        <v>229</v>
      </c>
      <c r="AD162" s="3" t="str">
        <f>IFERROR(MID(VLOOKUP($B162,Seqs!$A:$B,2,0),AE162,1),"")</f>
        <v>G</v>
      </c>
      <c r="AE162" s="3">
        <v>254</v>
      </c>
      <c r="AF162" s="3" t="str">
        <f>IFERROR(MID(VLOOKUP($B162,Seqs!$A:$B,2,0),AG162,1),"")</f>
        <v/>
      </c>
      <c r="AG162" s="3" t="s">
        <v>23</v>
      </c>
      <c r="AH162" s="3" t="str">
        <f>IFERROR(MID(VLOOKUP($B162,Seqs!$A:$B,2,0),AI162,1),"")</f>
        <v/>
      </c>
      <c r="AI162" s="3" t="s">
        <v>23</v>
      </c>
      <c r="AJ162" s="3" t="str">
        <f>IFERROR(MID(VLOOKUP($B162,Seqs!$A:$B,2,0),AK162,1),"")</f>
        <v>D</v>
      </c>
      <c r="AK162" s="3">
        <v>272</v>
      </c>
      <c r="AL162" s="3" t="str">
        <f>IFERROR(MID(VLOOKUP($B162,Seqs!$A:$B,2,0),AM162,1),"")</f>
        <v>S</v>
      </c>
      <c r="AM162" s="3">
        <v>303</v>
      </c>
      <c r="AN162" s="3" t="str">
        <f>IFERROR(MID(VLOOKUP($B162,Seqs!$A:$B,2,0),AO162,1),"")</f>
        <v>D</v>
      </c>
      <c r="AO162" s="3">
        <v>338</v>
      </c>
      <c r="AP162" s="3" t="str">
        <f>IFERROR(MID(VLOOKUP($B162,Seqs!$A:$B,2,0),AQ162,1),"")</f>
        <v>F</v>
      </c>
      <c r="AQ162" s="3">
        <v>368</v>
      </c>
      <c r="AR162" s="3" t="str">
        <f>IFERROR(MID(VLOOKUP($B162,Seqs!$A:$B,2,0),AS162,1),"")</f>
        <v>N</v>
      </c>
      <c r="AS162" s="3">
        <v>372</v>
      </c>
      <c r="AT162" s="3" t="str">
        <f>IFERROR(MID(VLOOKUP($B162,Seqs!$A:$B,2,0),AU162,1),"")</f>
        <v>Y</v>
      </c>
      <c r="AU162" s="3">
        <v>397</v>
      </c>
      <c r="AV162" s="3" t="str">
        <f>IFERROR(MID(VLOOKUP($B162,Seqs!$A:$B,2,0),AW162,1),"")</f>
        <v>S</v>
      </c>
      <c r="AW162" s="3">
        <v>401</v>
      </c>
      <c r="AX162" s="3" t="str">
        <f>IFERROR(MID(VLOOKUP($B162,Seqs!$A:$B,2,0),AY162,1),"")</f>
        <v>F</v>
      </c>
      <c r="AY162" s="3">
        <v>412</v>
      </c>
      <c r="AZ162" s="77" t="str">
        <f>VLOOKUP(B162,Classification!A:D,2,0)</f>
        <v>A</v>
      </c>
      <c r="BA162" s="94" t="str">
        <f>VLOOKUP(B162,Classification!A:D,4,0)</f>
        <v>Cannabinoid</v>
      </c>
      <c r="BB162" s="27" t="b">
        <f>AND(E162&lt;G162,OR(G162&lt;I162,I162="-"),OR(I162&lt;K162,I162="-"),OR(K162&lt;M162,K162="-"),M162&lt;O162,OR(O162&lt;Q162,Q162="-"),OR(Q162&lt;S162,Q162="-"),OR(S162&lt;U162,S162="-"),U162&lt;W162,OR(W162&lt;Y162,Y162="-"),OR(Y162&lt;AA162,Y162="-"),OR(AA162&lt;AC162,AA162="-"),AC162&lt;AE162,OR(AE162&lt;AG162,AG162="-"),OR(AG162&lt;AI162,AG162="-"),OR(AI162&lt;AK162,AI162="-"),AK162&lt;AM162,AM162&lt;AO162,AO162&lt;AQ162,AQ162&lt;AS162,AS162&lt;AU162,OR(AU162&lt;AW162,AW162="-"),OR(AW162&lt;AY162,AW162="-"))</f>
        <v>1</v>
      </c>
      <c r="BC162" s="23">
        <f>_xlfn.AGGREGATE(9,6,CH162:CS162)-_xlfn.AGGREGATE(9,6,BV162:CG162)+12</f>
        <v>237</v>
      </c>
      <c r="BD162" s="2" t="s">
        <v>23</v>
      </c>
      <c r="BE162" s="3" t="s">
        <v>1292</v>
      </c>
      <c r="BF162" s="119">
        <v>2.95</v>
      </c>
      <c r="BG162" s="49" t="s">
        <v>1</v>
      </c>
      <c r="BH162" s="49" t="s">
        <v>1</v>
      </c>
      <c r="BJ162" s="70" t="s">
        <v>1288</v>
      </c>
      <c r="BK162" s="57" t="s">
        <v>1288</v>
      </c>
      <c r="BL162" s="57" t="s">
        <v>1288</v>
      </c>
      <c r="BM162" s="57" t="s">
        <v>1288</v>
      </c>
      <c r="BN162" s="57" t="s">
        <v>1288</v>
      </c>
      <c r="BO162" s="57" t="s">
        <v>1288</v>
      </c>
      <c r="BP162" s="57" t="s">
        <v>1288</v>
      </c>
      <c r="BQ162" s="57" t="s">
        <v>1288</v>
      </c>
      <c r="BR162" s="57" t="s">
        <v>1288</v>
      </c>
      <c r="BS162" s="57" t="s">
        <v>1288</v>
      </c>
      <c r="BT162" s="57" t="s">
        <v>1288</v>
      </c>
      <c r="BU162" s="57" t="s">
        <v>1288</v>
      </c>
      <c r="BV162" s="70">
        <f>E162</f>
        <v>112</v>
      </c>
      <c r="BW162" s="71" t="str">
        <f>I162</f>
        <v>-</v>
      </c>
      <c r="BX162" s="72">
        <f>M162</f>
        <v>153</v>
      </c>
      <c r="BY162" s="71" t="str">
        <f>Q162</f>
        <v>-</v>
      </c>
      <c r="BZ162" s="72">
        <f>U162</f>
        <v>185</v>
      </c>
      <c r="CA162" s="71">
        <f>Y162</f>
        <v>221</v>
      </c>
      <c r="CB162" s="72">
        <f>AC162</f>
        <v>229</v>
      </c>
      <c r="CC162" s="71" t="str">
        <f>AG162</f>
        <v>-</v>
      </c>
      <c r="CD162" s="72">
        <f>AK162</f>
        <v>272</v>
      </c>
      <c r="CE162" s="71">
        <f>AO162</f>
        <v>338</v>
      </c>
      <c r="CF162" s="72">
        <f>AS162</f>
        <v>372</v>
      </c>
      <c r="CG162" s="71">
        <f>AW162</f>
        <v>401</v>
      </c>
      <c r="CH162" s="70">
        <f>G162</f>
        <v>146</v>
      </c>
      <c r="CI162" s="71" t="str">
        <f>K162</f>
        <v>-</v>
      </c>
      <c r="CJ162" s="72">
        <f>O162</f>
        <v>180</v>
      </c>
      <c r="CK162" s="72" t="str">
        <f>S162</f>
        <v>-</v>
      </c>
      <c r="CL162" s="72">
        <f>W162</f>
        <v>220</v>
      </c>
      <c r="CM162" s="72">
        <f>AA162</f>
        <v>228</v>
      </c>
      <c r="CN162" s="72">
        <f>AE162</f>
        <v>254</v>
      </c>
      <c r="CO162" s="72" t="str">
        <f>AI162</f>
        <v>-</v>
      </c>
      <c r="CP162" s="72">
        <f>AM162</f>
        <v>303</v>
      </c>
      <c r="CQ162" s="72">
        <f>AQ162</f>
        <v>368</v>
      </c>
      <c r="CR162" s="72">
        <f>AU162</f>
        <v>397</v>
      </c>
      <c r="CS162" s="72">
        <f>AY162</f>
        <v>412</v>
      </c>
      <c r="CT162" s="23" t="e">
        <f>M162-K162</f>
        <v>#VALUE!</v>
      </c>
    </row>
    <row r="163" spans="1:1029" x14ac:dyDescent="0.2">
      <c r="A163" s="3" t="str">
        <f>CONCATENATE(B163,"_",C163)</f>
        <v>cnr1_human_5XRA</v>
      </c>
      <c r="B163" s="3" t="s">
        <v>182</v>
      </c>
      <c r="C163" s="3" t="s">
        <v>1426</v>
      </c>
      <c r="D163" s="3" t="str">
        <f>IFERROR(MID(VLOOKUP($B163,Seqs!$A:$B,2,0),E163,1),"")</f>
        <v>N</v>
      </c>
      <c r="E163" s="3">
        <v>112</v>
      </c>
      <c r="F163" s="3" t="str">
        <f>IFERROR(MID(VLOOKUP($B163,Seqs!$A:$B,2,0),G163,1),"")</f>
        <v>S</v>
      </c>
      <c r="G163" s="3">
        <v>146</v>
      </c>
      <c r="H163" s="3" t="str">
        <f>IFERROR(MID(VLOOKUP($B163,Seqs!$A:$B,2,0),I163,1),"")</f>
        <v/>
      </c>
      <c r="I163" s="23" t="s">
        <v>23</v>
      </c>
      <c r="J163" s="3" t="str">
        <f>IFERROR(MID(VLOOKUP($B163,Seqs!$A:$B,2,0),K163,1),"")</f>
        <v/>
      </c>
      <c r="K163" s="23" t="s">
        <v>23</v>
      </c>
      <c r="L163" s="3" t="str">
        <f>IFERROR(MID(VLOOKUP($B163,Seqs!$A:$B,2,0),M163,1),"")</f>
        <v>Y</v>
      </c>
      <c r="M163" s="3">
        <v>153</v>
      </c>
      <c r="N163" s="3" t="str">
        <f>IFERROR(MID(VLOOKUP($B163,Seqs!$A:$B,2,0),O163,1),"")</f>
        <v>F</v>
      </c>
      <c r="O163" s="3">
        <v>180</v>
      </c>
      <c r="P163" s="3" t="str">
        <f>IFERROR(MID(VLOOKUP($B163,Seqs!$A:$B,2,0),Q163,1),"")</f>
        <v/>
      </c>
      <c r="Q163" s="3" t="s">
        <v>23</v>
      </c>
      <c r="R163" s="3" t="str">
        <f>IFERROR(MID(VLOOKUP($B163,Seqs!$A:$B,2,0),S163,1),"")</f>
        <v/>
      </c>
      <c r="S163" s="3" t="s">
        <v>23</v>
      </c>
      <c r="T163" s="3" t="str">
        <f>IFERROR(MID(VLOOKUP($B163,Seqs!$A:$B,2,0),U163,1),"")</f>
        <v>S</v>
      </c>
      <c r="U163" s="3">
        <v>185</v>
      </c>
      <c r="V163" s="3" t="str">
        <f>IFERROR(MID(VLOOKUP($B163,Seqs!$A:$B,2,0),W163,1),"")</f>
        <v>R</v>
      </c>
      <c r="W163" s="3">
        <v>220</v>
      </c>
      <c r="X163" s="3" t="str">
        <f>IFERROR(MID(VLOOKUP($B163,Seqs!$A:$B,2,0),Y163,1),"")</f>
        <v>P</v>
      </c>
      <c r="Y163" s="3">
        <v>221</v>
      </c>
      <c r="Z163" s="3" t="str">
        <f>IFERROR(MID(VLOOKUP($B163,Seqs!$A:$B,2,0),AA163,1),"")</f>
        <v>V</v>
      </c>
      <c r="AA163" s="3">
        <v>228</v>
      </c>
      <c r="AB163" s="3" t="str">
        <f>IFERROR(MID(VLOOKUP($B163,Seqs!$A:$B,2,0),AC163,1),"")</f>
        <v>T</v>
      </c>
      <c r="AC163" s="3">
        <v>229</v>
      </c>
      <c r="AD163" s="3" t="str">
        <f>IFERROR(MID(VLOOKUP($B163,Seqs!$A:$B,2,0),AE163,1),"")</f>
        <v>G</v>
      </c>
      <c r="AE163" s="3">
        <v>254</v>
      </c>
      <c r="AF163" s="3" t="str">
        <f>IFERROR(MID(VLOOKUP($B163,Seqs!$A:$B,2,0),AG163,1),"")</f>
        <v/>
      </c>
      <c r="AG163" s="3" t="s">
        <v>23</v>
      </c>
      <c r="AH163" s="3" t="str">
        <f>IFERROR(MID(VLOOKUP($B163,Seqs!$A:$B,2,0),AI163,1),"")</f>
        <v/>
      </c>
      <c r="AI163" s="3" t="s">
        <v>23</v>
      </c>
      <c r="AJ163" s="3" t="str">
        <f>IFERROR(MID(VLOOKUP($B163,Seqs!$A:$B,2,0),AK163,1),"")</f>
        <v>D</v>
      </c>
      <c r="AK163" s="3">
        <v>272</v>
      </c>
      <c r="AL163" s="3" t="str">
        <f>IFERROR(MID(VLOOKUP($B163,Seqs!$A:$B,2,0),AM163,1),"")</f>
        <v>A</v>
      </c>
      <c r="AM163" s="3">
        <v>305</v>
      </c>
      <c r="AN163" s="3" t="str">
        <f>IFERROR(MID(VLOOKUP($B163,Seqs!$A:$B,2,0),AO163,1),"")</f>
        <v>D</v>
      </c>
      <c r="AO163" s="3">
        <v>338</v>
      </c>
      <c r="AP163" s="3" t="str">
        <f>IFERROR(MID(VLOOKUP($B163,Seqs!$A:$B,2,0),AQ163,1),"")</f>
        <v>G</v>
      </c>
      <c r="AQ163" s="3">
        <v>369</v>
      </c>
      <c r="AR163" s="3" t="str">
        <f>IFERROR(MID(VLOOKUP($B163,Seqs!$A:$B,2,0),AS163,1),"")</f>
        <v>N</v>
      </c>
      <c r="AS163" s="3">
        <v>372</v>
      </c>
      <c r="AT163" s="3" t="str">
        <f>IFERROR(MID(VLOOKUP($B163,Seqs!$A:$B,2,0),AU163,1),"")</f>
        <v>Y</v>
      </c>
      <c r="AU163" s="3">
        <v>397</v>
      </c>
      <c r="AV163" s="3" t="str">
        <f>IFERROR(MID(VLOOKUP($B163,Seqs!$A:$B,2,0),AW163,1),"")</f>
        <v>S</v>
      </c>
      <c r="AW163" s="3">
        <v>401</v>
      </c>
      <c r="AX163" s="3" t="str">
        <f>IFERROR(MID(VLOOKUP($B163,Seqs!$A:$B,2,0),AY163,1),"")</f>
        <v>F</v>
      </c>
      <c r="AY163" s="3">
        <v>412</v>
      </c>
      <c r="AZ163" s="77" t="str">
        <f>VLOOKUP(B163,Classification!A:D,2,0)</f>
        <v>A</v>
      </c>
      <c r="BA163" s="94" t="str">
        <f>VLOOKUP(B163,Classification!A:D,4,0)</f>
        <v>Cannabinoid</v>
      </c>
      <c r="BB163" s="27" t="b">
        <f>AND(E163&lt;G163,OR(G163&lt;I163,I163="-"),OR(I163&lt;K163,I163="-"),OR(K163&lt;M163,K163="-"),M163&lt;O163,OR(O163&lt;Q163,Q163="-"),OR(Q163&lt;S163,Q163="-"),OR(S163&lt;U163,S163="-"),U163&lt;W163,OR(W163&lt;Y163,Y163="-"),OR(Y163&lt;AA163,Y163="-"),OR(AA163&lt;AC163,AA163="-"),AC163&lt;AE163,OR(AE163&lt;AG163,AG163="-"),OR(AG163&lt;AI163,AG163="-"),OR(AI163&lt;AK163,AI163="-"),AK163&lt;AM163,AM163&lt;AO163,AO163&lt;AQ163,AQ163&lt;AS163,AS163&lt;AU163,OR(AU163&lt;AW163,AW163="-"),OR(AW163&lt;AY163,AW163="-"))</f>
        <v>1</v>
      </c>
      <c r="BC163" s="23">
        <f>_xlfn.AGGREGATE(9,6,CH163:CS163)-_xlfn.AGGREGATE(9,6,BV163:CG163)+12</f>
        <v>240</v>
      </c>
      <c r="BD163" s="2" t="s">
        <v>23</v>
      </c>
      <c r="BE163" s="3" t="s">
        <v>1292</v>
      </c>
      <c r="BF163" s="119">
        <v>2.8</v>
      </c>
      <c r="BG163" s="49" t="s">
        <v>1</v>
      </c>
      <c r="BH163" s="49" t="s">
        <v>1</v>
      </c>
      <c r="BJ163" s="70" t="s">
        <v>1288</v>
      </c>
      <c r="BK163" s="57" t="s">
        <v>1288</v>
      </c>
      <c r="BL163" s="57" t="s">
        <v>1288</v>
      </c>
      <c r="BM163" s="57" t="s">
        <v>1288</v>
      </c>
      <c r="BN163" s="57" t="s">
        <v>1288</v>
      </c>
      <c r="BO163" s="57" t="s">
        <v>1288</v>
      </c>
      <c r="BP163" s="57" t="s">
        <v>1288</v>
      </c>
      <c r="BQ163" s="57" t="s">
        <v>1288</v>
      </c>
      <c r="BR163" s="57" t="s">
        <v>1288</v>
      </c>
      <c r="BS163" s="57" t="s">
        <v>1288</v>
      </c>
      <c r="BT163" s="57" t="s">
        <v>1288</v>
      </c>
      <c r="BU163" s="57" t="s">
        <v>1288</v>
      </c>
      <c r="BV163" s="70">
        <f>E163</f>
        <v>112</v>
      </c>
      <c r="BW163" s="71" t="str">
        <f>I163</f>
        <v>-</v>
      </c>
      <c r="BX163" s="72">
        <f>M163</f>
        <v>153</v>
      </c>
      <c r="BY163" s="71" t="str">
        <f>Q163</f>
        <v>-</v>
      </c>
      <c r="BZ163" s="72">
        <f>U163</f>
        <v>185</v>
      </c>
      <c r="CA163" s="71">
        <f>Y163</f>
        <v>221</v>
      </c>
      <c r="CB163" s="72">
        <f>AC163</f>
        <v>229</v>
      </c>
      <c r="CC163" s="71" t="str">
        <f>AG163</f>
        <v>-</v>
      </c>
      <c r="CD163" s="72">
        <f>AK163</f>
        <v>272</v>
      </c>
      <c r="CE163" s="71">
        <f>AO163</f>
        <v>338</v>
      </c>
      <c r="CF163" s="72">
        <f>AS163</f>
        <v>372</v>
      </c>
      <c r="CG163" s="71">
        <f>AW163</f>
        <v>401</v>
      </c>
      <c r="CH163" s="70">
        <f>G163</f>
        <v>146</v>
      </c>
      <c r="CI163" s="71" t="str">
        <f>K163</f>
        <v>-</v>
      </c>
      <c r="CJ163" s="72">
        <f>O163</f>
        <v>180</v>
      </c>
      <c r="CK163" s="72" t="str">
        <f>S163</f>
        <v>-</v>
      </c>
      <c r="CL163" s="72">
        <f>W163</f>
        <v>220</v>
      </c>
      <c r="CM163" s="72">
        <f>AA163</f>
        <v>228</v>
      </c>
      <c r="CN163" s="72">
        <f>AE163</f>
        <v>254</v>
      </c>
      <c r="CO163" s="72" t="str">
        <f>AI163</f>
        <v>-</v>
      </c>
      <c r="CP163" s="72">
        <f>AM163</f>
        <v>305</v>
      </c>
      <c r="CQ163" s="72">
        <f>AQ163</f>
        <v>369</v>
      </c>
      <c r="CR163" s="72">
        <f>AU163</f>
        <v>397</v>
      </c>
      <c r="CS163" s="72">
        <f>AY163</f>
        <v>412</v>
      </c>
      <c r="CT163" s="23" t="e">
        <f>M163-K163</f>
        <v>#VALUE!</v>
      </c>
    </row>
    <row r="164" spans="1:1029" s="12" customFormat="1" x14ac:dyDescent="0.2">
      <c r="A164" s="9" t="str">
        <f>CONCATENATE(B164,"_",C164)</f>
        <v>cnr1_human_6N4B</v>
      </c>
      <c r="B164" s="9" t="s">
        <v>182</v>
      </c>
      <c r="C164" s="9" t="s">
        <v>1557</v>
      </c>
      <c r="D164" s="9" t="str">
        <f>IFERROR(MID(VLOOKUP($B164,Seqs!$A:$B,2,0),E164,1),"")</f>
        <v>N</v>
      </c>
      <c r="E164" s="9">
        <v>112</v>
      </c>
      <c r="F164" s="9" t="str">
        <f>IFERROR(MID(VLOOKUP($B164,Seqs!$A:$B,2,0),G164,1),"")</f>
        <v>H</v>
      </c>
      <c r="G164" s="9">
        <v>143</v>
      </c>
      <c r="H164" s="9" t="str">
        <f>IFERROR(MID(VLOOKUP($B164,Seqs!$A:$B,2,0),I164,1),"")</f>
        <v>R</v>
      </c>
      <c r="I164" s="109">
        <v>145</v>
      </c>
      <c r="J164" s="9" t="str">
        <f>IFERROR(MID(VLOOKUP($B164,Seqs!$A:$B,2,0),K164,1),"")</f>
        <v>R</v>
      </c>
      <c r="K164" s="109">
        <v>148</v>
      </c>
      <c r="L164" s="9" t="str">
        <f>IFERROR(MID(VLOOKUP($B164,Seqs!$A:$B,2,0),M164,1),"")</f>
        <v>Y</v>
      </c>
      <c r="M164" s="9">
        <v>153</v>
      </c>
      <c r="N164" s="9" t="str">
        <f>IFERROR(MID(VLOOKUP($B164,Seqs!$A:$B,2,0),O164,1),"")</f>
        <v>H</v>
      </c>
      <c r="O164" s="9">
        <v>178</v>
      </c>
      <c r="P164" s="9" t="str">
        <f>IFERROR(MID(VLOOKUP($B164,Seqs!$A:$B,2,0),Q164,1),"")</f>
        <v/>
      </c>
      <c r="Q164" s="9" t="s">
        <v>23</v>
      </c>
      <c r="R164" s="9" t="str">
        <f>IFERROR(MID(VLOOKUP($B164,Seqs!$A:$B,2,0),S164,1),"")</f>
        <v/>
      </c>
      <c r="S164" s="9" t="s">
        <v>23</v>
      </c>
      <c r="T164" s="9" t="str">
        <f>IFERROR(MID(VLOOKUP($B164,Seqs!$A:$B,2,0),U164,1),"")</f>
        <v>S</v>
      </c>
      <c r="U164" s="9">
        <v>185</v>
      </c>
      <c r="V164" s="9" t="str">
        <f>IFERROR(MID(VLOOKUP($B164,Seqs!$A:$B,2,0),W164,1),"")</f>
        <v>R</v>
      </c>
      <c r="W164" s="9">
        <v>220</v>
      </c>
      <c r="X164" s="9" t="str">
        <f>IFERROR(MID(VLOOKUP($B164,Seqs!$A:$B,2,0),Y164,1),"")</f>
        <v>P</v>
      </c>
      <c r="Y164" s="9">
        <v>221</v>
      </c>
      <c r="Z164" s="9" t="str">
        <f>IFERROR(MID(VLOOKUP($B164,Seqs!$A:$B,2,0),AA164,1),"")</f>
        <v>V</v>
      </c>
      <c r="AA164" s="9">
        <v>228</v>
      </c>
      <c r="AB164" s="9" t="str">
        <f>IFERROR(MID(VLOOKUP($B164,Seqs!$A:$B,2,0),AC164,1),"")</f>
        <v>T</v>
      </c>
      <c r="AC164" s="9">
        <v>229</v>
      </c>
      <c r="AD164" s="9" t="str">
        <f>IFERROR(MID(VLOOKUP($B164,Seqs!$A:$B,2,0),AE164,1),"")</f>
        <v>G</v>
      </c>
      <c r="AE164" s="9">
        <v>254</v>
      </c>
      <c r="AF164" s="9" t="str">
        <f>IFERROR(MID(VLOOKUP($B164,Seqs!$A:$B,2,0),AG164,1),"")</f>
        <v/>
      </c>
      <c r="AG164" s="9" t="s">
        <v>23</v>
      </c>
      <c r="AH164" s="9" t="str">
        <f>IFERROR(MID(VLOOKUP($B164,Seqs!$A:$B,2,0),AI164,1),"")</f>
        <v/>
      </c>
      <c r="AI164" s="9" t="s">
        <v>23</v>
      </c>
      <c r="AJ164" s="9" t="str">
        <f>IFERROR(MID(VLOOKUP($B164,Seqs!$A:$B,2,0),AK164,1),"")</f>
        <v>D</v>
      </c>
      <c r="AK164" s="9">
        <v>272</v>
      </c>
      <c r="AL164" s="9" t="str">
        <f>IFERROR(MID(VLOOKUP($B164,Seqs!$A:$B,2,0),AM164,1),"")</f>
        <v>R</v>
      </c>
      <c r="AM164" s="9">
        <v>311</v>
      </c>
      <c r="AN164" s="9" t="str">
        <f>IFERROR(MID(VLOOKUP($B164,Seqs!$A:$B,2,0),AO164,1),"")</f>
        <v>A</v>
      </c>
      <c r="AO164" s="9">
        <v>335</v>
      </c>
      <c r="AP164" s="9" t="str">
        <f>IFERROR(MID(VLOOKUP($B164,Seqs!$A:$B,2,0),AQ164,1),"")</f>
        <v>M</v>
      </c>
      <c r="AQ164" s="9">
        <v>363</v>
      </c>
      <c r="AR164" s="9" t="str">
        <f>IFERROR(MID(VLOOKUP($B164,Seqs!$A:$B,2,0),AS164,1),"")</f>
        <v>L</v>
      </c>
      <c r="AS164" s="9">
        <v>374</v>
      </c>
      <c r="AT164" s="9" t="str">
        <f>IFERROR(MID(VLOOKUP($B164,Seqs!$A:$B,2,0),AU164,1),"")</f>
        <v>R</v>
      </c>
      <c r="AU164" s="9">
        <v>400</v>
      </c>
      <c r="AV164" s="9" t="str">
        <f>IFERROR(MID(VLOOKUP($B164,Seqs!$A:$B,2,0),AW164,1),"")</f>
        <v>S</v>
      </c>
      <c r="AW164" s="9">
        <v>401</v>
      </c>
      <c r="AX164" s="9" t="str">
        <f>IFERROR(MID(VLOOKUP($B164,Seqs!$A:$B,2,0),AY164,1),"")</f>
        <v>M</v>
      </c>
      <c r="AY164" s="9">
        <v>411</v>
      </c>
      <c r="AZ164" s="110" t="str">
        <f>VLOOKUP(B164,Classification!A:D,2,0)</f>
        <v>A</v>
      </c>
      <c r="BA164" s="98" t="str">
        <f>VLOOKUP(B164,Classification!A:D,4,0)</f>
        <v>Cannabinoid</v>
      </c>
      <c r="BB164" s="36" t="b">
        <f>AND(E164&lt;G164,OR(G164&lt;I164,I164="-"),OR(I164&lt;K164,I164="-"),OR(K164&lt;M164,K164="-"),M164&lt;O164,OR(O164&lt;Q164,Q164="-"),OR(Q164&lt;S164,Q164="-"),OR(S164&lt;U164,S164="-"),U164&lt;W164,OR(W164&lt;Y164,Y164="-"),OR(Y164&lt;AA164,Y164="-"),OR(AA164&lt;AC164,AA164="-"),AC164&lt;AE164,OR(AE164&lt;AG164,AG164="-"),OR(AG164&lt;AI164,AG164="-"),OR(AI164&lt;AK164,AI164="-"),AK164&lt;AM164,AM164&lt;AO164,AO164&lt;AQ164,AQ164&lt;AS164,AS164&lt;AU164,OR(AU164&lt;AW164,AW164="-"),OR(AW164&lt;AY164,AW164="-"))</f>
        <v>1</v>
      </c>
      <c r="BC164" s="109">
        <f>_xlfn.AGGREGATE(9,6,CH164:CS164)-_xlfn.AGGREGATE(9,6,BV164:CG164)+12</f>
        <v>241</v>
      </c>
      <c r="BD164" s="40" t="s">
        <v>1376</v>
      </c>
      <c r="BE164" s="9" t="s">
        <v>1292</v>
      </c>
      <c r="BF164" s="120">
        <v>3</v>
      </c>
      <c r="BG164" s="51" t="s">
        <v>1423</v>
      </c>
      <c r="BH164" s="51" t="s">
        <v>1423</v>
      </c>
      <c r="BI164" s="9"/>
      <c r="BJ164" s="111" t="s">
        <v>1288</v>
      </c>
      <c r="BK164" s="112" t="s">
        <v>1288</v>
      </c>
      <c r="BL164" s="112" t="s">
        <v>1288</v>
      </c>
      <c r="BM164" s="112" t="s">
        <v>1288</v>
      </c>
      <c r="BN164" s="112" t="s">
        <v>1288</v>
      </c>
      <c r="BO164" s="112" t="s">
        <v>1288</v>
      </c>
      <c r="BP164" s="112" t="s">
        <v>1288</v>
      </c>
      <c r="BQ164" s="112" t="s">
        <v>1288</v>
      </c>
      <c r="BR164" s="112" t="s">
        <v>1288</v>
      </c>
      <c r="BS164" s="112" t="s">
        <v>1288</v>
      </c>
      <c r="BT164" s="112" t="s">
        <v>1288</v>
      </c>
      <c r="BU164" s="112" t="s">
        <v>1288</v>
      </c>
      <c r="BV164" s="111">
        <f>E164</f>
        <v>112</v>
      </c>
      <c r="BW164" s="113">
        <f>I164</f>
        <v>145</v>
      </c>
      <c r="BX164" s="114">
        <f>M164</f>
        <v>153</v>
      </c>
      <c r="BY164" s="113" t="str">
        <f>Q164</f>
        <v>-</v>
      </c>
      <c r="BZ164" s="114">
        <f>U164</f>
        <v>185</v>
      </c>
      <c r="CA164" s="113">
        <f>Y164</f>
        <v>221</v>
      </c>
      <c r="CB164" s="114">
        <f>AC164</f>
        <v>229</v>
      </c>
      <c r="CC164" s="113" t="str">
        <f>AG164</f>
        <v>-</v>
      </c>
      <c r="CD164" s="114">
        <f>AK164</f>
        <v>272</v>
      </c>
      <c r="CE164" s="113">
        <f>AO164</f>
        <v>335</v>
      </c>
      <c r="CF164" s="114">
        <f>AS164</f>
        <v>374</v>
      </c>
      <c r="CG164" s="113">
        <f>AW164</f>
        <v>401</v>
      </c>
      <c r="CH164" s="111">
        <f>G164</f>
        <v>143</v>
      </c>
      <c r="CI164" s="113">
        <f>K164</f>
        <v>148</v>
      </c>
      <c r="CJ164" s="114">
        <f>O164</f>
        <v>178</v>
      </c>
      <c r="CK164" s="114" t="str">
        <f>S164</f>
        <v>-</v>
      </c>
      <c r="CL164" s="114">
        <f>W164</f>
        <v>220</v>
      </c>
      <c r="CM164" s="114">
        <f>AA164</f>
        <v>228</v>
      </c>
      <c r="CN164" s="114">
        <f>AE164</f>
        <v>254</v>
      </c>
      <c r="CO164" s="114" t="str">
        <f>AI164</f>
        <v>-</v>
      </c>
      <c r="CP164" s="114">
        <f>AM164</f>
        <v>311</v>
      </c>
      <c r="CQ164" s="114">
        <f>AQ164</f>
        <v>363</v>
      </c>
      <c r="CR164" s="114">
        <f>AU164</f>
        <v>400</v>
      </c>
      <c r="CS164" s="114">
        <f>AY164</f>
        <v>411</v>
      </c>
      <c r="CT164" s="109">
        <f>M164-K164</f>
        <v>5</v>
      </c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9"/>
      <c r="GV164" s="9"/>
      <c r="GW164" s="9"/>
      <c r="GX164" s="9"/>
      <c r="GY164" s="9"/>
      <c r="GZ164" s="9"/>
      <c r="HA164" s="9"/>
      <c r="HB164" s="9"/>
      <c r="HC164" s="9"/>
      <c r="HD164" s="9"/>
      <c r="HE164" s="9"/>
      <c r="HF164" s="9"/>
      <c r="HG164" s="9"/>
      <c r="HH164" s="9"/>
      <c r="HI164" s="9"/>
      <c r="HJ164" s="9"/>
      <c r="HK164" s="9"/>
      <c r="HL164" s="9"/>
      <c r="HM164" s="9"/>
      <c r="HN164" s="9"/>
      <c r="HO164" s="9"/>
      <c r="HP164" s="9"/>
      <c r="HQ164" s="9"/>
      <c r="HR164" s="9"/>
      <c r="HS164" s="9"/>
      <c r="HT164" s="9"/>
      <c r="HU164" s="9"/>
      <c r="HV164" s="9"/>
      <c r="HW164" s="9"/>
      <c r="HX164" s="9"/>
      <c r="HY164" s="9"/>
      <c r="HZ164" s="9"/>
      <c r="IA164" s="9"/>
      <c r="IB164" s="9"/>
      <c r="IC164" s="9"/>
      <c r="ID164" s="9"/>
      <c r="IE164" s="9"/>
      <c r="IF164" s="9"/>
      <c r="IG164" s="9"/>
      <c r="IH164" s="9"/>
      <c r="II164" s="9"/>
      <c r="IJ164" s="9"/>
      <c r="IK164" s="9"/>
      <c r="IL164" s="9"/>
      <c r="IM164" s="9"/>
      <c r="IN164" s="9"/>
      <c r="IO164" s="9"/>
      <c r="IP164" s="9"/>
      <c r="IQ164" s="9"/>
      <c r="IR164" s="9"/>
      <c r="IS164" s="9"/>
      <c r="IT164" s="9"/>
      <c r="IU164" s="9"/>
      <c r="IV164" s="9"/>
      <c r="IW164" s="9"/>
      <c r="IX164" s="9"/>
      <c r="IY164" s="9"/>
      <c r="IZ164" s="9"/>
      <c r="JA164" s="9"/>
      <c r="JB164" s="9"/>
      <c r="JC164" s="9"/>
      <c r="JD164" s="9"/>
      <c r="JE164" s="9"/>
      <c r="JF164" s="9"/>
      <c r="JG164" s="9"/>
      <c r="JH164" s="9"/>
      <c r="JI164" s="9"/>
      <c r="JJ164" s="9"/>
      <c r="JK164" s="9"/>
      <c r="JL164" s="9"/>
      <c r="JM164" s="9"/>
      <c r="JN164" s="9"/>
      <c r="JO164" s="9"/>
      <c r="JP164" s="9"/>
      <c r="JQ164" s="9"/>
      <c r="JR164" s="9"/>
      <c r="JS164" s="9"/>
      <c r="JT164" s="9"/>
      <c r="JU164" s="9"/>
      <c r="JV164" s="9"/>
      <c r="JW164" s="9"/>
      <c r="JX164" s="9"/>
      <c r="JY164" s="9"/>
      <c r="JZ164" s="9"/>
      <c r="KA164" s="9"/>
      <c r="KB164" s="9"/>
      <c r="KC164" s="9"/>
      <c r="KD164" s="9"/>
      <c r="KE164" s="9"/>
      <c r="KF164" s="9"/>
      <c r="KG164" s="9"/>
      <c r="KH164" s="9"/>
      <c r="KI164" s="9"/>
      <c r="KJ164" s="9"/>
      <c r="KK164" s="9"/>
      <c r="KL164" s="9"/>
      <c r="KM164" s="9"/>
      <c r="KN164" s="9"/>
      <c r="KO164" s="9"/>
      <c r="KP164" s="9"/>
      <c r="KQ164" s="9"/>
      <c r="KR164" s="9"/>
      <c r="KS164" s="9"/>
      <c r="KT164" s="9"/>
      <c r="KU164" s="9"/>
      <c r="KV164" s="9"/>
      <c r="KW164" s="9"/>
      <c r="KX164" s="9"/>
      <c r="KY164" s="9"/>
      <c r="KZ164" s="9"/>
      <c r="LA164" s="9"/>
      <c r="LB164" s="9"/>
      <c r="LC164" s="9"/>
      <c r="LD164" s="9"/>
      <c r="LE164" s="9"/>
      <c r="LF164" s="9"/>
      <c r="LG164" s="9"/>
      <c r="LH164" s="9"/>
      <c r="LI164" s="9"/>
      <c r="LJ164" s="9"/>
      <c r="LK164" s="9"/>
      <c r="LL164" s="9"/>
      <c r="LM164" s="9"/>
      <c r="LN164" s="9"/>
      <c r="LO164" s="9"/>
      <c r="LP164" s="9"/>
      <c r="LQ164" s="9"/>
      <c r="LR164" s="9"/>
      <c r="LS164" s="9"/>
      <c r="LT164" s="9"/>
      <c r="LU164" s="9"/>
      <c r="LV164" s="9"/>
      <c r="LW164" s="9"/>
      <c r="LX164" s="9"/>
      <c r="LY164" s="9"/>
      <c r="LZ164" s="9"/>
      <c r="MA164" s="9"/>
      <c r="MB164" s="9"/>
      <c r="MC164" s="9"/>
      <c r="MD164" s="9"/>
      <c r="ME164" s="9"/>
      <c r="MF164" s="9"/>
      <c r="MG164" s="9"/>
      <c r="MH164" s="9"/>
      <c r="MI164" s="9"/>
      <c r="MJ164" s="9"/>
      <c r="MK164" s="9"/>
      <c r="ML164" s="9"/>
      <c r="MM164" s="9"/>
      <c r="MN164" s="9"/>
      <c r="MO164" s="9"/>
      <c r="MP164" s="9"/>
      <c r="MQ164" s="9"/>
      <c r="MR164" s="9"/>
      <c r="MS164" s="9"/>
      <c r="MT164" s="9"/>
      <c r="MU164" s="9"/>
      <c r="MV164" s="9"/>
      <c r="MW164" s="9"/>
      <c r="MX164" s="9"/>
      <c r="MY164" s="9"/>
      <c r="MZ164" s="9"/>
      <c r="NA164" s="9"/>
      <c r="NB164" s="9"/>
      <c r="NC164" s="9"/>
      <c r="ND164" s="9"/>
      <c r="NE164" s="9"/>
      <c r="NF164" s="9"/>
      <c r="NG164" s="9"/>
      <c r="NH164" s="9"/>
      <c r="NI164" s="9"/>
      <c r="NJ164" s="9"/>
      <c r="NK164" s="9"/>
      <c r="NL164" s="9"/>
      <c r="NM164" s="9"/>
      <c r="NN164" s="9"/>
      <c r="NO164" s="9"/>
      <c r="NP164" s="9"/>
      <c r="NQ164" s="9"/>
      <c r="NR164" s="9"/>
      <c r="NS164" s="9"/>
      <c r="NT164" s="9"/>
      <c r="NU164" s="9"/>
      <c r="NV164" s="9"/>
      <c r="NW164" s="9"/>
      <c r="NX164" s="9"/>
      <c r="NY164" s="9"/>
      <c r="NZ164" s="9"/>
      <c r="OA164" s="9"/>
      <c r="OB164" s="9"/>
      <c r="OC164" s="9"/>
      <c r="OD164" s="9"/>
      <c r="OE164" s="9"/>
      <c r="OF164" s="9"/>
      <c r="OG164" s="9"/>
      <c r="OH164" s="9"/>
      <c r="OI164" s="9"/>
      <c r="OJ164" s="9"/>
      <c r="OK164" s="9"/>
      <c r="OL164" s="9"/>
      <c r="OM164" s="9"/>
      <c r="ON164" s="9"/>
      <c r="OO164" s="9"/>
      <c r="OP164" s="9"/>
      <c r="OQ164" s="9"/>
      <c r="OR164" s="9"/>
      <c r="OS164" s="9"/>
      <c r="OT164" s="9"/>
      <c r="OU164" s="9"/>
      <c r="OV164" s="9"/>
      <c r="OW164" s="9"/>
      <c r="OX164" s="9"/>
      <c r="OY164" s="9"/>
      <c r="OZ164" s="9"/>
      <c r="PA164" s="9"/>
      <c r="PB164" s="9"/>
      <c r="PC164" s="9"/>
      <c r="PD164" s="9"/>
      <c r="PE164" s="9"/>
      <c r="PF164" s="9"/>
      <c r="PG164" s="9"/>
      <c r="PH164" s="9"/>
      <c r="PI164" s="9"/>
      <c r="PJ164" s="9"/>
      <c r="PK164" s="9"/>
      <c r="PL164" s="9"/>
      <c r="PM164" s="9"/>
      <c r="PN164" s="9"/>
      <c r="PO164" s="9"/>
      <c r="PP164" s="9"/>
      <c r="PQ164" s="9"/>
      <c r="PR164" s="9"/>
      <c r="PS164" s="9"/>
      <c r="PT164" s="9"/>
      <c r="PU164" s="9"/>
      <c r="PV164" s="9"/>
      <c r="PW164" s="9"/>
      <c r="PX164" s="9"/>
      <c r="PY164" s="9"/>
      <c r="PZ164" s="9"/>
      <c r="QA164" s="9"/>
      <c r="QB164" s="9"/>
      <c r="QC164" s="9"/>
      <c r="QD164" s="9"/>
      <c r="QE164" s="9"/>
      <c r="QF164" s="9"/>
      <c r="QG164" s="9"/>
      <c r="QH164" s="9"/>
      <c r="QI164" s="9"/>
      <c r="QJ164" s="9"/>
      <c r="QK164" s="9"/>
      <c r="QL164" s="9"/>
      <c r="QM164" s="9"/>
      <c r="QN164" s="9"/>
      <c r="QO164" s="9"/>
      <c r="QP164" s="9"/>
      <c r="QQ164" s="9"/>
      <c r="QR164" s="9"/>
      <c r="QS164" s="9"/>
      <c r="QT164" s="9"/>
      <c r="QU164" s="9"/>
      <c r="QV164" s="9"/>
      <c r="QW164" s="9"/>
      <c r="QX164" s="9"/>
      <c r="QY164" s="9"/>
      <c r="QZ164" s="9"/>
      <c r="RA164" s="9"/>
      <c r="RB164" s="9"/>
      <c r="RC164" s="9"/>
      <c r="RD164" s="9"/>
      <c r="RE164" s="9"/>
      <c r="RF164" s="9"/>
      <c r="RG164" s="9"/>
      <c r="RH164" s="9"/>
      <c r="RI164" s="9"/>
      <c r="RJ164" s="9"/>
      <c r="RK164" s="9"/>
      <c r="RL164" s="9"/>
      <c r="RM164" s="9"/>
      <c r="RN164" s="9"/>
      <c r="RO164" s="9"/>
      <c r="RP164" s="9"/>
      <c r="RQ164" s="9"/>
      <c r="RR164" s="9"/>
      <c r="RS164" s="9"/>
      <c r="RT164" s="9"/>
      <c r="RU164" s="9"/>
      <c r="RV164" s="9"/>
      <c r="RW164" s="9"/>
      <c r="RX164" s="9"/>
      <c r="RY164" s="9"/>
      <c r="RZ164" s="9"/>
      <c r="SA164" s="9"/>
      <c r="SB164" s="9"/>
      <c r="SC164" s="9"/>
      <c r="SD164" s="9"/>
      <c r="SE164" s="9"/>
      <c r="SF164" s="9"/>
      <c r="SG164" s="9"/>
      <c r="SH164" s="9"/>
      <c r="SI164" s="9"/>
      <c r="SJ164" s="9"/>
      <c r="SK164" s="9"/>
      <c r="SL164" s="9"/>
      <c r="SM164" s="9"/>
      <c r="SN164" s="9"/>
      <c r="SO164" s="9"/>
      <c r="SP164" s="9"/>
      <c r="SQ164" s="9"/>
      <c r="SR164" s="9"/>
      <c r="SS164" s="9"/>
      <c r="ST164" s="9"/>
      <c r="SU164" s="9"/>
      <c r="SV164" s="9"/>
      <c r="SW164" s="9"/>
      <c r="SX164" s="9"/>
      <c r="SY164" s="9"/>
      <c r="SZ164" s="9"/>
      <c r="TA164" s="9"/>
      <c r="TB164" s="9"/>
      <c r="TC164" s="9"/>
      <c r="TD164" s="9"/>
      <c r="TE164" s="9"/>
      <c r="TF164" s="9"/>
      <c r="TG164" s="9"/>
      <c r="TH164" s="9"/>
      <c r="TI164" s="9"/>
      <c r="TJ164" s="9"/>
      <c r="TK164" s="9"/>
      <c r="TL164" s="9"/>
      <c r="TM164" s="9"/>
      <c r="TN164" s="9"/>
      <c r="TO164" s="9"/>
      <c r="TP164" s="9"/>
      <c r="TQ164" s="9"/>
      <c r="TR164" s="9"/>
      <c r="TS164" s="9"/>
      <c r="TT164" s="9"/>
      <c r="TU164" s="9"/>
      <c r="TV164" s="9"/>
      <c r="TW164" s="9"/>
      <c r="TX164" s="9"/>
      <c r="TY164" s="9"/>
      <c r="TZ164" s="9"/>
      <c r="UA164" s="9"/>
      <c r="UB164" s="9"/>
      <c r="UC164" s="9"/>
      <c r="UD164" s="9"/>
      <c r="UE164" s="9"/>
      <c r="UF164" s="9"/>
      <c r="UG164" s="9"/>
      <c r="UH164" s="9"/>
      <c r="UI164" s="9"/>
      <c r="UJ164" s="9"/>
      <c r="UK164" s="9"/>
      <c r="UL164" s="9"/>
      <c r="UM164" s="9"/>
      <c r="UN164" s="9"/>
      <c r="UO164" s="9"/>
      <c r="UP164" s="9"/>
      <c r="UQ164" s="9"/>
      <c r="UR164" s="9"/>
      <c r="US164" s="9"/>
      <c r="UT164" s="9"/>
      <c r="UU164" s="9"/>
      <c r="UV164" s="9"/>
      <c r="UW164" s="9"/>
      <c r="UX164" s="9"/>
      <c r="UY164" s="9"/>
      <c r="UZ164" s="9"/>
      <c r="VA164" s="9"/>
      <c r="VB164" s="9"/>
      <c r="VC164" s="9"/>
      <c r="VD164" s="9"/>
      <c r="VE164" s="9"/>
      <c r="VF164" s="9"/>
      <c r="VG164" s="9"/>
      <c r="VH164" s="9"/>
      <c r="VI164" s="9"/>
      <c r="VJ164" s="9"/>
      <c r="VK164" s="9"/>
      <c r="VL164" s="9"/>
      <c r="VM164" s="9"/>
      <c r="VN164" s="9"/>
      <c r="VO164" s="9"/>
      <c r="VP164" s="9"/>
      <c r="VQ164" s="9"/>
      <c r="VR164" s="9"/>
      <c r="VS164" s="9"/>
      <c r="VT164" s="9"/>
      <c r="VU164" s="9"/>
      <c r="VV164" s="9"/>
      <c r="VW164" s="9"/>
      <c r="VX164" s="9"/>
      <c r="VY164" s="9"/>
      <c r="VZ164" s="9"/>
      <c r="WA164" s="9"/>
      <c r="WB164" s="9"/>
      <c r="WC164" s="9"/>
      <c r="WD164" s="9"/>
      <c r="WE164" s="9"/>
      <c r="WF164" s="9"/>
      <c r="WG164" s="9"/>
      <c r="WH164" s="9"/>
      <c r="WI164" s="9"/>
      <c r="WJ164" s="9"/>
      <c r="WK164" s="9"/>
      <c r="WL164" s="9"/>
      <c r="WM164" s="9"/>
      <c r="WN164" s="9"/>
      <c r="WO164" s="9"/>
      <c r="WP164" s="9"/>
      <c r="WQ164" s="9"/>
      <c r="WR164" s="9"/>
      <c r="WS164" s="9"/>
      <c r="WT164" s="9"/>
      <c r="WU164" s="9"/>
      <c r="WV164" s="9"/>
      <c r="WW164" s="9"/>
      <c r="WX164" s="9"/>
      <c r="WY164" s="9"/>
      <c r="WZ164" s="9"/>
      <c r="XA164" s="9"/>
      <c r="XB164" s="9"/>
      <c r="XC164" s="9"/>
      <c r="XD164" s="9"/>
      <c r="XE164" s="9"/>
      <c r="XF164" s="9"/>
      <c r="XG164" s="9"/>
      <c r="XH164" s="9"/>
      <c r="XI164" s="9"/>
      <c r="XJ164" s="9"/>
      <c r="XK164" s="9"/>
      <c r="XL164" s="9"/>
      <c r="XM164" s="9"/>
      <c r="XN164" s="9"/>
      <c r="XO164" s="9"/>
      <c r="XP164" s="9"/>
      <c r="XQ164" s="9"/>
      <c r="XR164" s="9"/>
      <c r="XS164" s="9"/>
      <c r="XT164" s="9"/>
      <c r="XU164" s="9"/>
      <c r="XV164" s="9"/>
      <c r="XW164" s="9"/>
      <c r="XX164" s="9"/>
      <c r="XY164" s="9"/>
      <c r="XZ164" s="9"/>
      <c r="YA164" s="9"/>
      <c r="YB164" s="9"/>
      <c r="YC164" s="9"/>
      <c r="YD164" s="9"/>
      <c r="YE164" s="9"/>
      <c r="YF164" s="9"/>
      <c r="YG164" s="9"/>
      <c r="YH164" s="9"/>
      <c r="YI164" s="9"/>
      <c r="YJ164" s="9"/>
      <c r="YK164" s="9"/>
      <c r="YL164" s="9"/>
      <c r="YM164" s="9"/>
      <c r="YN164" s="9"/>
      <c r="YO164" s="9"/>
      <c r="YP164" s="9"/>
      <c r="YQ164" s="9"/>
      <c r="YR164" s="9"/>
      <c r="YS164" s="9"/>
      <c r="YT164" s="9"/>
      <c r="YU164" s="9"/>
      <c r="YV164" s="9"/>
      <c r="YW164" s="9"/>
      <c r="YX164" s="9"/>
      <c r="YY164" s="9"/>
      <c r="YZ164" s="9"/>
      <c r="ZA164" s="9"/>
      <c r="ZB164" s="9"/>
      <c r="ZC164" s="9"/>
      <c r="ZD164" s="9"/>
      <c r="ZE164" s="9"/>
      <c r="ZF164" s="9"/>
      <c r="ZG164" s="9"/>
      <c r="ZH164" s="9"/>
      <c r="ZI164" s="9"/>
      <c r="ZJ164" s="9"/>
      <c r="ZK164" s="9"/>
      <c r="ZL164" s="9"/>
      <c r="ZM164" s="9"/>
      <c r="ZN164" s="9"/>
      <c r="ZO164" s="9"/>
      <c r="ZP164" s="9"/>
      <c r="ZQ164" s="9"/>
      <c r="ZR164" s="9"/>
      <c r="ZS164" s="9"/>
      <c r="ZT164" s="9"/>
      <c r="ZU164" s="9"/>
      <c r="ZV164" s="9"/>
      <c r="ZW164" s="9"/>
      <c r="ZX164" s="9"/>
      <c r="ZY164" s="9"/>
      <c r="ZZ164" s="9"/>
      <c r="AAA164" s="9"/>
      <c r="AAB164" s="9"/>
      <c r="AAC164" s="9"/>
      <c r="AAD164" s="9"/>
      <c r="AAE164" s="9"/>
      <c r="AAF164" s="9"/>
      <c r="AAG164" s="9"/>
      <c r="AAH164" s="9"/>
      <c r="AAI164" s="9"/>
      <c r="AAJ164" s="9"/>
      <c r="AAK164" s="9"/>
      <c r="AAL164" s="9"/>
      <c r="AAM164" s="9"/>
      <c r="AAN164" s="9"/>
      <c r="AAO164" s="9"/>
      <c r="AAP164" s="9"/>
      <c r="AAQ164" s="9"/>
      <c r="AAR164" s="9"/>
      <c r="AAS164" s="9"/>
      <c r="AAT164" s="9"/>
      <c r="AAU164" s="9"/>
      <c r="AAV164" s="9"/>
      <c r="AAW164" s="9"/>
      <c r="AAX164" s="9"/>
      <c r="AAY164" s="9"/>
      <c r="AAZ164" s="9"/>
      <c r="ABA164" s="9"/>
      <c r="ABB164" s="9"/>
      <c r="ABC164" s="9"/>
      <c r="ABD164" s="9"/>
      <c r="ABE164" s="9"/>
      <c r="ABF164" s="9"/>
      <c r="ABG164" s="9"/>
      <c r="ABH164" s="9"/>
      <c r="ABI164" s="9"/>
      <c r="ABJ164" s="9"/>
      <c r="ABK164" s="9"/>
      <c r="ABL164" s="9"/>
      <c r="ABM164" s="9"/>
      <c r="ABN164" s="9"/>
      <c r="ABO164" s="9"/>
      <c r="ABP164" s="9"/>
      <c r="ABQ164" s="9"/>
      <c r="ABR164" s="9"/>
      <c r="ABS164" s="9"/>
      <c r="ABT164" s="9"/>
      <c r="ABU164" s="9"/>
      <c r="ABV164" s="9"/>
      <c r="ABW164" s="9"/>
      <c r="ABX164" s="9"/>
      <c r="ABY164" s="9"/>
      <c r="ABZ164" s="9"/>
      <c r="ACA164" s="9"/>
      <c r="ACB164" s="9"/>
      <c r="ACC164" s="9"/>
      <c r="ACD164" s="9"/>
      <c r="ACE164" s="9"/>
      <c r="ACF164" s="9"/>
      <c r="ACG164" s="9"/>
      <c r="ACH164" s="9"/>
      <c r="ACI164" s="9"/>
      <c r="ACJ164" s="9"/>
      <c r="ACK164" s="9"/>
      <c r="ACL164" s="9"/>
      <c r="ACM164" s="9"/>
      <c r="ACN164" s="9"/>
      <c r="ACO164" s="9"/>
      <c r="ACP164" s="9"/>
      <c r="ACQ164" s="9"/>
      <c r="ACR164" s="9"/>
      <c r="ACS164" s="9"/>
      <c r="ACT164" s="9"/>
      <c r="ACU164" s="9"/>
      <c r="ACV164" s="9"/>
      <c r="ACW164" s="9"/>
      <c r="ACX164" s="9"/>
      <c r="ACY164" s="9"/>
      <c r="ACZ164" s="9"/>
      <c r="ADA164" s="9"/>
      <c r="ADB164" s="9"/>
      <c r="ADC164" s="9"/>
      <c r="ADD164" s="9"/>
      <c r="ADE164" s="9"/>
      <c r="ADF164" s="9"/>
      <c r="ADG164" s="9"/>
      <c r="ADH164" s="9"/>
      <c r="ADI164" s="9"/>
      <c r="ADJ164" s="9"/>
      <c r="ADK164" s="9"/>
      <c r="ADL164" s="9"/>
      <c r="ADM164" s="9"/>
      <c r="ADN164" s="9"/>
      <c r="ADO164" s="9"/>
      <c r="ADP164" s="9"/>
      <c r="ADQ164" s="9"/>
      <c r="ADR164" s="9"/>
      <c r="ADS164" s="9"/>
      <c r="ADT164" s="9"/>
      <c r="ADU164" s="9"/>
      <c r="ADV164" s="9"/>
      <c r="ADW164" s="9"/>
      <c r="ADX164" s="9"/>
      <c r="ADY164" s="9"/>
      <c r="ADZ164" s="9"/>
      <c r="AEA164" s="9"/>
      <c r="AEB164" s="9"/>
      <c r="AEC164" s="9"/>
      <c r="AED164" s="9"/>
      <c r="AEE164" s="9"/>
      <c r="AEF164" s="9"/>
      <c r="AEG164" s="9"/>
      <c r="AEH164" s="9"/>
      <c r="AEI164" s="9"/>
      <c r="AEJ164" s="9"/>
      <c r="AEK164" s="9"/>
      <c r="AEL164" s="9"/>
      <c r="AEM164" s="9"/>
      <c r="AEN164" s="9"/>
      <c r="AEO164" s="9"/>
      <c r="AEP164" s="9"/>
      <c r="AEQ164" s="9"/>
      <c r="AER164" s="9"/>
      <c r="AES164" s="9"/>
      <c r="AET164" s="9"/>
      <c r="AEU164" s="9"/>
      <c r="AEV164" s="9"/>
      <c r="AEW164" s="9"/>
      <c r="AEX164" s="9"/>
      <c r="AEY164" s="9"/>
      <c r="AEZ164" s="9"/>
      <c r="AFA164" s="9"/>
      <c r="AFB164" s="9"/>
      <c r="AFC164" s="9"/>
      <c r="AFD164" s="9"/>
      <c r="AFE164" s="9"/>
      <c r="AFF164" s="9"/>
      <c r="AFG164" s="9"/>
      <c r="AFH164" s="9"/>
      <c r="AFI164" s="9"/>
      <c r="AFJ164" s="9"/>
      <c r="AFK164" s="9"/>
      <c r="AFL164" s="9"/>
      <c r="AFM164" s="9"/>
      <c r="AFN164" s="9"/>
      <c r="AFO164" s="9"/>
      <c r="AFP164" s="9"/>
      <c r="AFQ164" s="9"/>
      <c r="AFR164" s="9"/>
      <c r="AFS164" s="9"/>
      <c r="AFT164" s="9"/>
      <c r="AFU164" s="9"/>
      <c r="AFV164" s="9"/>
      <c r="AFW164" s="9"/>
      <c r="AFX164" s="9"/>
      <c r="AFY164" s="9"/>
      <c r="AFZ164" s="9"/>
      <c r="AGA164" s="9"/>
      <c r="AGB164" s="9"/>
      <c r="AGC164" s="9"/>
      <c r="AGD164" s="9"/>
      <c r="AGE164" s="9"/>
      <c r="AGF164" s="9"/>
      <c r="AGG164" s="9"/>
      <c r="AGH164" s="9"/>
      <c r="AGI164" s="9"/>
      <c r="AGJ164" s="9"/>
      <c r="AGK164" s="9"/>
      <c r="AGL164" s="9"/>
      <c r="AGM164" s="9"/>
      <c r="AGN164" s="9"/>
      <c r="AGO164" s="9"/>
      <c r="AGP164" s="9"/>
      <c r="AGQ164" s="9"/>
      <c r="AGR164" s="9"/>
      <c r="AGS164" s="9"/>
      <c r="AGT164" s="9"/>
      <c r="AGU164" s="9"/>
      <c r="AGV164" s="9"/>
      <c r="AGW164" s="9"/>
      <c r="AGX164" s="9"/>
      <c r="AGY164" s="9"/>
      <c r="AGZ164" s="9"/>
      <c r="AHA164" s="9"/>
      <c r="AHB164" s="9"/>
      <c r="AHC164" s="9"/>
      <c r="AHD164" s="9"/>
      <c r="AHE164" s="9"/>
      <c r="AHF164" s="9"/>
      <c r="AHG164" s="9"/>
      <c r="AHH164" s="9"/>
      <c r="AHI164" s="9"/>
      <c r="AHJ164" s="9"/>
      <c r="AHK164" s="9"/>
      <c r="AHL164" s="9"/>
      <c r="AHM164" s="9"/>
      <c r="AHN164" s="9"/>
      <c r="AHO164" s="9"/>
      <c r="AHP164" s="9"/>
      <c r="AHQ164" s="9"/>
      <c r="AHR164" s="9"/>
      <c r="AHS164" s="9"/>
      <c r="AHT164" s="9"/>
      <c r="AHU164" s="9"/>
      <c r="AHV164" s="9"/>
      <c r="AHW164" s="9"/>
      <c r="AHX164" s="9"/>
      <c r="AHY164" s="9"/>
      <c r="AHZ164" s="9"/>
      <c r="AIA164" s="9"/>
      <c r="AIB164" s="9"/>
      <c r="AIC164" s="9"/>
      <c r="AID164" s="9"/>
      <c r="AIE164" s="9"/>
      <c r="AIF164" s="9"/>
      <c r="AIG164" s="9"/>
      <c r="AIH164" s="9"/>
      <c r="AII164" s="9"/>
      <c r="AIJ164" s="9"/>
      <c r="AIK164" s="9"/>
      <c r="AIL164" s="9"/>
      <c r="AIM164" s="9"/>
      <c r="AIN164" s="9"/>
      <c r="AIO164" s="9"/>
      <c r="AIP164" s="9"/>
      <c r="AIQ164" s="9"/>
      <c r="AIR164" s="9"/>
      <c r="AIS164" s="9"/>
      <c r="AIT164" s="9"/>
      <c r="AIU164" s="9"/>
      <c r="AIV164" s="9"/>
      <c r="AIW164" s="9"/>
      <c r="AIX164" s="9"/>
      <c r="AIY164" s="9"/>
      <c r="AIZ164" s="9"/>
      <c r="AJA164" s="9"/>
      <c r="AJB164" s="9"/>
      <c r="AJC164" s="9"/>
      <c r="AJD164" s="9"/>
      <c r="AJE164" s="9"/>
      <c r="AJF164" s="9"/>
      <c r="AJG164" s="9"/>
      <c r="AJH164" s="9"/>
      <c r="AJI164" s="9"/>
      <c r="AJJ164" s="9"/>
      <c r="AJK164" s="9"/>
      <c r="AJL164" s="9"/>
      <c r="AJM164" s="9"/>
      <c r="AJN164" s="9"/>
      <c r="AJO164" s="9"/>
      <c r="AJP164" s="9"/>
      <c r="AJQ164" s="9"/>
      <c r="AJR164" s="9"/>
      <c r="AJS164" s="9"/>
      <c r="AJT164" s="9"/>
      <c r="AJU164" s="9"/>
      <c r="AJV164" s="9"/>
      <c r="AJW164" s="9"/>
      <c r="AJX164" s="9"/>
      <c r="AJY164" s="9"/>
      <c r="AJZ164" s="9"/>
      <c r="AKA164" s="9"/>
      <c r="AKB164" s="9"/>
      <c r="AKC164" s="9"/>
      <c r="AKD164" s="9"/>
      <c r="AKE164" s="9"/>
      <c r="AKF164" s="9"/>
      <c r="AKG164" s="9"/>
      <c r="AKH164" s="9"/>
      <c r="AKI164" s="9"/>
      <c r="AKJ164" s="9"/>
      <c r="AKK164" s="9"/>
      <c r="AKL164" s="9"/>
      <c r="AKM164" s="9"/>
      <c r="AKN164" s="9"/>
      <c r="AKO164" s="9"/>
      <c r="AKP164" s="9"/>
      <c r="AKQ164" s="9"/>
      <c r="AKR164" s="9"/>
      <c r="AKS164" s="9"/>
      <c r="AKT164" s="9"/>
      <c r="AKU164" s="9"/>
      <c r="AKV164" s="9"/>
      <c r="AKW164" s="9"/>
      <c r="AKX164" s="9"/>
      <c r="AKY164" s="9"/>
      <c r="AKZ164" s="9"/>
      <c r="ALA164" s="9"/>
      <c r="ALB164" s="9"/>
      <c r="ALC164" s="9"/>
      <c r="ALD164" s="9"/>
      <c r="ALE164" s="9"/>
      <c r="ALF164" s="9"/>
      <c r="ALG164" s="9"/>
      <c r="ALH164" s="9"/>
      <c r="ALI164" s="9"/>
      <c r="ALJ164" s="9"/>
      <c r="ALK164" s="9"/>
      <c r="ALL164" s="9"/>
      <c r="ALM164" s="9"/>
      <c r="ALN164" s="9"/>
      <c r="ALO164" s="9"/>
      <c r="ALP164" s="9"/>
      <c r="ALQ164" s="9"/>
      <c r="ALR164" s="9"/>
      <c r="ALS164" s="9"/>
      <c r="ALT164" s="9"/>
      <c r="ALU164" s="9"/>
      <c r="ALV164" s="9"/>
      <c r="ALW164" s="9"/>
      <c r="ALX164" s="9"/>
      <c r="ALY164" s="9"/>
      <c r="ALZ164" s="9"/>
      <c r="AMA164" s="9"/>
      <c r="AMB164" s="9"/>
      <c r="AMC164" s="9"/>
      <c r="AMD164" s="9"/>
      <c r="AME164" s="9"/>
      <c r="AMF164" s="9"/>
      <c r="AMG164" s="9"/>
      <c r="AMH164" s="9"/>
      <c r="AMI164" s="9"/>
      <c r="AMJ164" s="9"/>
      <c r="AMK164" s="9"/>
      <c r="AML164" s="9"/>
      <c r="AMM164" s="9"/>
      <c r="AMN164" s="9"/>
      <c r="AMO164" s="9"/>
    </row>
    <row r="165" spans="1:1029" s="12" customFormat="1" x14ac:dyDescent="0.2">
      <c r="A165" s="9" t="str">
        <f>CONCATENATE(B165,"_",C165)</f>
        <v>cnr2_human__wt</v>
      </c>
      <c r="B165" s="9" t="s">
        <v>183</v>
      </c>
      <c r="C165" s="9" t="s">
        <v>100</v>
      </c>
      <c r="D165" s="9" t="str">
        <f>IFERROR(MID(VLOOKUP($B165,Seqs!$A:$B,2,0),E165,1),"")</f>
        <v>S</v>
      </c>
      <c r="E165" s="9">
        <v>29</v>
      </c>
      <c r="F165" s="9" t="str">
        <f>IFERROR(MID(VLOOKUP($B165,Seqs!$A:$B,2,0),G165,1),"")</f>
        <v>S</v>
      </c>
      <c r="G165" s="9">
        <v>61</v>
      </c>
      <c r="H165" s="9" t="str">
        <f>IFERROR(MID(VLOOKUP($B165,Seqs!$A:$B,2,0),I165,1),"")</f>
        <v>H</v>
      </c>
      <c r="I165" s="109">
        <v>62</v>
      </c>
      <c r="J165" s="9" t="str">
        <f>IFERROR(MID(VLOOKUP($B165,Seqs!$A:$B,2,0),K165,1),"")</f>
        <v>R</v>
      </c>
      <c r="K165" s="109">
        <v>65</v>
      </c>
      <c r="L165" s="9" t="str">
        <f>IFERROR(MID(VLOOKUP($B165,Seqs!$A:$B,2,0),M165,1),"")</f>
        <v>K</v>
      </c>
      <c r="M165" s="9">
        <v>67</v>
      </c>
      <c r="N165" s="9" t="str">
        <f>IFERROR(MID(VLOOKUP($B165,Seqs!$A:$B,2,0),O165,1),"")</f>
        <v>V</v>
      </c>
      <c r="O165" s="9">
        <v>96</v>
      </c>
      <c r="P165" s="9" t="str">
        <f>IFERROR(MID(VLOOKUP($B165,Seqs!$A:$B,2,0),Q165,1),"")</f>
        <v/>
      </c>
      <c r="Q165" s="9" t="s">
        <v>23</v>
      </c>
      <c r="R165" s="9" t="str">
        <f>IFERROR(MID(VLOOKUP($B165,Seqs!$A:$B,2,0),S165,1),"")</f>
        <v/>
      </c>
      <c r="S165" s="9" t="s">
        <v>23</v>
      </c>
      <c r="T165" s="9" t="str">
        <f>IFERROR(MID(VLOOKUP($B165,Seqs!$A:$B,2,0),U165,1),"")</f>
        <v>S</v>
      </c>
      <c r="U165" s="9">
        <v>102</v>
      </c>
      <c r="V165" s="9" t="str">
        <f>IFERROR(MID(VLOOKUP($B165,Seqs!$A:$B,2,0),W165,1),"")</f>
        <v>Y</v>
      </c>
      <c r="W165" s="9">
        <v>137</v>
      </c>
      <c r="X165" s="9" t="str">
        <f>IFERROR(MID(VLOOKUP($B165,Seqs!$A:$B,2,0),Y165,1),"")</f>
        <v>P</v>
      </c>
      <c r="Y165" s="9">
        <v>138</v>
      </c>
      <c r="Z165" s="9" t="str">
        <f>IFERROR(MID(VLOOKUP($B165,Seqs!$A:$B,2,0),AA165,1),"")</f>
        <v>L</v>
      </c>
      <c r="AA165" s="9">
        <v>145</v>
      </c>
      <c r="AB165" s="9" t="str">
        <f>IFERROR(MID(VLOOKUP($B165,Seqs!$A:$B,2,0),AC165,1),"")</f>
        <v>T</v>
      </c>
      <c r="AC165" s="9">
        <v>146</v>
      </c>
      <c r="AD165" s="9" t="str">
        <f>IFERROR(MID(VLOOKUP($B165,Seqs!$A:$B,2,0),AE165,1),"")</f>
        <v>G</v>
      </c>
      <c r="AE165" s="9">
        <v>171</v>
      </c>
      <c r="AF165" s="9" t="str">
        <f>IFERROR(MID(VLOOKUP($B165,Seqs!$A:$B,2,0),AG165,1),"")</f>
        <v/>
      </c>
      <c r="AG165" s="9" t="s">
        <v>23</v>
      </c>
      <c r="AH165" s="9" t="str">
        <f>IFERROR(MID(VLOOKUP($B165,Seqs!$A:$B,2,0),AI165,1),"")</f>
        <v/>
      </c>
      <c r="AI165" s="9" t="s">
        <v>23</v>
      </c>
      <c r="AJ165" s="9" t="str">
        <f>IFERROR(MID(VLOOKUP($B165,Seqs!$A:$B,2,0),AK165,1),"")</f>
        <v>P</v>
      </c>
      <c r="AK165" s="9">
        <v>187</v>
      </c>
      <c r="AL165" s="9" t="str">
        <f>IFERROR(MID(VLOOKUP($B165,Seqs!$A:$B,2,0),AM165,1),"")</f>
        <v>G</v>
      </c>
      <c r="AM165" s="9">
        <v>225</v>
      </c>
      <c r="AN165" s="9" t="str">
        <f>IFERROR(MID(VLOOKUP($B165,Seqs!$A:$B,2,0),AO165,1),"")</f>
        <v>V</v>
      </c>
      <c r="AO165" s="9">
        <v>231</v>
      </c>
      <c r="AP165" s="9" t="str">
        <f>IFERROR(MID(VLOOKUP($B165,Seqs!$A:$B,2,0),AQ165,1),"")</f>
        <v>T</v>
      </c>
      <c r="AQ165" s="9">
        <v>271</v>
      </c>
      <c r="AR165" s="9" t="str">
        <f>IFERROR(MID(VLOOKUP($B165,Seqs!$A:$B,2,0),AS165,1),"")</f>
        <v>S</v>
      </c>
      <c r="AS165" s="9">
        <v>274</v>
      </c>
      <c r="AT165" s="9" t="str">
        <f>IFERROR(MID(VLOOKUP($B165,Seqs!$A:$B,2,0),AU165,1),"")</f>
        <v>R</v>
      </c>
      <c r="AU165" s="9">
        <v>302</v>
      </c>
      <c r="AV165" s="9" t="str">
        <f>IFERROR(MID(VLOOKUP($B165,Seqs!$A:$B,2,0),AW165,1),"")</f>
        <v>S</v>
      </c>
      <c r="AW165" s="9">
        <v>303</v>
      </c>
      <c r="AX165" s="9" t="str">
        <f>IFERROR(MID(VLOOKUP($B165,Seqs!$A:$B,2,0),AY165,1),"")</f>
        <v>K</v>
      </c>
      <c r="AY165" s="9">
        <v>319</v>
      </c>
      <c r="AZ165" s="110" t="str">
        <f>VLOOKUP(B165,Classification!A:D,2,0)</f>
        <v>A</v>
      </c>
      <c r="BA165" s="98" t="str">
        <f>VLOOKUP(B165,Classification!A:D,4,0)</f>
        <v>Cannabinoid</v>
      </c>
      <c r="BB165" s="36" t="b">
        <f>AND(E165&lt;G165,OR(G165&lt;I165,I165="-"),OR(I165&lt;K165,I165="-"),OR(K165&lt;M165,K165="-"),M165&lt;O165,OR(O165&lt;Q165,Q165="-"),OR(Q165&lt;S165,Q165="-"),OR(S165&lt;U165,S165="-"),U165&lt;W165,OR(W165&lt;Y165,Y165="-"),OR(Y165&lt;AA165,Y165="-"),OR(AA165&lt;AC165,AA165="-"),AC165&lt;AE165,OR(AE165&lt;AG165,AG165="-"),OR(AG165&lt;AI165,AG165="-"),OR(AI165&lt;AK165,AI165="-"),AK165&lt;AM165,AM165&lt;AO165,AO165&lt;AQ165,AQ165&lt;AS165,AS165&lt;AU165,OR(AU165&lt;AW165,AW165="-"),OR(AW165&lt;AY165,AW165="-"))</f>
        <v>1</v>
      </c>
      <c r="BC165" s="109">
        <f>_xlfn.AGGREGATE(9,6,CH165:CS165)-_xlfn.AGGREGATE(9,6,BV165:CG165)+12</f>
        <v>265</v>
      </c>
      <c r="BD165" s="40" t="s">
        <v>23</v>
      </c>
      <c r="BE165" s="9" t="s">
        <v>23</v>
      </c>
      <c r="BF165" s="120" t="s">
        <v>23</v>
      </c>
      <c r="BG165" s="51" t="s">
        <v>23</v>
      </c>
      <c r="BH165" s="51" t="s">
        <v>23</v>
      </c>
      <c r="BI165" s="9"/>
      <c r="BJ165" s="111" t="s">
        <v>1288</v>
      </c>
      <c r="BK165" s="112" t="s">
        <v>1288</v>
      </c>
      <c r="BL165" s="112" t="s">
        <v>1288</v>
      </c>
      <c r="BM165" s="112" t="s">
        <v>1288</v>
      </c>
      <c r="BN165" s="112" t="s">
        <v>1288</v>
      </c>
      <c r="BO165" s="112" t="s">
        <v>1288</v>
      </c>
      <c r="BP165" s="112" t="s">
        <v>1288</v>
      </c>
      <c r="BQ165" s="112" t="s">
        <v>1288</v>
      </c>
      <c r="BR165" s="112" t="s">
        <v>1288</v>
      </c>
      <c r="BS165" s="112" t="s">
        <v>1288</v>
      </c>
      <c r="BT165" s="112" t="s">
        <v>1288</v>
      </c>
      <c r="BU165" s="112" t="s">
        <v>1288</v>
      </c>
      <c r="BV165" s="111">
        <f>E165</f>
        <v>29</v>
      </c>
      <c r="BW165" s="113">
        <f>I165</f>
        <v>62</v>
      </c>
      <c r="BX165" s="114">
        <f>M165</f>
        <v>67</v>
      </c>
      <c r="BY165" s="113" t="str">
        <f>Q165</f>
        <v>-</v>
      </c>
      <c r="BZ165" s="114">
        <f>U165</f>
        <v>102</v>
      </c>
      <c r="CA165" s="113">
        <f>Y165</f>
        <v>138</v>
      </c>
      <c r="CB165" s="114">
        <f>AC165</f>
        <v>146</v>
      </c>
      <c r="CC165" s="113" t="str">
        <f>AG165</f>
        <v>-</v>
      </c>
      <c r="CD165" s="114">
        <f>AK165</f>
        <v>187</v>
      </c>
      <c r="CE165" s="113">
        <f>AO165</f>
        <v>231</v>
      </c>
      <c r="CF165" s="114">
        <f>AS165</f>
        <v>274</v>
      </c>
      <c r="CG165" s="113">
        <f>AW165</f>
        <v>303</v>
      </c>
      <c r="CH165" s="111">
        <f>G165</f>
        <v>61</v>
      </c>
      <c r="CI165" s="113">
        <f>K165</f>
        <v>65</v>
      </c>
      <c r="CJ165" s="114">
        <f>O165</f>
        <v>96</v>
      </c>
      <c r="CK165" s="114" t="str">
        <f>S165</f>
        <v>-</v>
      </c>
      <c r="CL165" s="114">
        <f>W165</f>
        <v>137</v>
      </c>
      <c r="CM165" s="114">
        <f>AA165</f>
        <v>145</v>
      </c>
      <c r="CN165" s="114">
        <f>AE165</f>
        <v>171</v>
      </c>
      <c r="CO165" s="114" t="str">
        <f>AI165</f>
        <v>-</v>
      </c>
      <c r="CP165" s="114">
        <f>AM165</f>
        <v>225</v>
      </c>
      <c r="CQ165" s="114">
        <f>AQ165</f>
        <v>271</v>
      </c>
      <c r="CR165" s="114">
        <f>AU165</f>
        <v>302</v>
      </c>
      <c r="CS165" s="114">
        <f>AY165</f>
        <v>319</v>
      </c>
      <c r="CT165" s="109">
        <f>M165-K165</f>
        <v>2</v>
      </c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  <c r="ZZ165" s="9"/>
      <c r="AAA165" s="9"/>
      <c r="AAB165" s="9"/>
      <c r="AAC165" s="9"/>
      <c r="AAD165" s="9"/>
      <c r="AAE165" s="9"/>
      <c r="AAF165" s="9"/>
      <c r="AAG165" s="9"/>
      <c r="AAH165" s="9"/>
      <c r="AAI165" s="9"/>
      <c r="AAJ165" s="9"/>
      <c r="AAK165" s="9"/>
      <c r="AAL165" s="9"/>
      <c r="AAM165" s="9"/>
      <c r="AAN165" s="9"/>
      <c r="AAO165" s="9"/>
      <c r="AAP165" s="9"/>
      <c r="AAQ165" s="9"/>
      <c r="AAR165" s="9"/>
      <c r="AAS165" s="9"/>
      <c r="AAT165" s="9"/>
      <c r="AAU165" s="9"/>
      <c r="AAV165" s="9"/>
      <c r="AAW165" s="9"/>
      <c r="AAX165" s="9"/>
      <c r="AAY165" s="9"/>
      <c r="AAZ165" s="9"/>
      <c r="ABA165" s="9"/>
      <c r="ABB165" s="9"/>
      <c r="ABC165" s="9"/>
      <c r="ABD165" s="9"/>
      <c r="ABE165" s="9"/>
      <c r="ABF165" s="9"/>
      <c r="ABG165" s="9"/>
      <c r="ABH165" s="9"/>
      <c r="ABI165" s="9"/>
      <c r="ABJ165" s="9"/>
      <c r="ABK165" s="9"/>
      <c r="ABL165" s="9"/>
      <c r="ABM165" s="9"/>
      <c r="ABN165" s="9"/>
      <c r="ABO165" s="9"/>
      <c r="ABP165" s="9"/>
      <c r="ABQ165" s="9"/>
      <c r="ABR165" s="9"/>
      <c r="ABS165" s="9"/>
      <c r="ABT165" s="9"/>
      <c r="ABU165" s="9"/>
      <c r="ABV165" s="9"/>
      <c r="ABW165" s="9"/>
      <c r="ABX165" s="9"/>
      <c r="ABY165" s="9"/>
      <c r="ABZ165" s="9"/>
      <c r="ACA165" s="9"/>
      <c r="ACB165" s="9"/>
      <c r="ACC165" s="9"/>
      <c r="ACD165" s="9"/>
      <c r="ACE165" s="9"/>
      <c r="ACF165" s="9"/>
      <c r="ACG165" s="9"/>
      <c r="ACH165" s="9"/>
      <c r="ACI165" s="9"/>
      <c r="ACJ165" s="9"/>
      <c r="ACK165" s="9"/>
      <c r="ACL165" s="9"/>
      <c r="ACM165" s="9"/>
      <c r="ACN165" s="9"/>
      <c r="ACO165" s="9"/>
      <c r="ACP165" s="9"/>
      <c r="ACQ165" s="9"/>
      <c r="ACR165" s="9"/>
      <c r="ACS165" s="9"/>
      <c r="ACT165" s="9"/>
      <c r="ACU165" s="9"/>
      <c r="ACV165" s="9"/>
      <c r="ACW165" s="9"/>
      <c r="ACX165" s="9"/>
      <c r="ACY165" s="9"/>
      <c r="ACZ165" s="9"/>
      <c r="ADA165" s="9"/>
      <c r="ADB165" s="9"/>
      <c r="ADC165" s="9"/>
      <c r="ADD165" s="9"/>
      <c r="ADE165" s="9"/>
      <c r="ADF165" s="9"/>
      <c r="ADG165" s="9"/>
      <c r="ADH165" s="9"/>
      <c r="ADI165" s="9"/>
      <c r="ADJ165" s="9"/>
      <c r="ADK165" s="9"/>
      <c r="ADL165" s="9"/>
      <c r="ADM165" s="9"/>
      <c r="ADN165" s="9"/>
      <c r="ADO165" s="9"/>
      <c r="ADP165" s="9"/>
      <c r="ADQ165" s="9"/>
      <c r="ADR165" s="9"/>
      <c r="ADS165" s="9"/>
      <c r="ADT165" s="9"/>
      <c r="ADU165" s="9"/>
      <c r="ADV165" s="9"/>
      <c r="ADW165" s="9"/>
      <c r="ADX165" s="9"/>
      <c r="ADY165" s="9"/>
      <c r="ADZ165" s="9"/>
      <c r="AEA165" s="9"/>
      <c r="AEB165" s="9"/>
      <c r="AEC165" s="9"/>
      <c r="AED165" s="9"/>
      <c r="AEE165" s="9"/>
      <c r="AEF165" s="9"/>
      <c r="AEG165" s="9"/>
      <c r="AEH165" s="9"/>
      <c r="AEI165" s="9"/>
      <c r="AEJ165" s="9"/>
      <c r="AEK165" s="9"/>
      <c r="AEL165" s="9"/>
      <c r="AEM165" s="9"/>
      <c r="AEN165" s="9"/>
      <c r="AEO165" s="9"/>
      <c r="AEP165" s="9"/>
      <c r="AEQ165" s="9"/>
      <c r="AER165" s="9"/>
      <c r="AES165" s="9"/>
      <c r="AET165" s="9"/>
      <c r="AEU165" s="9"/>
      <c r="AEV165" s="9"/>
      <c r="AEW165" s="9"/>
      <c r="AEX165" s="9"/>
      <c r="AEY165" s="9"/>
      <c r="AEZ165" s="9"/>
      <c r="AFA165" s="9"/>
      <c r="AFB165" s="9"/>
      <c r="AFC165" s="9"/>
      <c r="AFD165" s="9"/>
      <c r="AFE165" s="9"/>
      <c r="AFF165" s="9"/>
      <c r="AFG165" s="9"/>
      <c r="AFH165" s="9"/>
      <c r="AFI165" s="9"/>
      <c r="AFJ165" s="9"/>
      <c r="AFK165" s="9"/>
      <c r="AFL165" s="9"/>
      <c r="AFM165" s="9"/>
      <c r="AFN165" s="9"/>
      <c r="AFO165" s="9"/>
      <c r="AFP165" s="9"/>
      <c r="AFQ165" s="9"/>
      <c r="AFR165" s="9"/>
      <c r="AFS165" s="9"/>
      <c r="AFT165" s="9"/>
      <c r="AFU165" s="9"/>
      <c r="AFV165" s="9"/>
      <c r="AFW165" s="9"/>
      <c r="AFX165" s="9"/>
      <c r="AFY165" s="9"/>
      <c r="AFZ165" s="9"/>
      <c r="AGA165" s="9"/>
      <c r="AGB165" s="9"/>
      <c r="AGC165" s="9"/>
      <c r="AGD165" s="9"/>
      <c r="AGE165" s="9"/>
      <c r="AGF165" s="9"/>
      <c r="AGG165" s="9"/>
      <c r="AGH165" s="9"/>
      <c r="AGI165" s="9"/>
      <c r="AGJ165" s="9"/>
      <c r="AGK165" s="9"/>
      <c r="AGL165" s="9"/>
      <c r="AGM165" s="9"/>
      <c r="AGN165" s="9"/>
      <c r="AGO165" s="9"/>
      <c r="AGP165" s="9"/>
      <c r="AGQ165" s="9"/>
      <c r="AGR165" s="9"/>
      <c r="AGS165" s="9"/>
      <c r="AGT165" s="9"/>
      <c r="AGU165" s="9"/>
      <c r="AGV165" s="9"/>
      <c r="AGW165" s="9"/>
      <c r="AGX165" s="9"/>
      <c r="AGY165" s="9"/>
      <c r="AGZ165" s="9"/>
      <c r="AHA165" s="9"/>
      <c r="AHB165" s="9"/>
      <c r="AHC165" s="9"/>
      <c r="AHD165" s="9"/>
      <c r="AHE165" s="9"/>
      <c r="AHF165" s="9"/>
      <c r="AHG165" s="9"/>
      <c r="AHH165" s="9"/>
      <c r="AHI165" s="9"/>
      <c r="AHJ165" s="9"/>
      <c r="AHK165" s="9"/>
      <c r="AHL165" s="9"/>
      <c r="AHM165" s="9"/>
      <c r="AHN165" s="9"/>
      <c r="AHO165" s="9"/>
      <c r="AHP165" s="9"/>
      <c r="AHQ165" s="9"/>
      <c r="AHR165" s="9"/>
      <c r="AHS165" s="9"/>
      <c r="AHT165" s="9"/>
      <c r="AHU165" s="9"/>
      <c r="AHV165" s="9"/>
      <c r="AHW165" s="9"/>
      <c r="AHX165" s="9"/>
      <c r="AHY165" s="9"/>
      <c r="AHZ165" s="9"/>
      <c r="AIA165" s="9"/>
      <c r="AIB165" s="9"/>
      <c r="AIC165" s="9"/>
      <c r="AID165" s="9"/>
      <c r="AIE165" s="9"/>
      <c r="AIF165" s="9"/>
      <c r="AIG165" s="9"/>
      <c r="AIH165" s="9"/>
      <c r="AII165" s="9"/>
      <c r="AIJ165" s="9"/>
      <c r="AIK165" s="9"/>
      <c r="AIL165" s="9"/>
      <c r="AIM165" s="9"/>
      <c r="AIN165" s="9"/>
      <c r="AIO165" s="9"/>
      <c r="AIP165" s="9"/>
      <c r="AIQ165" s="9"/>
      <c r="AIR165" s="9"/>
      <c r="AIS165" s="9"/>
      <c r="AIT165" s="9"/>
      <c r="AIU165" s="9"/>
      <c r="AIV165" s="9"/>
      <c r="AIW165" s="9"/>
      <c r="AIX165" s="9"/>
      <c r="AIY165" s="9"/>
      <c r="AIZ165" s="9"/>
      <c r="AJA165" s="9"/>
      <c r="AJB165" s="9"/>
      <c r="AJC165" s="9"/>
      <c r="AJD165" s="9"/>
      <c r="AJE165" s="9"/>
      <c r="AJF165" s="9"/>
      <c r="AJG165" s="9"/>
      <c r="AJH165" s="9"/>
      <c r="AJI165" s="9"/>
      <c r="AJJ165" s="9"/>
      <c r="AJK165" s="9"/>
      <c r="AJL165" s="9"/>
      <c r="AJM165" s="9"/>
      <c r="AJN165" s="9"/>
      <c r="AJO165" s="9"/>
      <c r="AJP165" s="9"/>
      <c r="AJQ165" s="9"/>
      <c r="AJR165" s="9"/>
      <c r="AJS165" s="9"/>
      <c r="AJT165" s="9"/>
      <c r="AJU165" s="9"/>
      <c r="AJV165" s="9"/>
      <c r="AJW165" s="9"/>
      <c r="AJX165" s="9"/>
      <c r="AJY165" s="9"/>
      <c r="AJZ165" s="9"/>
      <c r="AKA165" s="9"/>
      <c r="AKB165" s="9"/>
      <c r="AKC165" s="9"/>
      <c r="AKD165" s="9"/>
      <c r="AKE165" s="9"/>
      <c r="AKF165" s="9"/>
      <c r="AKG165" s="9"/>
      <c r="AKH165" s="9"/>
      <c r="AKI165" s="9"/>
      <c r="AKJ165" s="9"/>
      <c r="AKK165" s="9"/>
      <c r="AKL165" s="9"/>
      <c r="AKM165" s="9"/>
      <c r="AKN165" s="9"/>
      <c r="AKO165" s="9"/>
      <c r="AKP165" s="9"/>
      <c r="AKQ165" s="9"/>
      <c r="AKR165" s="9"/>
      <c r="AKS165" s="9"/>
      <c r="AKT165" s="9"/>
      <c r="AKU165" s="9"/>
      <c r="AKV165" s="9"/>
      <c r="AKW165" s="9"/>
      <c r="AKX165" s="9"/>
      <c r="AKY165" s="9"/>
      <c r="AKZ165" s="9"/>
      <c r="ALA165" s="9"/>
      <c r="ALB165" s="9"/>
      <c r="ALC165" s="9"/>
      <c r="ALD165" s="9"/>
      <c r="ALE165" s="9"/>
      <c r="ALF165" s="9"/>
      <c r="ALG165" s="9"/>
      <c r="ALH165" s="9"/>
      <c r="ALI165" s="9"/>
      <c r="ALJ165" s="9"/>
      <c r="ALK165" s="9"/>
      <c r="ALL165" s="9"/>
      <c r="ALM165" s="9"/>
      <c r="ALN165" s="9"/>
      <c r="ALO165" s="9"/>
      <c r="ALP165" s="9"/>
      <c r="ALQ165" s="9"/>
      <c r="ALR165" s="9"/>
      <c r="ALS165" s="9"/>
      <c r="ALT165" s="9"/>
      <c r="ALU165" s="9"/>
      <c r="ALV165" s="9"/>
      <c r="ALW165" s="9"/>
      <c r="ALX165" s="9"/>
      <c r="ALY165" s="9"/>
      <c r="ALZ165" s="9"/>
      <c r="AMA165" s="9"/>
      <c r="AMB165" s="9"/>
      <c r="AMC165" s="9"/>
      <c r="AMD165" s="9"/>
      <c r="AME165" s="9"/>
      <c r="AMF165" s="9"/>
      <c r="AMG165" s="9"/>
      <c r="AMH165" s="9"/>
      <c r="AMI165" s="9"/>
      <c r="AMJ165" s="9"/>
      <c r="AMK165" s="9"/>
      <c r="AML165" s="9"/>
      <c r="AMM165" s="9"/>
      <c r="AMN165" s="9"/>
      <c r="AMO165" s="9"/>
    </row>
    <row r="166" spans="1:1029" s="12" customFormat="1" x14ac:dyDescent="0.2">
      <c r="A166" s="9" t="str">
        <f>CONCATENATE(B166,"_",C166)</f>
        <v>cnr2_human_5ZTY</v>
      </c>
      <c r="B166" s="9" t="s">
        <v>183</v>
      </c>
      <c r="C166" s="9" t="s">
        <v>1558</v>
      </c>
      <c r="D166" s="9" t="str">
        <f>IFERROR(MID(VLOOKUP($B166,Seqs!$A:$B,2,0),E166,1),"")</f>
        <v>S</v>
      </c>
      <c r="E166" s="9">
        <v>29</v>
      </c>
      <c r="F166" s="9" t="str">
        <f>IFERROR(MID(VLOOKUP($B166,Seqs!$A:$B,2,0),G166,1),"")</f>
        <v>S</v>
      </c>
      <c r="G166" s="9">
        <v>61</v>
      </c>
      <c r="H166" s="9" t="str">
        <f>IFERROR(MID(VLOOKUP($B166,Seqs!$A:$B,2,0),I166,1),"")</f>
        <v>H</v>
      </c>
      <c r="I166" s="109">
        <v>62</v>
      </c>
      <c r="J166" s="9" t="str">
        <f>IFERROR(MID(VLOOKUP($B166,Seqs!$A:$B,2,0),K166,1),"")</f>
        <v>R</v>
      </c>
      <c r="K166" s="109">
        <v>65</v>
      </c>
      <c r="L166" s="9" t="str">
        <f>IFERROR(MID(VLOOKUP($B166,Seqs!$A:$B,2,0),M166,1),"")</f>
        <v>K</v>
      </c>
      <c r="M166" s="9">
        <v>67</v>
      </c>
      <c r="N166" s="9" t="str">
        <f>IFERROR(MID(VLOOKUP($B166,Seqs!$A:$B,2,0),O166,1),"")</f>
        <v>V</v>
      </c>
      <c r="O166" s="9">
        <v>96</v>
      </c>
      <c r="P166" s="9" t="str">
        <f>IFERROR(MID(VLOOKUP($B166,Seqs!$A:$B,2,0),Q166,1),"")</f>
        <v/>
      </c>
      <c r="Q166" s="9" t="s">
        <v>23</v>
      </c>
      <c r="R166" s="9" t="str">
        <f>IFERROR(MID(VLOOKUP($B166,Seqs!$A:$B,2,0),S166,1),"")</f>
        <v/>
      </c>
      <c r="S166" s="9" t="s">
        <v>23</v>
      </c>
      <c r="T166" s="9" t="str">
        <f>IFERROR(MID(VLOOKUP($B166,Seqs!$A:$B,2,0),U166,1),"")</f>
        <v>S</v>
      </c>
      <c r="U166" s="9">
        <v>102</v>
      </c>
      <c r="V166" s="9" t="str">
        <f>IFERROR(MID(VLOOKUP($B166,Seqs!$A:$B,2,0),W166,1),"")</f>
        <v>Y</v>
      </c>
      <c r="W166" s="9">
        <v>137</v>
      </c>
      <c r="X166" s="9" t="str">
        <f>IFERROR(MID(VLOOKUP($B166,Seqs!$A:$B,2,0),Y166,1),"")</f>
        <v>P</v>
      </c>
      <c r="Y166" s="9">
        <v>138</v>
      </c>
      <c r="Z166" s="9" t="str">
        <f>IFERROR(MID(VLOOKUP($B166,Seqs!$A:$B,2,0),AA166,1),"")</f>
        <v>L</v>
      </c>
      <c r="AA166" s="9">
        <v>145</v>
      </c>
      <c r="AB166" s="9" t="str">
        <f>IFERROR(MID(VLOOKUP($B166,Seqs!$A:$B,2,0),AC166,1),"")</f>
        <v>T</v>
      </c>
      <c r="AC166" s="9">
        <v>146</v>
      </c>
      <c r="AD166" s="9" t="str">
        <f>IFERROR(MID(VLOOKUP($B166,Seqs!$A:$B,2,0),AE166,1),"")</f>
        <v>G</v>
      </c>
      <c r="AE166" s="9">
        <v>171</v>
      </c>
      <c r="AF166" s="9" t="str">
        <f>IFERROR(MID(VLOOKUP($B166,Seqs!$A:$B,2,0),AG166,1),"")</f>
        <v/>
      </c>
      <c r="AG166" s="9" t="s">
        <v>23</v>
      </c>
      <c r="AH166" s="9" t="str">
        <f>IFERROR(MID(VLOOKUP($B166,Seqs!$A:$B,2,0),AI166,1),"")</f>
        <v/>
      </c>
      <c r="AI166" s="9" t="s">
        <v>23</v>
      </c>
      <c r="AJ166" s="9" t="str">
        <f>IFERROR(MID(VLOOKUP($B166,Seqs!$A:$B,2,0),AK166,1),"")</f>
        <v>P</v>
      </c>
      <c r="AK166" s="9">
        <v>187</v>
      </c>
      <c r="AL166" s="9" t="str">
        <f>IFERROR(MID(VLOOKUP($B166,Seqs!$A:$B,2,0),AM166,1),"")</f>
        <v>V</v>
      </c>
      <c r="AM166" s="9">
        <v>220</v>
      </c>
      <c r="AN166" s="9" t="str">
        <f>IFERROR(MID(VLOOKUP($B166,Seqs!$A:$B,2,0),AO166,1),"")</f>
        <v>M</v>
      </c>
      <c r="AO166" s="9">
        <v>237</v>
      </c>
      <c r="AP166" s="9" t="str">
        <f>IFERROR(MID(VLOOKUP($B166,Seqs!$A:$B,2,0),AQ166,1),"")</f>
        <v>T</v>
      </c>
      <c r="AQ166" s="9">
        <v>271</v>
      </c>
      <c r="AR166" s="9" t="str">
        <f>IFERROR(MID(VLOOKUP($B166,Seqs!$A:$B,2,0),AS166,1),"")</f>
        <v>S</v>
      </c>
      <c r="AS166" s="9">
        <v>274</v>
      </c>
      <c r="AT166" s="9" t="str">
        <f>IFERROR(MID(VLOOKUP($B166,Seqs!$A:$B,2,0),AU166,1),"")</f>
        <v>R</v>
      </c>
      <c r="AU166" s="9">
        <v>302</v>
      </c>
      <c r="AV166" s="9" t="str">
        <f>IFERROR(MID(VLOOKUP($B166,Seqs!$A:$B,2,0),AW166,1),"")</f>
        <v>S</v>
      </c>
      <c r="AW166" s="9">
        <v>303</v>
      </c>
      <c r="AX166" s="9" t="str">
        <f>IFERROR(MID(VLOOKUP($B166,Seqs!$A:$B,2,0),AY166,1),"")</f>
        <v>K</v>
      </c>
      <c r="AY166" s="9">
        <v>319</v>
      </c>
      <c r="AZ166" s="110" t="str">
        <f>VLOOKUP(B166,Classification!A:D,2,0)</f>
        <v>A</v>
      </c>
      <c r="BA166" s="98" t="str">
        <f>VLOOKUP(B166,Classification!A:D,4,0)</f>
        <v>Cannabinoid</v>
      </c>
      <c r="BB166" s="36" t="b">
        <f>AND(E166&lt;G166,OR(G166&lt;I166,I166="-"),OR(I166&lt;K166,I166="-"),OR(K166&lt;M166,K166="-"),M166&lt;O166,OR(O166&lt;Q166,Q166="-"),OR(Q166&lt;S166,Q166="-"),OR(S166&lt;U166,S166="-"),U166&lt;W166,OR(W166&lt;Y166,Y166="-"),OR(Y166&lt;AA166,Y166="-"),OR(AA166&lt;AC166,AA166="-"),AC166&lt;AE166,OR(AE166&lt;AG166,AG166="-"),OR(AG166&lt;AI166,AG166="-"),OR(AI166&lt;AK166,AI166="-"),AK166&lt;AM166,AM166&lt;AO166,AO166&lt;AQ166,AQ166&lt;AS166,AS166&lt;AU166,OR(AU166&lt;AW166,AW166="-"),OR(AW166&lt;AY166,AW166="-"))</f>
        <v>1</v>
      </c>
      <c r="BC166" s="109">
        <f>_xlfn.AGGREGATE(9,6,CH166:CS166)-_xlfn.AGGREGATE(9,6,BV166:CG166)+12</f>
        <v>254</v>
      </c>
      <c r="BD166" s="40" t="s">
        <v>1377</v>
      </c>
      <c r="BE166" s="9" t="s">
        <v>1375</v>
      </c>
      <c r="BF166" s="120">
        <v>2.8</v>
      </c>
      <c r="BG166" s="51" t="s">
        <v>1</v>
      </c>
      <c r="BH166" s="51" t="s">
        <v>1</v>
      </c>
      <c r="BI166" s="9"/>
      <c r="BJ166" s="111" t="s">
        <v>1288</v>
      </c>
      <c r="BK166" s="112" t="s">
        <v>1288</v>
      </c>
      <c r="BL166" s="112" t="s">
        <v>1288</v>
      </c>
      <c r="BM166" s="112" t="s">
        <v>1288</v>
      </c>
      <c r="BN166" s="112" t="s">
        <v>1288</v>
      </c>
      <c r="BO166" s="112" t="s">
        <v>1288</v>
      </c>
      <c r="BP166" s="112" t="s">
        <v>1288</v>
      </c>
      <c r="BQ166" s="112" t="s">
        <v>1288</v>
      </c>
      <c r="BR166" s="112" t="s">
        <v>1288</v>
      </c>
      <c r="BS166" s="112" t="s">
        <v>1288</v>
      </c>
      <c r="BT166" s="112" t="s">
        <v>1288</v>
      </c>
      <c r="BU166" s="112" t="s">
        <v>1288</v>
      </c>
      <c r="BV166" s="111">
        <f>E166</f>
        <v>29</v>
      </c>
      <c r="BW166" s="113">
        <f>I166</f>
        <v>62</v>
      </c>
      <c r="BX166" s="114">
        <f>M166</f>
        <v>67</v>
      </c>
      <c r="BY166" s="113" t="str">
        <f>Q166</f>
        <v>-</v>
      </c>
      <c r="BZ166" s="114">
        <f>U166</f>
        <v>102</v>
      </c>
      <c r="CA166" s="113">
        <f>Y166</f>
        <v>138</v>
      </c>
      <c r="CB166" s="114">
        <f>AC166</f>
        <v>146</v>
      </c>
      <c r="CC166" s="113" t="str">
        <f>AG166</f>
        <v>-</v>
      </c>
      <c r="CD166" s="114">
        <f>AK166</f>
        <v>187</v>
      </c>
      <c r="CE166" s="113">
        <f>AO166</f>
        <v>237</v>
      </c>
      <c r="CF166" s="114">
        <f>AS166</f>
        <v>274</v>
      </c>
      <c r="CG166" s="113">
        <f>AW166</f>
        <v>303</v>
      </c>
      <c r="CH166" s="111">
        <f>G166</f>
        <v>61</v>
      </c>
      <c r="CI166" s="113">
        <f>K166</f>
        <v>65</v>
      </c>
      <c r="CJ166" s="114">
        <f>O166</f>
        <v>96</v>
      </c>
      <c r="CK166" s="114" t="str">
        <f>S166</f>
        <v>-</v>
      </c>
      <c r="CL166" s="114">
        <f>W166</f>
        <v>137</v>
      </c>
      <c r="CM166" s="114">
        <f>AA166</f>
        <v>145</v>
      </c>
      <c r="CN166" s="114">
        <f>AE166</f>
        <v>171</v>
      </c>
      <c r="CO166" s="114" t="str">
        <f>AI166</f>
        <v>-</v>
      </c>
      <c r="CP166" s="114">
        <f>AM166</f>
        <v>220</v>
      </c>
      <c r="CQ166" s="114">
        <f>AQ166</f>
        <v>271</v>
      </c>
      <c r="CR166" s="114">
        <f>AU166</f>
        <v>302</v>
      </c>
      <c r="CS166" s="114">
        <f>AY166</f>
        <v>319</v>
      </c>
      <c r="CT166" s="109">
        <f>M166-K166</f>
        <v>2</v>
      </c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  <c r="AAA166" s="9"/>
      <c r="AAB166" s="9"/>
      <c r="AAC166" s="9"/>
      <c r="AAD166" s="9"/>
      <c r="AAE166" s="9"/>
      <c r="AAF166" s="9"/>
      <c r="AAG166" s="9"/>
      <c r="AAH166" s="9"/>
      <c r="AAI166" s="9"/>
      <c r="AAJ166" s="9"/>
      <c r="AAK166" s="9"/>
      <c r="AAL166" s="9"/>
      <c r="AAM166" s="9"/>
      <c r="AAN166" s="9"/>
      <c r="AAO166" s="9"/>
      <c r="AAP166" s="9"/>
      <c r="AAQ166" s="9"/>
      <c r="AAR166" s="9"/>
      <c r="AAS166" s="9"/>
      <c r="AAT166" s="9"/>
      <c r="AAU166" s="9"/>
      <c r="AAV166" s="9"/>
      <c r="AAW166" s="9"/>
      <c r="AAX166" s="9"/>
      <c r="AAY166" s="9"/>
      <c r="AAZ166" s="9"/>
      <c r="ABA166" s="9"/>
      <c r="ABB166" s="9"/>
      <c r="ABC166" s="9"/>
      <c r="ABD166" s="9"/>
      <c r="ABE166" s="9"/>
      <c r="ABF166" s="9"/>
      <c r="ABG166" s="9"/>
      <c r="ABH166" s="9"/>
      <c r="ABI166" s="9"/>
      <c r="ABJ166" s="9"/>
      <c r="ABK166" s="9"/>
      <c r="ABL166" s="9"/>
      <c r="ABM166" s="9"/>
      <c r="ABN166" s="9"/>
      <c r="ABO166" s="9"/>
      <c r="ABP166" s="9"/>
      <c r="ABQ166" s="9"/>
      <c r="ABR166" s="9"/>
      <c r="ABS166" s="9"/>
      <c r="ABT166" s="9"/>
      <c r="ABU166" s="9"/>
      <c r="ABV166" s="9"/>
      <c r="ABW166" s="9"/>
      <c r="ABX166" s="9"/>
      <c r="ABY166" s="9"/>
      <c r="ABZ166" s="9"/>
      <c r="ACA166" s="9"/>
      <c r="ACB166" s="9"/>
      <c r="ACC166" s="9"/>
      <c r="ACD166" s="9"/>
      <c r="ACE166" s="9"/>
      <c r="ACF166" s="9"/>
      <c r="ACG166" s="9"/>
      <c r="ACH166" s="9"/>
      <c r="ACI166" s="9"/>
      <c r="ACJ166" s="9"/>
      <c r="ACK166" s="9"/>
      <c r="ACL166" s="9"/>
      <c r="ACM166" s="9"/>
      <c r="ACN166" s="9"/>
      <c r="ACO166" s="9"/>
      <c r="ACP166" s="9"/>
      <c r="ACQ166" s="9"/>
      <c r="ACR166" s="9"/>
      <c r="ACS166" s="9"/>
      <c r="ACT166" s="9"/>
      <c r="ACU166" s="9"/>
      <c r="ACV166" s="9"/>
      <c r="ACW166" s="9"/>
      <c r="ACX166" s="9"/>
      <c r="ACY166" s="9"/>
      <c r="ACZ166" s="9"/>
      <c r="ADA166" s="9"/>
      <c r="ADB166" s="9"/>
      <c r="ADC166" s="9"/>
      <c r="ADD166" s="9"/>
      <c r="ADE166" s="9"/>
      <c r="ADF166" s="9"/>
      <c r="ADG166" s="9"/>
      <c r="ADH166" s="9"/>
      <c r="ADI166" s="9"/>
      <c r="ADJ166" s="9"/>
      <c r="ADK166" s="9"/>
      <c r="ADL166" s="9"/>
      <c r="ADM166" s="9"/>
      <c r="ADN166" s="9"/>
      <c r="ADO166" s="9"/>
      <c r="ADP166" s="9"/>
      <c r="ADQ166" s="9"/>
      <c r="ADR166" s="9"/>
      <c r="ADS166" s="9"/>
      <c r="ADT166" s="9"/>
      <c r="ADU166" s="9"/>
      <c r="ADV166" s="9"/>
      <c r="ADW166" s="9"/>
      <c r="ADX166" s="9"/>
      <c r="ADY166" s="9"/>
      <c r="ADZ166" s="9"/>
      <c r="AEA166" s="9"/>
      <c r="AEB166" s="9"/>
      <c r="AEC166" s="9"/>
      <c r="AED166" s="9"/>
      <c r="AEE166" s="9"/>
      <c r="AEF166" s="9"/>
      <c r="AEG166" s="9"/>
      <c r="AEH166" s="9"/>
      <c r="AEI166" s="9"/>
      <c r="AEJ166" s="9"/>
      <c r="AEK166" s="9"/>
      <c r="AEL166" s="9"/>
      <c r="AEM166" s="9"/>
      <c r="AEN166" s="9"/>
      <c r="AEO166" s="9"/>
      <c r="AEP166" s="9"/>
      <c r="AEQ166" s="9"/>
      <c r="AER166" s="9"/>
      <c r="AES166" s="9"/>
      <c r="AET166" s="9"/>
      <c r="AEU166" s="9"/>
      <c r="AEV166" s="9"/>
      <c r="AEW166" s="9"/>
      <c r="AEX166" s="9"/>
      <c r="AEY166" s="9"/>
      <c r="AEZ166" s="9"/>
      <c r="AFA166" s="9"/>
      <c r="AFB166" s="9"/>
      <c r="AFC166" s="9"/>
      <c r="AFD166" s="9"/>
      <c r="AFE166" s="9"/>
      <c r="AFF166" s="9"/>
      <c r="AFG166" s="9"/>
      <c r="AFH166" s="9"/>
      <c r="AFI166" s="9"/>
      <c r="AFJ166" s="9"/>
      <c r="AFK166" s="9"/>
      <c r="AFL166" s="9"/>
      <c r="AFM166" s="9"/>
      <c r="AFN166" s="9"/>
      <c r="AFO166" s="9"/>
      <c r="AFP166" s="9"/>
      <c r="AFQ166" s="9"/>
      <c r="AFR166" s="9"/>
      <c r="AFS166" s="9"/>
      <c r="AFT166" s="9"/>
      <c r="AFU166" s="9"/>
      <c r="AFV166" s="9"/>
      <c r="AFW166" s="9"/>
      <c r="AFX166" s="9"/>
      <c r="AFY166" s="9"/>
      <c r="AFZ166" s="9"/>
      <c r="AGA166" s="9"/>
      <c r="AGB166" s="9"/>
      <c r="AGC166" s="9"/>
      <c r="AGD166" s="9"/>
      <c r="AGE166" s="9"/>
      <c r="AGF166" s="9"/>
      <c r="AGG166" s="9"/>
      <c r="AGH166" s="9"/>
      <c r="AGI166" s="9"/>
      <c r="AGJ166" s="9"/>
      <c r="AGK166" s="9"/>
      <c r="AGL166" s="9"/>
      <c r="AGM166" s="9"/>
      <c r="AGN166" s="9"/>
      <c r="AGO166" s="9"/>
      <c r="AGP166" s="9"/>
      <c r="AGQ166" s="9"/>
      <c r="AGR166" s="9"/>
      <c r="AGS166" s="9"/>
      <c r="AGT166" s="9"/>
      <c r="AGU166" s="9"/>
      <c r="AGV166" s="9"/>
      <c r="AGW166" s="9"/>
      <c r="AGX166" s="9"/>
      <c r="AGY166" s="9"/>
      <c r="AGZ166" s="9"/>
      <c r="AHA166" s="9"/>
      <c r="AHB166" s="9"/>
      <c r="AHC166" s="9"/>
      <c r="AHD166" s="9"/>
      <c r="AHE166" s="9"/>
      <c r="AHF166" s="9"/>
      <c r="AHG166" s="9"/>
      <c r="AHH166" s="9"/>
      <c r="AHI166" s="9"/>
      <c r="AHJ166" s="9"/>
      <c r="AHK166" s="9"/>
      <c r="AHL166" s="9"/>
      <c r="AHM166" s="9"/>
      <c r="AHN166" s="9"/>
      <c r="AHO166" s="9"/>
      <c r="AHP166" s="9"/>
      <c r="AHQ166" s="9"/>
      <c r="AHR166" s="9"/>
      <c r="AHS166" s="9"/>
      <c r="AHT166" s="9"/>
      <c r="AHU166" s="9"/>
      <c r="AHV166" s="9"/>
      <c r="AHW166" s="9"/>
      <c r="AHX166" s="9"/>
      <c r="AHY166" s="9"/>
      <c r="AHZ166" s="9"/>
      <c r="AIA166" s="9"/>
      <c r="AIB166" s="9"/>
      <c r="AIC166" s="9"/>
      <c r="AID166" s="9"/>
      <c r="AIE166" s="9"/>
      <c r="AIF166" s="9"/>
      <c r="AIG166" s="9"/>
      <c r="AIH166" s="9"/>
      <c r="AII166" s="9"/>
      <c r="AIJ166" s="9"/>
      <c r="AIK166" s="9"/>
      <c r="AIL166" s="9"/>
      <c r="AIM166" s="9"/>
      <c r="AIN166" s="9"/>
      <c r="AIO166" s="9"/>
      <c r="AIP166" s="9"/>
      <c r="AIQ166" s="9"/>
      <c r="AIR166" s="9"/>
      <c r="AIS166" s="9"/>
      <c r="AIT166" s="9"/>
      <c r="AIU166" s="9"/>
      <c r="AIV166" s="9"/>
      <c r="AIW166" s="9"/>
      <c r="AIX166" s="9"/>
      <c r="AIY166" s="9"/>
      <c r="AIZ166" s="9"/>
      <c r="AJA166" s="9"/>
      <c r="AJB166" s="9"/>
      <c r="AJC166" s="9"/>
      <c r="AJD166" s="9"/>
      <c r="AJE166" s="9"/>
      <c r="AJF166" s="9"/>
      <c r="AJG166" s="9"/>
      <c r="AJH166" s="9"/>
      <c r="AJI166" s="9"/>
      <c r="AJJ166" s="9"/>
      <c r="AJK166" s="9"/>
      <c r="AJL166" s="9"/>
      <c r="AJM166" s="9"/>
      <c r="AJN166" s="9"/>
      <c r="AJO166" s="9"/>
      <c r="AJP166" s="9"/>
      <c r="AJQ166" s="9"/>
      <c r="AJR166" s="9"/>
      <c r="AJS166" s="9"/>
      <c r="AJT166" s="9"/>
      <c r="AJU166" s="9"/>
      <c r="AJV166" s="9"/>
      <c r="AJW166" s="9"/>
      <c r="AJX166" s="9"/>
      <c r="AJY166" s="9"/>
      <c r="AJZ166" s="9"/>
      <c r="AKA166" s="9"/>
      <c r="AKB166" s="9"/>
      <c r="AKC166" s="9"/>
      <c r="AKD166" s="9"/>
      <c r="AKE166" s="9"/>
      <c r="AKF166" s="9"/>
      <c r="AKG166" s="9"/>
      <c r="AKH166" s="9"/>
      <c r="AKI166" s="9"/>
      <c r="AKJ166" s="9"/>
      <c r="AKK166" s="9"/>
      <c r="AKL166" s="9"/>
      <c r="AKM166" s="9"/>
      <c r="AKN166" s="9"/>
      <c r="AKO166" s="9"/>
      <c r="AKP166" s="9"/>
      <c r="AKQ166" s="9"/>
      <c r="AKR166" s="9"/>
      <c r="AKS166" s="9"/>
      <c r="AKT166" s="9"/>
      <c r="AKU166" s="9"/>
      <c r="AKV166" s="9"/>
      <c r="AKW166" s="9"/>
      <c r="AKX166" s="9"/>
      <c r="AKY166" s="9"/>
      <c r="AKZ166" s="9"/>
      <c r="ALA166" s="9"/>
      <c r="ALB166" s="9"/>
      <c r="ALC166" s="9"/>
      <c r="ALD166" s="9"/>
      <c r="ALE166" s="9"/>
      <c r="ALF166" s="9"/>
      <c r="ALG166" s="9"/>
      <c r="ALH166" s="9"/>
      <c r="ALI166" s="9"/>
      <c r="ALJ166" s="9"/>
      <c r="ALK166" s="9"/>
      <c r="ALL166" s="9"/>
      <c r="ALM166" s="9"/>
      <c r="ALN166" s="9"/>
      <c r="ALO166" s="9"/>
      <c r="ALP166" s="9"/>
      <c r="ALQ166" s="9"/>
      <c r="ALR166" s="9"/>
      <c r="ALS166" s="9"/>
      <c r="ALT166" s="9"/>
      <c r="ALU166" s="9"/>
      <c r="ALV166" s="9"/>
      <c r="ALW166" s="9"/>
      <c r="ALX166" s="9"/>
      <c r="ALY166" s="9"/>
      <c r="ALZ166" s="9"/>
      <c r="AMA166" s="9"/>
      <c r="AMB166" s="9"/>
      <c r="AMC166" s="9"/>
      <c r="AMD166" s="9"/>
      <c r="AME166" s="9"/>
      <c r="AMF166" s="9"/>
      <c r="AMG166" s="9"/>
      <c r="AMH166" s="9"/>
      <c r="AMI166" s="9"/>
      <c r="AMJ166" s="9"/>
      <c r="AMK166" s="9"/>
      <c r="AML166" s="9"/>
      <c r="AMM166" s="9"/>
      <c r="AMN166" s="9"/>
      <c r="AMO166" s="9"/>
    </row>
    <row r="167" spans="1:1029" x14ac:dyDescent="0.2">
      <c r="A167" s="3" t="str">
        <f t="shared" si="811"/>
        <v>cxcr4_human__wt</v>
      </c>
      <c r="B167" s="3" t="s">
        <v>1172</v>
      </c>
      <c r="C167" s="3" t="s">
        <v>100</v>
      </c>
      <c r="D167" s="3" t="str">
        <f>IFERROR(MID(VLOOKUP($B167,Seqs!$A:$B,2,0),E167,1),"")</f>
        <v>R</v>
      </c>
      <c r="E167" s="3">
        <v>30</v>
      </c>
      <c r="F167" s="3" t="str">
        <f>IFERROR(MID(VLOOKUP($B167,Seqs!$A:$B,2,0),G167,1),"")</f>
        <v>Q</v>
      </c>
      <c r="G167" s="3">
        <v>66</v>
      </c>
      <c r="H167" s="3" t="str">
        <f>IFERROR(MID(VLOOKUP($B167,Seqs!$A:$B,2,0),I167,1),"")</f>
        <v>K</v>
      </c>
      <c r="I167" s="23">
        <v>67</v>
      </c>
      <c r="J167" s="3" t="str">
        <f>IFERROR(MID(VLOOKUP($B167,Seqs!$A:$B,2,0),K167,1),"")</f>
        <v>R</v>
      </c>
      <c r="K167" s="23">
        <v>70</v>
      </c>
      <c r="L167" s="3" t="str">
        <f>IFERROR(MID(VLOOKUP($B167,Seqs!$A:$B,2,0),M167,1),"")</f>
        <v>S</v>
      </c>
      <c r="M167" s="3">
        <v>71</v>
      </c>
      <c r="N167" s="3" t="str">
        <f>IFERROR(MID(VLOOKUP($B167,Seqs!$A:$B,2,0),O167,1),"")</f>
        <v>A</v>
      </c>
      <c r="O167" s="3">
        <v>100</v>
      </c>
      <c r="P167" s="3" t="str">
        <f>IFERROR(MID(VLOOKUP($B167,Seqs!$A:$B,2,0),Q167,1),"")</f>
        <v>N</v>
      </c>
      <c r="Q167" s="3">
        <v>101</v>
      </c>
      <c r="R167" s="3" t="str">
        <f>IFERROR(MID(VLOOKUP($B167,Seqs!$A:$B,2,0),S167,1),"")</f>
        <v>F</v>
      </c>
      <c r="S167" s="3">
        <v>104</v>
      </c>
      <c r="T167" s="3" t="str">
        <f>IFERROR(MID(VLOOKUP($B167,Seqs!$A:$B,2,0),U167,1),"")</f>
        <v>G</v>
      </c>
      <c r="U167" s="3">
        <v>105</v>
      </c>
      <c r="V167" s="3" t="str">
        <f>IFERROR(MID(VLOOKUP($B167,Seqs!$A:$B,2,0),W167,1),"")</f>
        <v>H</v>
      </c>
      <c r="W167" s="3">
        <v>140</v>
      </c>
      <c r="X167" s="3" t="str">
        <f>IFERROR(MID(VLOOKUP($B167,Seqs!$A:$B,2,0),Y167,1),"")</f>
        <v>A</v>
      </c>
      <c r="Y167" s="3">
        <v>141</v>
      </c>
      <c r="Z167" s="3" t="str">
        <f>IFERROR(MID(VLOOKUP($B167,Seqs!$A:$B,2,0),AA167,1),"")</f>
        <v>R</v>
      </c>
      <c r="AA167" s="3">
        <v>148</v>
      </c>
      <c r="AB167" s="3" t="str">
        <f>IFERROR(MID(VLOOKUP($B167,Seqs!$A:$B,2,0),AC167,1),"")</f>
        <v>K</v>
      </c>
      <c r="AC167" s="9">
        <v>149</v>
      </c>
      <c r="AD167" s="3" t="str">
        <f>IFERROR(MID(VLOOKUP($B167,Seqs!$A:$B,2,0),AE167,1),"")</f>
        <v>A</v>
      </c>
      <c r="AE167" s="3">
        <v>175</v>
      </c>
      <c r="AF167" s="3" t="str">
        <f>IFERROR(MID(VLOOKUP($B167,Seqs!$A:$B,2,0),AG167,1),"")</f>
        <v>C</v>
      </c>
      <c r="AG167" s="3">
        <v>186</v>
      </c>
      <c r="AH167" s="3" t="str">
        <f>IFERROR(MID(VLOOKUP($B167,Seqs!$A:$B,2,0),AI167,1),"")</f>
        <v>R</v>
      </c>
      <c r="AI167" s="3">
        <v>188</v>
      </c>
      <c r="AJ167" s="3" t="str">
        <f>IFERROR(MID(VLOOKUP($B167,Seqs!$A:$B,2,0),AK167,1),"")</f>
        <v>D</v>
      </c>
      <c r="AK167" s="3">
        <v>193</v>
      </c>
      <c r="AL167" s="3" t="str">
        <f>IFERROR(MID(VLOOKUP($B167,Seqs!$A:$B,2,0),AM167,1),"")</f>
        <v>S</v>
      </c>
      <c r="AM167" s="3">
        <v>229</v>
      </c>
      <c r="AN167" s="3" t="str">
        <f>IFERROR(MID(VLOOKUP($B167,Seqs!$A:$B,2,0),AO167,1),"")</f>
        <v>K</v>
      </c>
      <c r="AO167" s="3">
        <v>234</v>
      </c>
      <c r="AP167" s="3" t="str">
        <f>IFERROR(MID(VLOOKUP($B167,Seqs!$A:$B,2,0),AQ167,1),"")</f>
        <v>E</v>
      </c>
      <c r="AQ167" s="3">
        <v>268</v>
      </c>
      <c r="AR167" s="3" t="str">
        <f>IFERROR(MID(VLOOKUP($B167,Seqs!$A:$B,2,0),AS167,1),"")</f>
        <v>G</v>
      </c>
      <c r="AS167" s="3">
        <v>273</v>
      </c>
      <c r="AT167" s="3" t="str">
        <f>IFERROR(MID(VLOOKUP($B167,Seqs!$A:$B,2,0),AU167,1),"")</f>
        <v>L</v>
      </c>
      <c r="AU167" s="3">
        <v>305</v>
      </c>
      <c r="AV167" s="3" t="str">
        <f>IFERROR(MID(VLOOKUP($B167,Seqs!$A:$B,2,0),AW167,1),"")</f>
        <v>G</v>
      </c>
      <c r="AW167" s="3">
        <v>306</v>
      </c>
      <c r="AX167" s="3" t="str">
        <f>IFERROR(MID(VLOOKUP($B167,Seqs!$A:$B,2,0),AY167,1),"")</f>
        <v>T</v>
      </c>
      <c r="AY167" s="3">
        <v>318</v>
      </c>
      <c r="AZ167" s="77" t="str">
        <f>VLOOKUP(B167,Classification!A:D,2,0)</f>
        <v>A</v>
      </c>
      <c r="BA167" s="94" t="str">
        <f>VLOOKUP(B167,Classification!A:D,4,0)</f>
        <v>Chemokine</v>
      </c>
      <c r="BB167" s="27" t="b">
        <f t="shared" si="812"/>
        <v>1</v>
      </c>
      <c r="BC167" s="23">
        <f t="shared" ref="BC167:BC174" si="953">_xlfn.AGGREGATE(9,6,CH167:CS167)-_xlfn.AGGREGATE(9,6,BV167:CG167)+12</f>
        <v>267</v>
      </c>
      <c r="BD167" s="34" t="s">
        <v>23</v>
      </c>
      <c r="BE167" s="3" t="s">
        <v>23</v>
      </c>
      <c r="BF167" s="119" t="s">
        <v>23</v>
      </c>
      <c r="BG167" s="49" t="s">
        <v>1373</v>
      </c>
      <c r="BH167" s="49" t="s">
        <v>1378</v>
      </c>
      <c r="BI167" s="1"/>
      <c r="BJ167" s="70" t="s">
        <v>1288</v>
      </c>
      <c r="BK167" s="57" t="s">
        <v>1288</v>
      </c>
      <c r="BL167" s="57" t="s">
        <v>1288</v>
      </c>
      <c r="BM167" s="57" t="s">
        <v>1288</v>
      </c>
      <c r="BN167" s="57" t="s">
        <v>1288</v>
      </c>
      <c r="BO167" s="57" t="s">
        <v>1288</v>
      </c>
      <c r="BP167" s="57" t="s">
        <v>1288</v>
      </c>
      <c r="BQ167" s="57" t="s">
        <v>1288</v>
      </c>
      <c r="BR167" s="57" t="s">
        <v>1288</v>
      </c>
      <c r="BS167" s="57" t="s">
        <v>1288</v>
      </c>
      <c r="BT167" s="57" t="s">
        <v>1288</v>
      </c>
      <c r="BU167" s="57" t="s">
        <v>1288</v>
      </c>
      <c r="BV167" s="70">
        <f t="shared" ref="BV167:BV174" si="954">E167</f>
        <v>30</v>
      </c>
      <c r="BW167" s="71">
        <f t="shared" ref="BW167:BW174" si="955">I167</f>
        <v>67</v>
      </c>
      <c r="BX167" s="72">
        <f t="shared" ref="BX167:BX174" si="956">M167</f>
        <v>71</v>
      </c>
      <c r="BY167" s="71">
        <f t="shared" ref="BY167:BY174" si="957">Q167</f>
        <v>101</v>
      </c>
      <c r="BZ167" s="72">
        <f t="shared" ref="BZ167:BZ174" si="958">U167</f>
        <v>105</v>
      </c>
      <c r="CA167" s="71">
        <f t="shared" ref="CA167:CA174" si="959">Y167</f>
        <v>141</v>
      </c>
      <c r="CB167" s="72">
        <f t="shared" ref="CB167:CB174" si="960">AC167</f>
        <v>149</v>
      </c>
      <c r="CC167" s="71">
        <f t="shared" ref="CC167:CC174" si="961">AG167</f>
        <v>186</v>
      </c>
      <c r="CD167" s="72">
        <f t="shared" ref="CD167:CD174" si="962">AK167</f>
        <v>193</v>
      </c>
      <c r="CE167" s="71">
        <f t="shared" ref="CE167:CE174" si="963">AO167</f>
        <v>234</v>
      </c>
      <c r="CF167" s="72">
        <f t="shared" ref="CF167:CF174" si="964">AS167</f>
        <v>273</v>
      </c>
      <c r="CG167" s="71">
        <f t="shared" ref="CG167:CG174" si="965">AW167</f>
        <v>306</v>
      </c>
      <c r="CH167" s="70">
        <f t="shared" ref="CH167:CH174" si="966">G167</f>
        <v>66</v>
      </c>
      <c r="CI167" s="71">
        <f t="shared" ref="CI167:CI174" si="967">K167</f>
        <v>70</v>
      </c>
      <c r="CJ167" s="72">
        <f t="shared" ref="CJ167:CJ174" si="968">O167</f>
        <v>100</v>
      </c>
      <c r="CK167" s="72">
        <f t="shared" ref="CK167:CK174" si="969">S167</f>
        <v>104</v>
      </c>
      <c r="CL167" s="72">
        <f t="shared" ref="CL167:CL174" si="970">W167</f>
        <v>140</v>
      </c>
      <c r="CM167" s="72">
        <f t="shared" ref="CM167:CM174" si="971">AA167</f>
        <v>148</v>
      </c>
      <c r="CN167" s="72">
        <f t="shared" ref="CN167:CN174" si="972">AE167</f>
        <v>175</v>
      </c>
      <c r="CO167" s="72">
        <f t="shared" ref="CO167:CO174" si="973">AI167</f>
        <v>188</v>
      </c>
      <c r="CP167" s="72">
        <f t="shared" ref="CP167:CP174" si="974">AM167</f>
        <v>229</v>
      </c>
      <c r="CQ167" s="72">
        <f t="shared" ref="CQ167:CQ174" si="975">AQ167</f>
        <v>268</v>
      </c>
      <c r="CR167" s="72">
        <f t="shared" ref="CR167:CR174" si="976">AU167</f>
        <v>305</v>
      </c>
      <c r="CS167" s="72">
        <f t="shared" ref="CS167:CS174" si="977">AY167</f>
        <v>318</v>
      </c>
      <c r="CT167" s="23">
        <f t="shared" ref="CT167:CT174" si="978">M167-K167</f>
        <v>1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29" x14ac:dyDescent="0.2">
      <c r="A168" s="3" t="str">
        <f t="shared" si="811"/>
        <v>cxcr4_human_3ODU</v>
      </c>
      <c r="B168" s="3" t="s">
        <v>1172</v>
      </c>
      <c r="C168" s="3" t="s">
        <v>63</v>
      </c>
      <c r="D168" s="3" t="str">
        <f>IFERROR(MID(VLOOKUP($B168,Seqs!$A:$B,2,0),E168,1),"")</f>
        <v>A</v>
      </c>
      <c r="E168" s="3">
        <v>34</v>
      </c>
      <c r="F168" s="3" t="str">
        <f>IFERROR(MID(VLOOKUP($B168,Seqs!$A:$B,2,0),G168,1),"")</f>
        <v>Q</v>
      </c>
      <c r="G168" s="3">
        <v>66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S</v>
      </c>
      <c r="M168" s="3">
        <v>71</v>
      </c>
      <c r="N168" s="3" t="str">
        <f>IFERROR(MID(VLOOKUP($B168,Seqs!$A:$B,2,0),O168,1),"")</f>
        <v>A</v>
      </c>
      <c r="O168" s="3">
        <v>100</v>
      </c>
      <c r="P168" s="3" t="str">
        <f>IFERROR(MID(VLOOKUP($B168,Seqs!$A:$B,2,0),Q168,1),"")</f>
        <v>N</v>
      </c>
      <c r="Q168" s="3">
        <v>101</v>
      </c>
      <c r="R168" s="3" t="str">
        <f>IFERROR(MID(VLOOKUP($B168,Seqs!$A:$B,2,0),S168,1),"")</f>
        <v>F</v>
      </c>
      <c r="S168" s="3">
        <v>104</v>
      </c>
      <c r="T168" s="3" t="str">
        <f>IFERROR(MID(VLOOKUP($B168,Seqs!$A:$B,2,0),U168,1),"")</f>
        <v>G</v>
      </c>
      <c r="U168" s="3">
        <v>105</v>
      </c>
      <c r="V168" s="3" t="str">
        <f>IFERROR(MID(VLOOKUP($B168,Seqs!$A:$B,2,0),W168,1),"")</f>
        <v>H</v>
      </c>
      <c r="W168" s="3">
        <v>140</v>
      </c>
      <c r="X168" s="3" t="str">
        <f>IFERROR(MID(VLOOKUP($B168,Seqs!$A:$B,2,0),Y168,1),"")</f>
        <v/>
      </c>
      <c r="Y168" s="3" t="s">
        <v>23</v>
      </c>
      <c r="Z168" s="3" t="str">
        <f>IFERROR(MID(VLOOKUP($B168,Seqs!$A:$B,2,0),AA168,1),"")</f>
        <v/>
      </c>
      <c r="AA168" s="3" t="s">
        <v>23</v>
      </c>
      <c r="AB168" s="3" t="str">
        <f>IFERROR(MID(VLOOKUP($B168,Seqs!$A:$B,2,0),AC168,1),"")</f>
        <v>S</v>
      </c>
      <c r="AC168" s="9">
        <v>144</v>
      </c>
      <c r="AD168" s="3" t="str">
        <f>IFERROR(MID(VLOOKUP($B168,Seqs!$A:$B,2,0),AE168,1),"")</f>
        <v>A</v>
      </c>
      <c r="AE168" s="3">
        <v>175</v>
      </c>
      <c r="AF168" s="3" t="str">
        <f>IFERROR(MID(VLOOKUP($B168,Seqs!$A:$B,2,0),AG168,1),"")</f>
        <v>C</v>
      </c>
      <c r="AG168" s="3">
        <v>186</v>
      </c>
      <c r="AH168" s="3" t="str">
        <f>IFERROR(MID(VLOOKUP($B168,Seqs!$A:$B,2,0),AI168,1),"")</f>
        <v>R</v>
      </c>
      <c r="AI168" s="3">
        <v>188</v>
      </c>
      <c r="AJ168" s="3" t="str">
        <f>IFERROR(MID(VLOOKUP($B168,Seqs!$A:$B,2,0),AK168,1),"")</f>
        <v>D</v>
      </c>
      <c r="AK168" s="3">
        <v>193</v>
      </c>
      <c r="AL168" s="3" t="str">
        <f>IFERROR(MID(VLOOKUP($B168,Seqs!$A:$B,2,0),AM168,1),"")</f>
        <v>K</v>
      </c>
      <c r="AM168" s="3">
        <v>225</v>
      </c>
      <c r="AN168" s="3" t="str">
        <f>IFERROR(MID(VLOOKUP($B168,Seqs!$A:$B,2,0),AO168,1),"")</f>
        <v>G</v>
      </c>
      <c r="AO168" s="3">
        <v>231</v>
      </c>
      <c r="AP168" s="3" t="str">
        <f>IFERROR(MID(VLOOKUP($B168,Seqs!$A:$B,2,0),AQ168,1),"")</f>
        <v>E</v>
      </c>
      <c r="AQ168" s="3">
        <v>268</v>
      </c>
      <c r="AR168" s="3" t="str">
        <f>IFERROR(MID(VLOOKUP($B168,Seqs!$A:$B,2,0),AS168,1),"")</f>
        <v>G</v>
      </c>
      <c r="AS168" s="3">
        <v>273</v>
      </c>
      <c r="AT168" s="3" t="str">
        <f>IFERROR(MID(VLOOKUP($B168,Seqs!$A:$B,2,0),AU168,1),"")</f>
        <v>I</v>
      </c>
      <c r="AU168" s="3">
        <v>300</v>
      </c>
      <c r="AV168" s="3" t="str">
        <f>IFERROR(MID(VLOOKUP($B168,Seqs!$A:$B,2,0),AW168,1),"")</f>
        <v/>
      </c>
      <c r="AW168" s="3" t="s">
        <v>23</v>
      </c>
      <c r="AX168" s="3" t="str">
        <f>IFERROR(MID(VLOOKUP($B168,Seqs!$A:$B,2,0),AY168,1),"")</f>
        <v/>
      </c>
      <c r="AY168" s="3" t="s">
        <v>23</v>
      </c>
      <c r="AZ168" s="77" t="str">
        <f>VLOOKUP(B168,Classification!A:D,2,0)</f>
        <v>A</v>
      </c>
      <c r="BA168" s="94" t="str">
        <f>VLOOKUP(B168,Classification!A:D,4,0)</f>
        <v>Chemokine</v>
      </c>
      <c r="BB168" s="27" t="b">
        <f t="shared" si="812"/>
        <v>1</v>
      </c>
      <c r="BC168" s="23">
        <f t="shared" si="953"/>
        <v>240</v>
      </c>
      <c r="BD168" s="2" t="s">
        <v>1377</v>
      </c>
      <c r="BE168" s="3" t="s">
        <v>1375</v>
      </c>
      <c r="BF168" s="119">
        <v>2.5</v>
      </c>
      <c r="BG168" s="49" t="s">
        <v>1378</v>
      </c>
      <c r="BH168" s="49" t="s">
        <v>1378</v>
      </c>
      <c r="BI168" s="1"/>
      <c r="BJ168" s="70" t="s">
        <v>1288</v>
      </c>
      <c r="BK168" s="57" t="s">
        <v>1288</v>
      </c>
      <c r="BL168" s="57" t="s">
        <v>1288</v>
      </c>
      <c r="BM168" s="57" t="s">
        <v>1288</v>
      </c>
      <c r="BN168" s="57" t="s">
        <v>1288</v>
      </c>
      <c r="BO168" s="57" t="s">
        <v>1288</v>
      </c>
      <c r="BP168" s="57" t="s">
        <v>1288</v>
      </c>
      <c r="BQ168" s="57" t="s">
        <v>1288</v>
      </c>
      <c r="BR168" s="57" t="s">
        <v>1288</v>
      </c>
      <c r="BS168" s="57" t="s">
        <v>1288</v>
      </c>
      <c r="BT168" s="57" t="s">
        <v>1288</v>
      </c>
      <c r="BU168" s="57" t="s">
        <v>1288</v>
      </c>
      <c r="BV168" s="70">
        <f t="shared" si="954"/>
        <v>34</v>
      </c>
      <c r="BW168" s="71" t="str">
        <f t="shared" si="955"/>
        <v>-</v>
      </c>
      <c r="BX168" s="72">
        <f t="shared" si="956"/>
        <v>71</v>
      </c>
      <c r="BY168" s="71">
        <f t="shared" si="957"/>
        <v>101</v>
      </c>
      <c r="BZ168" s="72">
        <f t="shared" si="958"/>
        <v>105</v>
      </c>
      <c r="CA168" s="71" t="str">
        <f t="shared" si="959"/>
        <v>-</v>
      </c>
      <c r="CB168" s="72">
        <f t="shared" si="960"/>
        <v>144</v>
      </c>
      <c r="CC168" s="71">
        <f t="shared" si="961"/>
        <v>186</v>
      </c>
      <c r="CD168" s="72">
        <f t="shared" si="962"/>
        <v>193</v>
      </c>
      <c r="CE168" s="71">
        <f t="shared" si="963"/>
        <v>231</v>
      </c>
      <c r="CF168" s="72">
        <f t="shared" si="964"/>
        <v>273</v>
      </c>
      <c r="CG168" s="71" t="str">
        <f t="shared" si="965"/>
        <v>-</v>
      </c>
      <c r="CH168" s="70">
        <f t="shared" si="966"/>
        <v>66</v>
      </c>
      <c r="CI168" s="71" t="str">
        <f t="shared" si="967"/>
        <v>-</v>
      </c>
      <c r="CJ168" s="72">
        <f t="shared" si="968"/>
        <v>100</v>
      </c>
      <c r="CK168" s="72">
        <f t="shared" si="969"/>
        <v>104</v>
      </c>
      <c r="CL168" s="72">
        <f t="shared" si="970"/>
        <v>140</v>
      </c>
      <c r="CM168" s="72" t="str">
        <f t="shared" si="971"/>
        <v>-</v>
      </c>
      <c r="CN168" s="72">
        <f t="shared" si="972"/>
        <v>175</v>
      </c>
      <c r="CO168" s="72">
        <f t="shared" si="973"/>
        <v>188</v>
      </c>
      <c r="CP168" s="72">
        <f t="shared" si="974"/>
        <v>225</v>
      </c>
      <c r="CQ168" s="72">
        <f t="shared" si="975"/>
        <v>268</v>
      </c>
      <c r="CR168" s="72">
        <f t="shared" si="976"/>
        <v>300</v>
      </c>
      <c r="CS168" s="72" t="str">
        <f t="shared" si="977"/>
        <v>-</v>
      </c>
      <c r="CT168" s="23" t="e">
        <f t="shared" si="978"/>
        <v>#VALUE!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29" x14ac:dyDescent="0.2">
      <c r="A169" s="3" t="str">
        <f t="shared" si="811"/>
        <v>cxcr4_human_3OE0</v>
      </c>
      <c r="B169" s="3" t="s">
        <v>1172</v>
      </c>
      <c r="C169" s="3" t="s">
        <v>1032</v>
      </c>
      <c r="D169" s="3" t="str">
        <f>IFERROR(MID(VLOOKUP($B169,Seqs!$A:$B,2,0),E169,1),"")</f>
        <v>A</v>
      </c>
      <c r="E169" s="3">
        <v>34</v>
      </c>
      <c r="F169" s="3" t="str">
        <f>IFERROR(MID(VLOOKUP($B169,Seqs!$A:$B,2,0),G169,1),"")</f>
        <v>Q</v>
      </c>
      <c r="G169" s="3">
        <v>66</v>
      </c>
      <c r="H169" s="3" t="str">
        <f>IFERROR(MID(VLOOKUP($B169,Seqs!$A:$B,2,0),I169,1),"")</f>
        <v/>
      </c>
      <c r="I169" s="23" t="s">
        <v>23</v>
      </c>
      <c r="J169" s="3" t="str">
        <f>IFERROR(MID(VLOOKUP($B169,Seqs!$A:$B,2,0),K169,1),"")</f>
        <v/>
      </c>
      <c r="K169" s="23" t="s">
        <v>23</v>
      </c>
      <c r="L169" s="3" t="str">
        <f>IFERROR(MID(VLOOKUP($B169,Seqs!$A:$B,2,0),M169,1),"")</f>
        <v>S</v>
      </c>
      <c r="M169" s="3">
        <v>71</v>
      </c>
      <c r="N169" s="3" t="str">
        <f>IFERROR(MID(VLOOKUP($B169,Seqs!$A:$B,2,0),O169,1),"")</f>
        <v>A</v>
      </c>
      <c r="O169" s="3">
        <v>100</v>
      </c>
      <c r="P169" s="3" t="str">
        <f>IFERROR(MID(VLOOKUP($B169,Seqs!$A:$B,2,0),Q169,1),"")</f>
        <v>N</v>
      </c>
      <c r="Q169" s="3">
        <v>101</v>
      </c>
      <c r="R169" s="3" t="str">
        <f>IFERROR(MID(VLOOKUP($B169,Seqs!$A:$B,2,0),S169,1),"")</f>
        <v>F</v>
      </c>
      <c r="S169" s="3">
        <v>104</v>
      </c>
      <c r="T169" s="3" t="str">
        <f>IFERROR(MID(VLOOKUP($B169,Seqs!$A:$B,2,0),U169,1),"")</f>
        <v>G</v>
      </c>
      <c r="U169" s="3">
        <v>105</v>
      </c>
      <c r="V169" s="3" t="str">
        <f>IFERROR(MID(VLOOKUP($B169,Seqs!$A:$B,2,0),W169,1),"")</f>
        <v>H</v>
      </c>
      <c r="W169" s="3">
        <v>140</v>
      </c>
      <c r="X169" s="3" t="str">
        <f>IFERROR(MID(VLOOKUP($B169,Seqs!$A:$B,2,0),Y169,1),"")</f>
        <v/>
      </c>
      <c r="Y169" s="3" t="s">
        <v>23</v>
      </c>
      <c r="Z169" s="3" t="str">
        <f>IFERROR(MID(VLOOKUP($B169,Seqs!$A:$B,2,0),AA169,1),"")</f>
        <v/>
      </c>
      <c r="AA169" s="3" t="s">
        <v>23</v>
      </c>
      <c r="AB169" s="3" t="str">
        <f>IFERROR(MID(VLOOKUP($B169,Seqs!$A:$B,2,0),AC169,1),"")</f>
        <v>S</v>
      </c>
      <c r="AC169" s="9">
        <v>144</v>
      </c>
      <c r="AD169" s="3" t="str">
        <f>IFERROR(MID(VLOOKUP($B169,Seqs!$A:$B,2,0),AE169,1),"")</f>
        <v>A</v>
      </c>
      <c r="AE169" s="3">
        <v>175</v>
      </c>
      <c r="AF169" s="3" t="str">
        <f>IFERROR(MID(VLOOKUP($B169,Seqs!$A:$B,2,0),AG169,1),"")</f>
        <v>C</v>
      </c>
      <c r="AG169" s="3">
        <v>186</v>
      </c>
      <c r="AH169" s="3" t="str">
        <f>IFERROR(MID(VLOOKUP($B169,Seqs!$A:$B,2,0),AI169,1),"")</f>
        <v>R</v>
      </c>
      <c r="AI169" s="3">
        <v>188</v>
      </c>
      <c r="AJ169" s="3" t="str">
        <f>IFERROR(MID(VLOOKUP($B169,Seqs!$A:$B,2,0),AK169,1),"")</f>
        <v>D</v>
      </c>
      <c r="AK169" s="3">
        <v>193</v>
      </c>
      <c r="AL169" s="3" t="str">
        <f>IFERROR(MID(VLOOKUP($B169,Seqs!$A:$B,2,0),AM169,1),"")</f>
        <v>H</v>
      </c>
      <c r="AM169" s="3">
        <v>228</v>
      </c>
      <c r="AN169" s="3" t="str">
        <f>IFERROR(MID(VLOOKUP($B169,Seqs!$A:$B,2,0),AO169,1),"")</f>
        <v>K</v>
      </c>
      <c r="AO169" s="3">
        <v>239</v>
      </c>
      <c r="AP169" s="3" t="str">
        <f>IFERROR(MID(VLOOKUP($B169,Seqs!$A:$B,2,0),AQ169,1),"")</f>
        <v>E</v>
      </c>
      <c r="AQ169" s="3">
        <v>268</v>
      </c>
      <c r="AR169" s="3" t="str">
        <f>IFERROR(MID(VLOOKUP($B169,Seqs!$A:$B,2,0),AS169,1),"")</f>
        <v>G</v>
      </c>
      <c r="AS169" s="3">
        <v>273</v>
      </c>
      <c r="AT169" s="3" t="str">
        <f>IFERROR(MID(VLOOKUP($B169,Seqs!$A:$B,2,0),AU169,1),"")</f>
        <v>I</v>
      </c>
      <c r="AU169" s="3">
        <v>300</v>
      </c>
      <c r="AV169" s="3" t="str">
        <f>IFERROR(MID(VLOOKUP($B169,Seqs!$A:$B,2,0),AW169,1),"")</f>
        <v/>
      </c>
      <c r="AW169" s="3" t="s">
        <v>23</v>
      </c>
      <c r="AX169" s="3" t="str">
        <f>IFERROR(MID(VLOOKUP($B169,Seqs!$A:$B,2,0),AY169,1),"")</f>
        <v/>
      </c>
      <c r="AY169" s="3" t="s">
        <v>23</v>
      </c>
      <c r="AZ169" s="77" t="str">
        <f>VLOOKUP(B169,Classification!A:D,2,0)</f>
        <v>A</v>
      </c>
      <c r="BA169" s="94" t="str">
        <f>VLOOKUP(B169,Classification!A:D,4,0)</f>
        <v>Chemokine</v>
      </c>
      <c r="BB169" s="27" t="b">
        <f t="shared" si="812"/>
        <v>1</v>
      </c>
      <c r="BC169" s="23">
        <f t="shared" si="953"/>
        <v>235</v>
      </c>
      <c r="BD169" s="4" t="s">
        <v>23</v>
      </c>
      <c r="BE169" s="3" t="s">
        <v>1375</v>
      </c>
      <c r="BF169" s="119">
        <v>2.9</v>
      </c>
      <c r="BG169" s="49" t="s">
        <v>1378</v>
      </c>
      <c r="BH169" s="49" t="s">
        <v>1378</v>
      </c>
      <c r="BI169" s="1"/>
      <c r="BJ169" s="70" t="s">
        <v>1288</v>
      </c>
      <c r="BK169" s="57" t="s">
        <v>1288</v>
      </c>
      <c r="BL169" s="57" t="s">
        <v>1288</v>
      </c>
      <c r="BM169" s="57" t="s">
        <v>1288</v>
      </c>
      <c r="BN169" s="57" t="s">
        <v>1288</v>
      </c>
      <c r="BO169" s="57" t="s">
        <v>1288</v>
      </c>
      <c r="BP169" s="57" t="s">
        <v>1288</v>
      </c>
      <c r="BQ169" s="57" t="s">
        <v>1288</v>
      </c>
      <c r="BR169" s="57" t="s">
        <v>1288</v>
      </c>
      <c r="BS169" s="57" t="s">
        <v>1288</v>
      </c>
      <c r="BT169" s="57" t="s">
        <v>1288</v>
      </c>
      <c r="BU169" s="57" t="s">
        <v>1288</v>
      </c>
      <c r="BV169" s="70">
        <f t="shared" si="954"/>
        <v>34</v>
      </c>
      <c r="BW169" s="71" t="str">
        <f t="shared" si="955"/>
        <v>-</v>
      </c>
      <c r="BX169" s="72">
        <f t="shared" si="956"/>
        <v>71</v>
      </c>
      <c r="BY169" s="71">
        <f t="shared" si="957"/>
        <v>101</v>
      </c>
      <c r="BZ169" s="72">
        <f t="shared" si="958"/>
        <v>105</v>
      </c>
      <c r="CA169" s="71" t="str">
        <f t="shared" si="959"/>
        <v>-</v>
      </c>
      <c r="CB169" s="72">
        <f t="shared" si="960"/>
        <v>144</v>
      </c>
      <c r="CC169" s="71">
        <f t="shared" si="961"/>
        <v>186</v>
      </c>
      <c r="CD169" s="72">
        <f t="shared" si="962"/>
        <v>193</v>
      </c>
      <c r="CE169" s="71">
        <f t="shared" si="963"/>
        <v>239</v>
      </c>
      <c r="CF169" s="72">
        <f t="shared" si="964"/>
        <v>273</v>
      </c>
      <c r="CG169" s="71" t="str">
        <f t="shared" si="965"/>
        <v>-</v>
      </c>
      <c r="CH169" s="70">
        <f t="shared" si="966"/>
        <v>66</v>
      </c>
      <c r="CI169" s="71" t="str">
        <f t="shared" si="967"/>
        <v>-</v>
      </c>
      <c r="CJ169" s="72">
        <f t="shared" si="968"/>
        <v>100</v>
      </c>
      <c r="CK169" s="72">
        <f t="shared" si="969"/>
        <v>104</v>
      </c>
      <c r="CL169" s="72">
        <f t="shared" si="970"/>
        <v>140</v>
      </c>
      <c r="CM169" s="72" t="str">
        <f t="shared" si="971"/>
        <v>-</v>
      </c>
      <c r="CN169" s="72">
        <f t="shared" si="972"/>
        <v>175</v>
      </c>
      <c r="CO169" s="72">
        <f t="shared" si="973"/>
        <v>188</v>
      </c>
      <c r="CP169" s="72">
        <f t="shared" si="974"/>
        <v>228</v>
      </c>
      <c r="CQ169" s="72">
        <f t="shared" si="975"/>
        <v>268</v>
      </c>
      <c r="CR169" s="72">
        <f t="shared" si="976"/>
        <v>300</v>
      </c>
      <c r="CS169" s="72" t="str">
        <f t="shared" si="977"/>
        <v>-</v>
      </c>
      <c r="CT169" s="23" t="e">
        <f t="shared" si="978"/>
        <v>#VALUE!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29" x14ac:dyDescent="0.2">
      <c r="A170" s="3" t="str">
        <f t="shared" si="811"/>
        <v>cxcr4_human_4RWS</v>
      </c>
      <c r="B170" s="3" t="s">
        <v>1172</v>
      </c>
      <c r="C170" s="3" t="s">
        <v>1053</v>
      </c>
      <c r="D170" s="3" t="str">
        <f>IFERROR(MID(VLOOKUP($B170,Seqs!$A:$B,2,0),E170,1),"")</f>
        <v>R</v>
      </c>
      <c r="E170" s="3">
        <v>30</v>
      </c>
      <c r="F170" s="3" t="str">
        <f>IFERROR(MID(VLOOKUP($B170,Seqs!$A:$B,2,0),G170,1),"")</f>
        <v>Q</v>
      </c>
      <c r="G170" s="3">
        <v>66</v>
      </c>
      <c r="H170" s="3" t="str">
        <f>IFERROR(MID(VLOOKUP($B170,Seqs!$A:$B,2,0),I170,1),"")</f>
        <v/>
      </c>
      <c r="I170" s="23" t="s">
        <v>23</v>
      </c>
      <c r="J170" s="3" t="str">
        <f>IFERROR(MID(VLOOKUP($B170,Seqs!$A:$B,2,0),K170,1),"")</f>
        <v/>
      </c>
      <c r="K170" s="23" t="s">
        <v>23</v>
      </c>
      <c r="L170" s="3" t="str">
        <f>IFERROR(MID(VLOOKUP($B170,Seqs!$A:$B,2,0),M170,1),"")</f>
        <v>S</v>
      </c>
      <c r="M170" s="3">
        <v>71</v>
      </c>
      <c r="N170" s="3" t="str">
        <f>IFERROR(MID(VLOOKUP($B170,Seqs!$A:$B,2,0),O170,1),"")</f>
        <v>A</v>
      </c>
      <c r="O170" s="3">
        <v>100</v>
      </c>
      <c r="P170" s="3" t="str">
        <f>IFERROR(MID(VLOOKUP($B170,Seqs!$A:$B,2,0),Q170,1),"")</f>
        <v>N</v>
      </c>
      <c r="Q170" s="3">
        <v>101</v>
      </c>
      <c r="R170" s="3" t="str">
        <f>IFERROR(MID(VLOOKUP($B170,Seqs!$A:$B,2,0),S170,1),"")</f>
        <v>F</v>
      </c>
      <c r="S170" s="3">
        <v>104</v>
      </c>
      <c r="T170" s="3" t="str">
        <f>IFERROR(MID(VLOOKUP($B170,Seqs!$A:$B,2,0),U170,1),"")</f>
        <v>G</v>
      </c>
      <c r="U170" s="3">
        <v>105</v>
      </c>
      <c r="V170" s="3" t="str">
        <f>IFERROR(MID(VLOOKUP($B170,Seqs!$A:$B,2,0),W170,1),"")</f>
        <v>H</v>
      </c>
      <c r="W170" s="3">
        <v>140</v>
      </c>
      <c r="X170" s="3" t="str">
        <f>IFERROR(MID(VLOOKUP($B170,Seqs!$A:$B,2,0),Y170,1),"")</f>
        <v/>
      </c>
      <c r="Y170" s="3" t="s">
        <v>23</v>
      </c>
      <c r="Z170" s="3" t="str">
        <f>IFERROR(MID(VLOOKUP($B170,Seqs!$A:$B,2,0),AA170,1),"")</f>
        <v/>
      </c>
      <c r="AA170" s="3" t="s">
        <v>23</v>
      </c>
      <c r="AB170" s="3" t="str">
        <f>IFERROR(MID(VLOOKUP($B170,Seqs!$A:$B,2,0),AC170,1),"")</f>
        <v>S</v>
      </c>
      <c r="AC170" s="9">
        <v>144</v>
      </c>
      <c r="AD170" s="3" t="str">
        <f>IFERROR(MID(VLOOKUP($B170,Seqs!$A:$B,2,0),AE170,1),"")</f>
        <v>A</v>
      </c>
      <c r="AE170" s="3">
        <v>175</v>
      </c>
      <c r="AF170" s="3" t="str">
        <f>IFERROR(MID(VLOOKUP($B170,Seqs!$A:$B,2,0),AG170,1),"")</f>
        <v>C</v>
      </c>
      <c r="AG170" s="3">
        <v>186</v>
      </c>
      <c r="AH170" s="3" t="str">
        <f>IFERROR(MID(VLOOKUP($B170,Seqs!$A:$B,2,0),AI170,1),"")</f>
        <v>R</v>
      </c>
      <c r="AI170" s="3">
        <v>188</v>
      </c>
      <c r="AJ170" s="3" t="str">
        <f>IFERROR(MID(VLOOKUP($B170,Seqs!$A:$B,2,0),AK170,1),"")</f>
        <v>D</v>
      </c>
      <c r="AK170" s="3">
        <v>193</v>
      </c>
      <c r="AL170" s="3" t="str">
        <f>IFERROR(MID(VLOOKUP($B170,Seqs!$A:$B,2,0),AM170,1),"")</f>
        <v>S</v>
      </c>
      <c r="AM170" s="3">
        <v>227</v>
      </c>
      <c r="AN170" s="3" t="str">
        <f>IFERROR(MID(VLOOKUP($B170,Seqs!$A:$B,2,0),AO170,1),"")</f>
        <v>K</v>
      </c>
      <c r="AO170" s="3">
        <v>239</v>
      </c>
      <c r="AP170" s="3" t="str">
        <f>IFERROR(MID(VLOOKUP($B170,Seqs!$A:$B,2,0),AQ170,1),"")</f>
        <v>E</v>
      </c>
      <c r="AQ170" s="3">
        <v>268</v>
      </c>
      <c r="AR170" s="3" t="str">
        <f>IFERROR(MID(VLOOKUP($B170,Seqs!$A:$B,2,0),AS170,1),"")</f>
        <v>G</v>
      </c>
      <c r="AS170" s="3">
        <v>273</v>
      </c>
      <c r="AT170" s="3" t="str">
        <f>IFERROR(MID(VLOOKUP($B170,Seqs!$A:$B,2,0),AU170,1),"")</f>
        <v>I</v>
      </c>
      <c r="AU170" s="3">
        <v>300</v>
      </c>
      <c r="AV170" s="3" t="str">
        <f>IFERROR(MID(VLOOKUP($B170,Seqs!$A:$B,2,0),AW170,1),"")</f>
        <v/>
      </c>
      <c r="AW170" s="3" t="s">
        <v>23</v>
      </c>
      <c r="AX170" s="3" t="str">
        <f>IFERROR(MID(VLOOKUP($B170,Seqs!$A:$B,2,0),AY170,1),"")</f>
        <v/>
      </c>
      <c r="AY170" s="3" t="s">
        <v>23</v>
      </c>
      <c r="AZ170" s="77" t="str">
        <f>VLOOKUP(B170,Classification!A:D,2,0)</f>
        <v>A</v>
      </c>
      <c r="BA170" s="94" t="str">
        <f>VLOOKUP(B170,Classification!A:D,4,0)</f>
        <v>Chemokine</v>
      </c>
      <c r="BB170" s="27" t="b">
        <f t="shared" si="812"/>
        <v>1</v>
      </c>
      <c r="BC170" s="23">
        <f t="shared" si="953"/>
        <v>238</v>
      </c>
      <c r="BD170" s="5" t="s">
        <v>23</v>
      </c>
      <c r="BE170" s="3" t="s">
        <v>1375</v>
      </c>
      <c r="BF170" s="119">
        <v>3.1</v>
      </c>
      <c r="BG170" s="49" t="s">
        <v>1378</v>
      </c>
      <c r="BH170" s="49" t="s">
        <v>1378</v>
      </c>
      <c r="BI170" s="1"/>
      <c r="BJ170" s="70" t="s">
        <v>1288</v>
      </c>
      <c r="BK170" s="57" t="s">
        <v>1288</v>
      </c>
      <c r="BL170" s="57" t="s">
        <v>1288</v>
      </c>
      <c r="BM170" s="57" t="s">
        <v>1288</v>
      </c>
      <c r="BN170" s="57" t="s">
        <v>1288</v>
      </c>
      <c r="BO170" s="57" t="s">
        <v>1288</v>
      </c>
      <c r="BP170" s="57" t="s">
        <v>1288</v>
      </c>
      <c r="BQ170" s="57" t="s">
        <v>1288</v>
      </c>
      <c r="BR170" s="57" t="s">
        <v>1288</v>
      </c>
      <c r="BS170" s="57" t="s">
        <v>1288</v>
      </c>
      <c r="BT170" s="57" t="s">
        <v>1288</v>
      </c>
      <c r="BU170" s="57" t="s">
        <v>1288</v>
      </c>
      <c r="BV170" s="70">
        <f t="shared" si="954"/>
        <v>30</v>
      </c>
      <c r="BW170" s="71" t="str">
        <f t="shared" si="955"/>
        <v>-</v>
      </c>
      <c r="BX170" s="72">
        <f t="shared" si="956"/>
        <v>71</v>
      </c>
      <c r="BY170" s="71">
        <f t="shared" si="957"/>
        <v>101</v>
      </c>
      <c r="BZ170" s="72">
        <f t="shared" si="958"/>
        <v>105</v>
      </c>
      <c r="CA170" s="71" t="str">
        <f t="shared" si="959"/>
        <v>-</v>
      </c>
      <c r="CB170" s="72">
        <f t="shared" si="960"/>
        <v>144</v>
      </c>
      <c r="CC170" s="71">
        <f t="shared" si="961"/>
        <v>186</v>
      </c>
      <c r="CD170" s="72">
        <f t="shared" si="962"/>
        <v>193</v>
      </c>
      <c r="CE170" s="71">
        <f t="shared" si="963"/>
        <v>239</v>
      </c>
      <c r="CF170" s="72">
        <f t="shared" si="964"/>
        <v>273</v>
      </c>
      <c r="CG170" s="71" t="str">
        <f t="shared" si="965"/>
        <v>-</v>
      </c>
      <c r="CH170" s="70">
        <f t="shared" si="966"/>
        <v>66</v>
      </c>
      <c r="CI170" s="71" t="str">
        <f t="shared" si="967"/>
        <v>-</v>
      </c>
      <c r="CJ170" s="72">
        <f t="shared" si="968"/>
        <v>100</v>
      </c>
      <c r="CK170" s="72">
        <f t="shared" si="969"/>
        <v>104</v>
      </c>
      <c r="CL170" s="72">
        <f t="shared" si="970"/>
        <v>140</v>
      </c>
      <c r="CM170" s="72" t="str">
        <f t="shared" si="971"/>
        <v>-</v>
      </c>
      <c r="CN170" s="72">
        <f t="shared" si="972"/>
        <v>175</v>
      </c>
      <c r="CO170" s="72">
        <f t="shared" si="973"/>
        <v>188</v>
      </c>
      <c r="CP170" s="72">
        <f t="shared" si="974"/>
        <v>227</v>
      </c>
      <c r="CQ170" s="72">
        <f t="shared" si="975"/>
        <v>268</v>
      </c>
      <c r="CR170" s="72">
        <f t="shared" si="976"/>
        <v>300</v>
      </c>
      <c r="CS170" s="72" t="str">
        <f t="shared" si="977"/>
        <v>-</v>
      </c>
      <c r="CT170" s="23" t="e">
        <f t="shared" si="978"/>
        <v>#VALUE!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29" x14ac:dyDescent="0.2">
      <c r="A171" s="3" t="str">
        <f>CONCATENATE(B171,"_",C171)</f>
        <v>drd2_human__wt</v>
      </c>
      <c r="B171" s="3" t="s">
        <v>191</v>
      </c>
      <c r="C171" s="3" t="s">
        <v>100</v>
      </c>
      <c r="D171" s="3" t="str">
        <f>IFERROR(MID(VLOOKUP($B171,Seqs!$A:$B,2,0),E171,1),"")</f>
        <v>R</v>
      </c>
      <c r="E171" s="3">
        <v>31</v>
      </c>
      <c r="F171" s="3" t="str">
        <f>IFERROR(MID(VLOOKUP($B171,Seqs!$A:$B,2,0),G171,1),"")</f>
        <v>E</v>
      </c>
      <c r="G171" s="3">
        <v>62</v>
      </c>
      <c r="H171" s="3" t="str">
        <f>IFERROR(MID(VLOOKUP($B171,Seqs!$A:$B,2,0),I171,1),"")</f>
        <v>K</v>
      </c>
      <c r="I171" s="23">
        <v>63</v>
      </c>
      <c r="J171" s="3" t="str">
        <f>IFERROR(MID(VLOOKUP($B171,Seqs!$A:$B,2,0),K171,1),"")</f>
        <v>Q</v>
      </c>
      <c r="K171" s="23">
        <v>66</v>
      </c>
      <c r="L171" s="3" t="str">
        <f>IFERROR(MID(VLOOKUP($B171,Seqs!$A:$B,2,0),M171,1),"")</f>
        <v>T</v>
      </c>
      <c r="M171" s="3">
        <v>67</v>
      </c>
      <c r="N171" s="3" t="str">
        <f>IFERROR(MID(VLOOKUP($B171,Seqs!$A:$B,2,0),O171,1),"")</f>
        <v>G</v>
      </c>
      <c r="O171" s="3">
        <v>98</v>
      </c>
      <c r="P171" s="3" t="str">
        <f>IFERROR(MID(VLOOKUP($B171,Seqs!$A:$B,2,0),Q171,1),"")</f>
        <v>E</v>
      </c>
      <c r="Q171" s="3">
        <v>99</v>
      </c>
      <c r="R171" s="3" t="str">
        <f>IFERROR(MID(VLOOKUP($B171,Seqs!$A:$B,2,0),S171,1),"")</f>
        <v>F</v>
      </c>
      <c r="S171" s="3">
        <v>102</v>
      </c>
      <c r="T171" s="3" t="str">
        <f>IFERROR(MID(VLOOKUP($B171,Seqs!$A:$B,2,0),U171,1),"")</f>
        <v>S</v>
      </c>
      <c r="U171" s="3">
        <v>103</v>
      </c>
      <c r="V171" s="3" t="str">
        <f>IFERROR(MID(VLOOKUP($B171,Seqs!$A:$B,2,0),W171,1),"")</f>
        <v>M</v>
      </c>
      <c r="W171" s="3">
        <v>138</v>
      </c>
      <c r="X171" s="3" t="str">
        <f>IFERROR(MID(VLOOKUP($B171,Seqs!$A:$B,2,0),Y171,1),"")</f>
        <v>P</v>
      </c>
      <c r="Y171" s="3">
        <v>139</v>
      </c>
      <c r="Z171" s="3" t="str">
        <f>IFERROR(MID(VLOOKUP($B171,Seqs!$A:$B,2,0),AA171,1),"")</f>
        <v>S</v>
      </c>
      <c r="AA171" s="3">
        <v>147</v>
      </c>
      <c r="AB171" s="3" t="str">
        <f>IFERROR(MID(VLOOKUP($B171,Seqs!$A:$B,2,0),AC171,1),"")</f>
        <v>S</v>
      </c>
      <c r="AC171" s="3">
        <v>148</v>
      </c>
      <c r="AD171" s="3" t="str">
        <f>IFERROR(MID(VLOOKUP($B171,Seqs!$A:$B,2,0),AE171,1),"")</f>
        <v>F</v>
      </c>
      <c r="AE171" s="3">
        <v>172</v>
      </c>
      <c r="AF171" s="3" t="str">
        <f>IFERROR(MID(VLOOKUP($B171,Seqs!$A:$B,2,0),AG171,1),"")</f>
        <v>C</v>
      </c>
      <c r="AG171" s="3">
        <v>182</v>
      </c>
      <c r="AH171" s="3" t="str">
        <f>IFERROR(MID(VLOOKUP($B171,Seqs!$A:$B,2,0),AI171,1),"")</f>
        <v>I</v>
      </c>
      <c r="AI171" s="3">
        <v>184</v>
      </c>
      <c r="AJ171" s="3" t="str">
        <f>IFERROR(MID(VLOOKUP($B171,Seqs!$A:$B,2,0),AK171,1),"")</f>
        <v>N</v>
      </c>
      <c r="AK171" s="3">
        <v>186</v>
      </c>
      <c r="AL171" s="3" t="str">
        <f>IFERROR(MID(VLOOKUP($B171,Seqs!$A:$B,2,0),AM171,1),"")</f>
        <v>K</v>
      </c>
      <c r="AM171" s="3">
        <v>226</v>
      </c>
      <c r="AN171" s="3" t="str">
        <f>IFERROR(MID(VLOOKUP($B171,Seqs!$A:$B,2,0),AO171,1),"")</f>
        <v>K</v>
      </c>
      <c r="AO171" s="3">
        <v>362</v>
      </c>
      <c r="AP171" s="3" t="str">
        <f>IFERROR(MID(VLOOKUP($B171,Seqs!$A:$B,2,0),AQ171,1),"")</f>
        <v>C</v>
      </c>
      <c r="AQ171" s="3">
        <v>399</v>
      </c>
      <c r="AR171" s="3" t="str">
        <f>IFERROR(MID(VLOOKUP($B171,Seqs!$A:$B,2,0),AS171,1),"")</f>
        <v>P</v>
      </c>
      <c r="AS171" s="3">
        <v>404</v>
      </c>
      <c r="AT171" s="3" t="str">
        <f>IFERROR(MID(VLOOKUP($B171,Seqs!$A:$B,2,0),AU171,1),"")</f>
        <v>F</v>
      </c>
      <c r="AU171" s="3">
        <v>429</v>
      </c>
      <c r="AV171" s="3" t="str">
        <f>IFERROR(MID(VLOOKUP($B171,Seqs!$A:$B,2,0),AW171,1),"")</f>
        <v>N</v>
      </c>
      <c r="AW171" s="3">
        <v>430</v>
      </c>
      <c r="AX171" s="3" t="str">
        <f>IFERROR(MID(VLOOKUP($B171,Seqs!$A:$B,2,0),AY171,1),"")</f>
        <v>H</v>
      </c>
      <c r="AY171" s="3">
        <v>442</v>
      </c>
      <c r="AZ171" s="77" t="str">
        <f>VLOOKUP(B171,Classification!A:D,2,0)</f>
        <v>A</v>
      </c>
      <c r="BA171" s="94" t="str">
        <f>VLOOKUP(B171,Classification!A:D,4,0)</f>
        <v>Dopamine</v>
      </c>
      <c r="BB171" s="27" t="b">
        <f>AND(E171&lt;G171,OR(G171&lt;I171,I171="-"),OR(I171&lt;K171,I171="-"),OR(K171&lt;M171,K171="-"),M171&lt;O171,OR(O171&lt;Q171,Q171="-"),OR(Q171&lt;S171,Q171="-"),OR(S171&lt;U171,S171="-"),U171&lt;W171,OR(W171&lt;Y171,Y171="-"),OR(Y171&lt;AA171,Y171="-"),OR(AA171&lt;AC171,AA171="-"),AC171&lt;AE171,OR(AE171&lt;AG171,AG171="-"),OR(AG171&lt;AI171,AG171="-"),OR(AI171&lt;AK171,AI171="-"),AK171&lt;AM171,AM171&lt;AO171,AO171&lt;AQ171,AQ171&lt;AS171,AS171&lt;AU171,OR(AU171&lt;AW171,AW171="-"),OR(AW171&lt;AY171,AW171="-"))</f>
        <v>1</v>
      </c>
      <c r="BC171" s="23">
        <f>_xlfn.AGGREGATE(9,6,CH171:CS171)-_xlfn.AGGREGATE(9,6,BV171:CG171)+12</f>
        <v>263</v>
      </c>
      <c r="BD171" s="56" t="s">
        <v>23</v>
      </c>
      <c r="BE171" s="3" t="s">
        <v>23</v>
      </c>
      <c r="BF171" s="119" t="s">
        <v>23</v>
      </c>
      <c r="BG171" s="49" t="s">
        <v>1373</v>
      </c>
      <c r="BH171" s="49" t="s">
        <v>1378</v>
      </c>
      <c r="BI171" s="1"/>
      <c r="BJ171" s="70" t="s">
        <v>1288</v>
      </c>
      <c r="BK171" s="57" t="s">
        <v>1288</v>
      </c>
      <c r="BL171" s="57" t="s">
        <v>1288</v>
      </c>
      <c r="BM171" s="57" t="s">
        <v>1288</v>
      </c>
      <c r="BN171" s="57" t="s">
        <v>1288</v>
      </c>
      <c r="BO171" s="57" t="s">
        <v>1288</v>
      </c>
      <c r="BP171" s="57" t="s">
        <v>1288</v>
      </c>
      <c r="BQ171" s="57" t="s">
        <v>1288</v>
      </c>
      <c r="BR171" s="57" t="s">
        <v>1288</v>
      </c>
      <c r="BS171" s="57" t="s">
        <v>1288</v>
      </c>
      <c r="BT171" s="57" t="s">
        <v>1288</v>
      </c>
      <c r="BU171" s="57" t="s">
        <v>1288</v>
      </c>
      <c r="BV171" s="70">
        <f>E171</f>
        <v>31</v>
      </c>
      <c r="BW171" s="71">
        <f>I171</f>
        <v>63</v>
      </c>
      <c r="BX171" s="72">
        <f>M171</f>
        <v>67</v>
      </c>
      <c r="BY171" s="71">
        <f>Q171</f>
        <v>99</v>
      </c>
      <c r="BZ171" s="72">
        <f>U171</f>
        <v>103</v>
      </c>
      <c r="CA171" s="71">
        <f>Y171</f>
        <v>139</v>
      </c>
      <c r="CB171" s="72">
        <f>AC171</f>
        <v>148</v>
      </c>
      <c r="CC171" s="71">
        <f>AG171</f>
        <v>182</v>
      </c>
      <c r="CD171" s="72">
        <f>AK171</f>
        <v>186</v>
      </c>
      <c r="CE171" s="71">
        <f>AO171</f>
        <v>362</v>
      </c>
      <c r="CF171" s="72">
        <f>AS171</f>
        <v>404</v>
      </c>
      <c r="CG171" s="71">
        <f>AW171</f>
        <v>430</v>
      </c>
      <c r="CH171" s="70">
        <f>G171</f>
        <v>62</v>
      </c>
      <c r="CI171" s="71">
        <f>K171</f>
        <v>66</v>
      </c>
      <c r="CJ171" s="72">
        <f>O171</f>
        <v>98</v>
      </c>
      <c r="CK171" s="72">
        <f>S171</f>
        <v>102</v>
      </c>
      <c r="CL171" s="72">
        <f>W171</f>
        <v>138</v>
      </c>
      <c r="CM171" s="72">
        <f>AA171</f>
        <v>147</v>
      </c>
      <c r="CN171" s="72">
        <f>AE171</f>
        <v>172</v>
      </c>
      <c r="CO171" s="72">
        <f>AI171</f>
        <v>184</v>
      </c>
      <c r="CP171" s="72">
        <f>AM171</f>
        <v>226</v>
      </c>
      <c r="CQ171" s="72">
        <f>AQ171</f>
        <v>399</v>
      </c>
      <c r="CR171" s="72">
        <f>AU171</f>
        <v>429</v>
      </c>
      <c r="CS171" s="72">
        <f>AY171</f>
        <v>442</v>
      </c>
      <c r="CT171" s="23">
        <f>M171-K171</f>
        <v>1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29" x14ac:dyDescent="0.2">
      <c r="A172" s="3" t="str">
        <f>CONCATENATE(B172,"_",C172)</f>
        <v>drd2_human_6CM4</v>
      </c>
      <c r="B172" s="3" t="s">
        <v>191</v>
      </c>
      <c r="C172" s="3" t="s">
        <v>1477</v>
      </c>
      <c r="D172" s="3" t="str">
        <f>IFERROR(MID(VLOOKUP($B172,Seqs!$A:$B,2,0),E172,1),"")</f>
        <v>N</v>
      </c>
      <c r="E172" s="3">
        <v>35</v>
      </c>
      <c r="F172" s="3" t="str">
        <f>IFERROR(MID(VLOOKUP($B172,Seqs!$A:$B,2,0),G172,1),"")</f>
        <v>E</v>
      </c>
      <c r="G172" s="3">
        <v>62</v>
      </c>
      <c r="H172" s="3" t="str">
        <f>IFERROR(MID(VLOOKUP($B172,Seqs!$A:$B,2,0),I172,1),"")</f>
        <v>K</v>
      </c>
      <c r="I172" s="23">
        <v>63</v>
      </c>
      <c r="J172" s="3" t="str">
        <f>IFERROR(MID(VLOOKUP($B172,Seqs!$A:$B,2,0),K172,1),"")</f>
        <v>Q</v>
      </c>
      <c r="K172" s="23">
        <v>66</v>
      </c>
      <c r="L172" s="3" t="str">
        <f>IFERROR(MID(VLOOKUP($B172,Seqs!$A:$B,2,0),M172,1),"")</f>
        <v>T</v>
      </c>
      <c r="M172" s="3">
        <v>67</v>
      </c>
      <c r="N172" s="3" t="str">
        <f>IFERROR(MID(VLOOKUP($B172,Seqs!$A:$B,2,0),O172,1),"")</f>
        <v>G</v>
      </c>
      <c r="O172" s="3">
        <v>98</v>
      </c>
      <c r="P172" s="3" t="str">
        <f>IFERROR(MID(VLOOKUP($B172,Seqs!$A:$B,2,0),Q172,1),"")</f>
        <v>E</v>
      </c>
      <c r="Q172" s="3">
        <v>99</v>
      </c>
      <c r="R172" s="3" t="str">
        <f>IFERROR(MID(VLOOKUP($B172,Seqs!$A:$B,2,0),S172,1),"")</f>
        <v>F</v>
      </c>
      <c r="S172" s="3">
        <v>102</v>
      </c>
      <c r="T172" s="3" t="str">
        <f>IFERROR(MID(VLOOKUP($B172,Seqs!$A:$B,2,0),U172,1),"")</f>
        <v>S</v>
      </c>
      <c r="U172" s="3">
        <v>103</v>
      </c>
      <c r="V172" s="3" t="str">
        <f>IFERROR(MID(VLOOKUP($B172,Seqs!$A:$B,2,0),W172,1),"")</f>
        <v>M</v>
      </c>
      <c r="W172" s="3">
        <v>138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Y</v>
      </c>
      <c r="AC172" s="3">
        <v>146</v>
      </c>
      <c r="AD172" s="3" t="str">
        <f>IFERROR(MID(VLOOKUP($B172,Seqs!$A:$B,2,0),AE172,1),"")</f>
        <v>F</v>
      </c>
      <c r="AE172" s="3">
        <v>172</v>
      </c>
      <c r="AF172" s="3" t="str">
        <f>IFERROR(MID(VLOOKUP($B172,Seqs!$A:$B,2,0),AG172,1),"")</f>
        <v>C</v>
      </c>
      <c r="AG172" s="3">
        <v>182</v>
      </c>
      <c r="AH172" s="3" t="str">
        <f>IFERROR(MID(VLOOKUP($B172,Seqs!$A:$B,2,0),AI172,1),"")</f>
        <v>I</v>
      </c>
      <c r="AI172" s="3">
        <v>184</v>
      </c>
      <c r="AJ172" s="3" t="str">
        <f>IFERROR(MID(VLOOKUP($B172,Seqs!$A:$B,2,0),AK172,1),"")</f>
        <v>A</v>
      </c>
      <c r="AK172" s="3">
        <v>188</v>
      </c>
      <c r="AL172" s="3" t="str">
        <f>IFERROR(MID(VLOOKUP($B172,Seqs!$A:$B,2,0),AM172,1),"")</f>
        <v>R</v>
      </c>
      <c r="AM172" s="3">
        <v>222</v>
      </c>
      <c r="AN172" s="3" t="str">
        <f>IFERROR(MID(VLOOKUP($B172,Seqs!$A:$B,2,0),AO172,1),"")</f>
        <v>E</v>
      </c>
      <c r="AO172" s="3">
        <v>368</v>
      </c>
      <c r="AP172" s="3" t="str">
        <f>IFERROR(MID(VLOOKUP($B172,Seqs!$A:$B,2,0),AQ172,1),"")</f>
        <v>C</v>
      </c>
      <c r="AQ172" s="3">
        <v>399</v>
      </c>
      <c r="AR172" s="3" t="str">
        <f>IFERROR(MID(VLOOKUP($B172,Seqs!$A:$B,2,0),AS172,1),"")</f>
        <v>P</v>
      </c>
      <c r="AS172" s="3">
        <v>404</v>
      </c>
      <c r="AT172" s="3" t="str">
        <f>IFERROR(MID(VLOOKUP($B172,Seqs!$A:$B,2,0),AU172,1),"")</f>
        <v>F</v>
      </c>
      <c r="AU172" s="3">
        <v>429</v>
      </c>
      <c r="AV172" s="3" t="str">
        <f>IFERROR(MID(VLOOKUP($B172,Seqs!$A:$B,2,0),AW172,1),"")</f>
        <v>N</v>
      </c>
      <c r="AW172" s="3">
        <v>430</v>
      </c>
      <c r="AX172" s="3" t="str">
        <f>IFERROR(MID(VLOOKUP($B172,Seqs!$A:$B,2,0),AY172,1),"")</f>
        <v>H</v>
      </c>
      <c r="AY172" s="3">
        <v>442</v>
      </c>
      <c r="AZ172" s="77" t="str">
        <f>VLOOKUP(B172,Classification!A:D,2,0)</f>
        <v>A</v>
      </c>
      <c r="BA172" s="94" t="str">
        <f>VLOOKUP(B172,Classification!A:D,4,0)</f>
        <v>Dopamine</v>
      </c>
      <c r="BB172" s="27" t="b">
        <f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23">
        <f>_xlfn.AGGREGATE(9,6,CH172:CS172)-_xlfn.AGGREGATE(9,6,BV172:CG172)+12</f>
        <v>241</v>
      </c>
      <c r="BD172" s="56" t="s">
        <v>1377</v>
      </c>
      <c r="BE172" s="3" t="s">
        <v>1375</v>
      </c>
      <c r="BF172" s="119">
        <v>2.87</v>
      </c>
      <c r="BG172" s="49" t="s">
        <v>1</v>
      </c>
      <c r="BH172" s="49" t="s">
        <v>1</v>
      </c>
      <c r="BI172" s="1"/>
      <c r="BJ172" s="70" t="s">
        <v>1288</v>
      </c>
      <c r="BK172" s="57" t="s">
        <v>1288</v>
      </c>
      <c r="BL172" s="57" t="s">
        <v>1288</v>
      </c>
      <c r="BM172" s="57" t="s">
        <v>1288</v>
      </c>
      <c r="BN172" s="57" t="s">
        <v>1288</v>
      </c>
      <c r="BO172" s="57" t="s">
        <v>1288</v>
      </c>
      <c r="BP172" s="57" t="s">
        <v>1288</v>
      </c>
      <c r="BQ172" s="57" t="s">
        <v>1288</v>
      </c>
      <c r="BR172" s="57" t="s">
        <v>1288</v>
      </c>
      <c r="BS172" s="57" t="s">
        <v>1288</v>
      </c>
      <c r="BT172" s="57" t="s">
        <v>1288</v>
      </c>
      <c r="BU172" s="57" t="s">
        <v>1288</v>
      </c>
      <c r="BV172" s="70">
        <f>E172</f>
        <v>35</v>
      </c>
      <c r="BW172" s="71">
        <f>I172</f>
        <v>63</v>
      </c>
      <c r="BX172" s="72">
        <f>M172</f>
        <v>67</v>
      </c>
      <c r="BY172" s="71">
        <f>Q172</f>
        <v>99</v>
      </c>
      <c r="BZ172" s="72">
        <f>U172</f>
        <v>103</v>
      </c>
      <c r="CA172" s="71" t="str">
        <f>Y172</f>
        <v>-</v>
      </c>
      <c r="CB172" s="72">
        <f>AC172</f>
        <v>146</v>
      </c>
      <c r="CC172" s="71">
        <f>AG172</f>
        <v>182</v>
      </c>
      <c r="CD172" s="72">
        <f>AK172</f>
        <v>188</v>
      </c>
      <c r="CE172" s="71">
        <f>AO172</f>
        <v>368</v>
      </c>
      <c r="CF172" s="72">
        <f>AS172</f>
        <v>404</v>
      </c>
      <c r="CG172" s="71">
        <f>AW172</f>
        <v>430</v>
      </c>
      <c r="CH172" s="70">
        <f>G172</f>
        <v>62</v>
      </c>
      <c r="CI172" s="71">
        <f>K172</f>
        <v>66</v>
      </c>
      <c r="CJ172" s="72">
        <f>O172</f>
        <v>98</v>
      </c>
      <c r="CK172" s="72">
        <f>S172</f>
        <v>102</v>
      </c>
      <c r="CL172" s="72">
        <f>W172</f>
        <v>138</v>
      </c>
      <c r="CM172" s="72" t="str">
        <f>AA172</f>
        <v>-</v>
      </c>
      <c r="CN172" s="72">
        <f>AE172</f>
        <v>172</v>
      </c>
      <c r="CO172" s="72">
        <f>AI172</f>
        <v>184</v>
      </c>
      <c r="CP172" s="72">
        <f>AM172</f>
        <v>222</v>
      </c>
      <c r="CQ172" s="72">
        <f>AQ172</f>
        <v>399</v>
      </c>
      <c r="CR172" s="72">
        <f>AU172</f>
        <v>429</v>
      </c>
      <c r="CS172" s="72">
        <f>AY172</f>
        <v>442</v>
      </c>
      <c r="CT172" s="23">
        <f>M172-K172</f>
        <v>1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29" x14ac:dyDescent="0.2">
      <c r="A173" s="3" t="str">
        <f t="shared" si="811"/>
        <v>drd3_human__wt</v>
      </c>
      <c r="B173" s="3" t="s">
        <v>192</v>
      </c>
      <c r="C173" s="3" t="s">
        <v>100</v>
      </c>
      <c r="D173" s="3" t="str">
        <f>IFERROR(MID(VLOOKUP($B173,Seqs!$A:$B,2,0),E173,1),"")</f>
        <v>A</v>
      </c>
      <c r="E173" s="3">
        <v>26</v>
      </c>
      <c r="F173" s="3" t="str">
        <f>IFERROR(MID(VLOOKUP($B173,Seqs!$A:$B,2,0),G173,1),"")</f>
        <v>E</v>
      </c>
      <c r="G173" s="3">
        <v>57</v>
      </c>
      <c r="H173" s="3" t="str">
        <f>IFERROR(MID(VLOOKUP($B173,Seqs!$A:$B,2,0),I173,1),"")</f>
        <v>R</v>
      </c>
      <c r="I173" s="23">
        <v>58</v>
      </c>
      <c r="J173" s="3" t="str">
        <f>IFERROR(MID(VLOOKUP($B173,Seqs!$A:$B,2,0),K173,1),"")</f>
        <v>Q</v>
      </c>
      <c r="K173" s="23">
        <v>61</v>
      </c>
      <c r="L173" s="3" t="str">
        <f>IFERROR(MID(VLOOKUP($B173,Seqs!$A:$B,2,0),M173,1),"")</f>
        <v>T</v>
      </c>
      <c r="M173" s="3">
        <v>62</v>
      </c>
      <c r="N173" s="3" t="str">
        <f>IFERROR(MID(VLOOKUP($B173,Seqs!$A:$B,2,0),O173,1),"")</f>
        <v>T</v>
      </c>
      <c r="O173" s="3">
        <v>92</v>
      </c>
      <c r="P173" s="3" t="str">
        <f>IFERROR(MID(VLOOKUP($B173,Seqs!$A:$B,2,0),Q173,1),"")</f>
        <v>V</v>
      </c>
      <c r="Q173" s="3">
        <v>95</v>
      </c>
      <c r="R173" s="3" t="str">
        <f>IFERROR(MID(VLOOKUP($B173,Seqs!$A:$B,2,0),S173,1),"")</f>
        <v>F</v>
      </c>
      <c r="S173" s="3">
        <v>98</v>
      </c>
      <c r="T173" s="3" t="str">
        <f>IFERROR(MID(VLOOKUP($B173,Seqs!$A:$B,2,0),U173,1),"")</f>
        <v>S</v>
      </c>
      <c r="U173" s="3">
        <v>99</v>
      </c>
      <c r="V173" s="3" t="str">
        <f>IFERROR(MID(VLOOKUP($B173,Seqs!$A:$B,2,0),W173,1),"")</f>
        <v>M</v>
      </c>
      <c r="W173" s="3">
        <v>134</v>
      </c>
      <c r="X173" s="3" t="str">
        <f>IFERROR(MID(VLOOKUP($B173,Seqs!$A:$B,2,0),Y173,1),"")</f>
        <v>P</v>
      </c>
      <c r="Y173" s="3">
        <v>135</v>
      </c>
      <c r="Z173" s="3" t="str">
        <f>IFERROR(MID(VLOOKUP($B173,Seqs!$A:$B,2,0),AA173,1),"")</f>
        <v>G</v>
      </c>
      <c r="AA173" s="3">
        <v>143</v>
      </c>
      <c r="AB173" s="3" t="str">
        <f>IFERROR(MID(VLOOKUP($B173,Seqs!$A:$B,2,0),AC173,1),"")</f>
        <v>S</v>
      </c>
      <c r="AC173" s="3">
        <v>146</v>
      </c>
      <c r="AD173" s="3" t="str">
        <f>IFERROR(MID(VLOOKUP($B173,Seqs!$A:$B,2,0),AE173,1),"")</f>
        <v>G</v>
      </c>
      <c r="AE173" s="3">
        <v>171</v>
      </c>
      <c r="AF173" s="3" t="str">
        <f>IFERROR(MID(VLOOKUP($B173,Seqs!$A:$B,2,0),AG173,1),"")</f>
        <v>C</v>
      </c>
      <c r="AG173" s="3">
        <v>181</v>
      </c>
      <c r="AH173" s="3" t="str">
        <f>IFERROR(MID(VLOOKUP($B173,Seqs!$A:$B,2,0),AI173,1),"")</f>
        <v>I</v>
      </c>
      <c r="AI173" s="3">
        <v>183</v>
      </c>
      <c r="AJ173" s="3" t="str">
        <f>IFERROR(MID(VLOOKUP($B173,Seqs!$A:$B,2,0),AK173,1),"")</f>
        <v>N</v>
      </c>
      <c r="AK173" s="3">
        <v>185</v>
      </c>
      <c r="AL173" s="3" t="str">
        <f>IFERROR(MID(VLOOKUP($B173,Seqs!$A:$B,2,0),AM173,1),"")</f>
        <v>R</v>
      </c>
      <c r="AM173" s="3">
        <v>226</v>
      </c>
      <c r="AN173" s="3" t="str">
        <f>IFERROR(MID(VLOOKUP($B173,Seqs!$A:$B,2,0),AO173,1),"")</f>
        <v>R</v>
      </c>
      <c r="AO173" s="3">
        <v>318</v>
      </c>
      <c r="AP173" s="3" t="str">
        <f>IFERROR(MID(VLOOKUP($B173,Seqs!$A:$B,2,0),AQ173,1),"")</f>
        <v>H</v>
      </c>
      <c r="AQ173" s="3">
        <v>354</v>
      </c>
      <c r="AR173" s="3" t="str">
        <f>IFERROR(MID(VLOOKUP($B173,Seqs!$A:$B,2,0),AS173,1),"")</f>
        <v>S</v>
      </c>
      <c r="AS173" s="3">
        <v>361</v>
      </c>
      <c r="AT173" s="3" t="str">
        <f>IFERROR(MID(VLOOKUP($B173,Seqs!$A:$B,2,0),AU173,1),"")</f>
        <v>F</v>
      </c>
      <c r="AU173" s="3">
        <v>386</v>
      </c>
      <c r="AV173" s="3" t="str">
        <f>IFERROR(MID(VLOOKUP($B173,Seqs!$A:$B,2,0),AW173,1),"")</f>
        <v>N</v>
      </c>
      <c r="AW173" s="3">
        <v>387</v>
      </c>
      <c r="AX173" s="3" t="str">
        <f>IFERROR(MID(VLOOKUP($B173,Seqs!$A:$B,2,0),AY173,1),"")</f>
        <v>S</v>
      </c>
      <c r="AY173" s="3">
        <v>399</v>
      </c>
      <c r="AZ173" s="77" t="str">
        <f>VLOOKUP(B173,Classification!A:D,2,0)</f>
        <v>A</v>
      </c>
      <c r="BA173" s="94" t="str">
        <f>VLOOKUP(B173,Classification!A:D,4,0)</f>
        <v>Dopamine</v>
      </c>
      <c r="BB173" s="27" t="b">
        <f t="shared" si="812"/>
        <v>1</v>
      </c>
      <c r="BC173" s="23">
        <f t="shared" si="953"/>
        <v>263</v>
      </c>
      <c r="BD173" s="56" t="s">
        <v>23</v>
      </c>
      <c r="BE173" s="3" t="s">
        <v>23</v>
      </c>
      <c r="BF173" s="119" t="s">
        <v>23</v>
      </c>
      <c r="BG173" s="49" t="s">
        <v>1373</v>
      </c>
      <c r="BH173" s="49" t="s">
        <v>1378</v>
      </c>
      <c r="BI173" s="1"/>
      <c r="BJ173" s="70" t="s">
        <v>1288</v>
      </c>
      <c r="BK173" s="57" t="s">
        <v>1288</v>
      </c>
      <c r="BL173" s="57" t="s">
        <v>1288</v>
      </c>
      <c r="BM173" s="57" t="s">
        <v>1288</v>
      </c>
      <c r="BN173" s="57" t="s">
        <v>1288</v>
      </c>
      <c r="BO173" s="57" t="s">
        <v>1288</v>
      </c>
      <c r="BP173" s="57" t="s">
        <v>1288</v>
      </c>
      <c r="BQ173" s="57" t="s">
        <v>1288</v>
      </c>
      <c r="BR173" s="57" t="s">
        <v>1288</v>
      </c>
      <c r="BS173" s="57" t="s">
        <v>1288</v>
      </c>
      <c r="BT173" s="57" t="s">
        <v>1288</v>
      </c>
      <c r="BU173" s="57" t="s">
        <v>1288</v>
      </c>
      <c r="BV173" s="70">
        <f t="shared" si="954"/>
        <v>26</v>
      </c>
      <c r="BW173" s="71">
        <f t="shared" si="955"/>
        <v>58</v>
      </c>
      <c r="BX173" s="72">
        <f t="shared" si="956"/>
        <v>62</v>
      </c>
      <c r="BY173" s="71">
        <f t="shared" si="957"/>
        <v>95</v>
      </c>
      <c r="BZ173" s="72">
        <f t="shared" si="958"/>
        <v>99</v>
      </c>
      <c r="CA173" s="71">
        <f t="shared" si="959"/>
        <v>135</v>
      </c>
      <c r="CB173" s="72">
        <f t="shared" si="960"/>
        <v>146</v>
      </c>
      <c r="CC173" s="71">
        <f t="shared" si="961"/>
        <v>181</v>
      </c>
      <c r="CD173" s="72">
        <f t="shared" si="962"/>
        <v>185</v>
      </c>
      <c r="CE173" s="71">
        <f t="shared" si="963"/>
        <v>318</v>
      </c>
      <c r="CF173" s="72">
        <f t="shared" si="964"/>
        <v>361</v>
      </c>
      <c r="CG173" s="71">
        <f t="shared" si="965"/>
        <v>387</v>
      </c>
      <c r="CH173" s="70">
        <f t="shared" si="966"/>
        <v>57</v>
      </c>
      <c r="CI173" s="71">
        <f t="shared" si="967"/>
        <v>61</v>
      </c>
      <c r="CJ173" s="72">
        <f t="shared" si="968"/>
        <v>92</v>
      </c>
      <c r="CK173" s="72">
        <f t="shared" si="969"/>
        <v>98</v>
      </c>
      <c r="CL173" s="72">
        <f t="shared" si="970"/>
        <v>134</v>
      </c>
      <c r="CM173" s="72">
        <f t="shared" si="971"/>
        <v>143</v>
      </c>
      <c r="CN173" s="72">
        <f t="shared" si="972"/>
        <v>171</v>
      </c>
      <c r="CO173" s="72">
        <f t="shared" si="973"/>
        <v>183</v>
      </c>
      <c r="CP173" s="72">
        <f t="shared" si="974"/>
        <v>226</v>
      </c>
      <c r="CQ173" s="72">
        <f t="shared" si="975"/>
        <v>354</v>
      </c>
      <c r="CR173" s="72">
        <f t="shared" si="976"/>
        <v>386</v>
      </c>
      <c r="CS173" s="72">
        <f t="shared" si="977"/>
        <v>399</v>
      </c>
      <c r="CT173" s="23">
        <f t="shared" si="978"/>
        <v>1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29" x14ac:dyDescent="0.2">
      <c r="A174" s="3" t="str">
        <f t="shared" si="811"/>
        <v>drd3_human_3PBL</v>
      </c>
      <c r="B174" s="3" t="s">
        <v>192</v>
      </c>
      <c r="C174" s="3" t="s">
        <v>72</v>
      </c>
      <c r="D174" s="3" t="str">
        <f>IFERROR(MID(VLOOKUP($B174,Seqs!$A:$B,2,0),E174,1),"")</f>
        <v>Y</v>
      </c>
      <c r="E174" s="3">
        <v>32</v>
      </c>
      <c r="F174" s="3" t="str">
        <f>IFERROR(MID(VLOOKUP($B174,Seqs!$A:$B,2,0),G174,1),"")</f>
        <v>E</v>
      </c>
      <c r="G174" s="3">
        <v>57</v>
      </c>
      <c r="H174" s="3" t="str">
        <f>IFERROR(MID(VLOOKUP($B174,Seqs!$A:$B,2,0),I174,1),"")</f>
        <v>R</v>
      </c>
      <c r="I174" s="23">
        <v>58</v>
      </c>
      <c r="J174" s="3" t="str">
        <f>IFERROR(MID(VLOOKUP($B174,Seqs!$A:$B,2,0),K174,1),"")</f>
        <v>Q</v>
      </c>
      <c r="K174" s="23">
        <v>61</v>
      </c>
      <c r="L174" s="3" t="str">
        <f>IFERROR(MID(VLOOKUP($B174,Seqs!$A:$B,2,0),M174,1),"")</f>
        <v>T</v>
      </c>
      <c r="M174" s="3">
        <v>62</v>
      </c>
      <c r="N174" s="3" t="str">
        <f>IFERROR(MID(VLOOKUP($B174,Seqs!$A:$B,2,0),O174,1),"")</f>
        <v>T</v>
      </c>
      <c r="O174" s="3">
        <v>92</v>
      </c>
      <c r="P174" s="3" t="str">
        <f>IFERROR(MID(VLOOKUP($B174,Seqs!$A:$B,2,0),Q174,1),"")</f>
        <v>V</v>
      </c>
      <c r="Q174" s="3">
        <v>95</v>
      </c>
      <c r="R174" s="3" t="str">
        <f>IFERROR(MID(VLOOKUP($B174,Seqs!$A:$B,2,0),S174,1),"")</f>
        <v>F</v>
      </c>
      <c r="S174" s="3">
        <v>98</v>
      </c>
      <c r="T174" s="3" t="str">
        <f>IFERROR(MID(VLOOKUP($B174,Seqs!$A:$B,2,0),U174,1),"")</f>
        <v>S</v>
      </c>
      <c r="U174" s="3">
        <v>99</v>
      </c>
      <c r="V174" s="3" t="str">
        <f>IFERROR(MID(VLOOKUP($B174,Seqs!$A:$B,2,0),W174,1),"")</f>
        <v>M</v>
      </c>
      <c r="W174" s="3">
        <v>134</v>
      </c>
      <c r="X174" s="3" t="str">
        <f>IFERROR(MID(VLOOKUP($B174,Seqs!$A:$B,2,0),Y174,1),"")</f>
        <v>P</v>
      </c>
      <c r="Y174" s="3">
        <v>135</v>
      </c>
      <c r="Z174" s="3" t="str">
        <f>IFERROR(MID(VLOOKUP($B174,Seqs!$A:$B,2,0),AA174,1),"")</f>
        <v>G</v>
      </c>
      <c r="AA174" s="3">
        <v>143</v>
      </c>
      <c r="AB174" s="3" t="str">
        <f>IFERROR(MID(VLOOKUP($B174,Seqs!$A:$B,2,0),AC174,1),"")</f>
        <v>S</v>
      </c>
      <c r="AC174" s="3">
        <v>146</v>
      </c>
      <c r="AD174" s="3" t="str">
        <f>IFERROR(MID(VLOOKUP($B174,Seqs!$A:$B,2,0),AE174,1),"")</f>
        <v>G</v>
      </c>
      <c r="AE174" s="3">
        <v>171</v>
      </c>
      <c r="AF174" s="3" t="str">
        <f>IFERROR(MID(VLOOKUP($B174,Seqs!$A:$B,2,0),AG174,1),"")</f>
        <v>C</v>
      </c>
      <c r="AG174" s="3">
        <v>181</v>
      </c>
      <c r="AH174" s="3" t="str">
        <f>IFERROR(MID(VLOOKUP($B174,Seqs!$A:$B,2,0),AI174,1),"")</f>
        <v>I</v>
      </c>
      <c r="AI174" s="3">
        <v>183</v>
      </c>
      <c r="AJ174" s="3" t="str">
        <f>IFERROR(MID(VLOOKUP($B174,Seqs!$A:$B,2,0),AK174,1),"")</f>
        <v>N</v>
      </c>
      <c r="AK174" s="3">
        <v>185</v>
      </c>
      <c r="AL174" s="3" t="str">
        <f>IFERROR(MID(VLOOKUP($B174,Seqs!$A:$B,2,0),AM174,1),"")</f>
        <v>K</v>
      </c>
      <c r="AM174" s="3">
        <v>216</v>
      </c>
      <c r="AN174" s="3" t="str">
        <f>IFERROR(MID(VLOOKUP($B174,Seqs!$A:$B,2,0),AO174,1),"")</f>
        <v>R</v>
      </c>
      <c r="AO174" s="3">
        <v>323</v>
      </c>
      <c r="AP174" s="3" t="str">
        <f>IFERROR(MID(VLOOKUP($B174,Seqs!$A:$B,2,0),AQ174,1),"")</f>
        <v>H</v>
      </c>
      <c r="AQ174" s="3">
        <v>354</v>
      </c>
      <c r="AR174" s="3" t="str">
        <f>IFERROR(MID(VLOOKUP($B174,Seqs!$A:$B,2,0),AS174,1),"")</f>
        <v>S</v>
      </c>
      <c r="AS174" s="3">
        <v>361</v>
      </c>
      <c r="AT174" s="3" t="str">
        <f>IFERROR(MID(VLOOKUP($B174,Seqs!$A:$B,2,0),AU174,1),"")</f>
        <v>F</v>
      </c>
      <c r="AU174" s="3">
        <v>386</v>
      </c>
      <c r="AV174" s="3" t="str">
        <f>IFERROR(MID(VLOOKUP($B174,Seqs!$A:$B,2,0),AW174,1),"")</f>
        <v>N</v>
      </c>
      <c r="AW174" s="3">
        <v>387</v>
      </c>
      <c r="AX174" s="3" t="str">
        <f>IFERROR(MID(VLOOKUP($B174,Seqs!$A:$B,2,0),AY174,1),"")</f>
        <v>S</v>
      </c>
      <c r="AY174" s="3">
        <v>399</v>
      </c>
      <c r="AZ174" s="77" t="str">
        <f>VLOOKUP(B174,Classification!A:D,2,0)</f>
        <v>A</v>
      </c>
      <c r="BA174" s="94" t="str">
        <f>VLOOKUP(B174,Classification!A:D,4,0)</f>
        <v>Dopamine</v>
      </c>
      <c r="BB174" s="27" t="b">
        <f t="shared" si="812"/>
        <v>1</v>
      </c>
      <c r="BC174" s="23">
        <f t="shared" si="953"/>
        <v>242</v>
      </c>
      <c r="BD174" s="2" t="s">
        <v>1377</v>
      </c>
      <c r="BE174" s="3" t="s">
        <v>1375</v>
      </c>
      <c r="BF174" s="119">
        <v>2.89</v>
      </c>
      <c r="BG174" s="49" t="s">
        <v>1378</v>
      </c>
      <c r="BH174" s="49" t="s">
        <v>1378</v>
      </c>
      <c r="BI174" s="1"/>
      <c r="BJ174" s="70" t="s">
        <v>1288</v>
      </c>
      <c r="BK174" s="57" t="s">
        <v>1288</v>
      </c>
      <c r="BL174" s="57" t="s">
        <v>1288</v>
      </c>
      <c r="BM174" s="57" t="s">
        <v>1288</v>
      </c>
      <c r="BN174" s="57" t="s">
        <v>1288</v>
      </c>
      <c r="BO174" s="57" t="s">
        <v>1288</v>
      </c>
      <c r="BP174" s="57" t="s">
        <v>1288</v>
      </c>
      <c r="BQ174" s="57" t="s">
        <v>1288</v>
      </c>
      <c r="BR174" s="57" t="s">
        <v>1288</v>
      </c>
      <c r="BS174" s="57" t="s">
        <v>1288</v>
      </c>
      <c r="BT174" s="57" t="s">
        <v>1288</v>
      </c>
      <c r="BU174" s="57" t="s">
        <v>1288</v>
      </c>
      <c r="BV174" s="70">
        <f t="shared" si="954"/>
        <v>32</v>
      </c>
      <c r="BW174" s="71">
        <f t="shared" si="955"/>
        <v>58</v>
      </c>
      <c r="BX174" s="72">
        <f t="shared" si="956"/>
        <v>62</v>
      </c>
      <c r="BY174" s="71">
        <f t="shared" si="957"/>
        <v>95</v>
      </c>
      <c r="BZ174" s="72">
        <f t="shared" si="958"/>
        <v>99</v>
      </c>
      <c r="CA174" s="71">
        <f t="shared" si="959"/>
        <v>135</v>
      </c>
      <c r="CB174" s="72">
        <f t="shared" si="960"/>
        <v>146</v>
      </c>
      <c r="CC174" s="71">
        <f t="shared" si="961"/>
        <v>181</v>
      </c>
      <c r="CD174" s="72">
        <f t="shared" si="962"/>
        <v>185</v>
      </c>
      <c r="CE174" s="71">
        <f t="shared" si="963"/>
        <v>323</v>
      </c>
      <c r="CF174" s="72">
        <f t="shared" si="964"/>
        <v>361</v>
      </c>
      <c r="CG174" s="71">
        <f t="shared" si="965"/>
        <v>387</v>
      </c>
      <c r="CH174" s="70">
        <f t="shared" si="966"/>
        <v>57</v>
      </c>
      <c r="CI174" s="71">
        <f t="shared" si="967"/>
        <v>61</v>
      </c>
      <c r="CJ174" s="72">
        <f t="shared" si="968"/>
        <v>92</v>
      </c>
      <c r="CK174" s="72">
        <f t="shared" si="969"/>
        <v>98</v>
      </c>
      <c r="CL174" s="72">
        <f t="shared" si="970"/>
        <v>134</v>
      </c>
      <c r="CM174" s="72">
        <f t="shared" si="971"/>
        <v>143</v>
      </c>
      <c r="CN174" s="72">
        <f t="shared" si="972"/>
        <v>171</v>
      </c>
      <c r="CO174" s="72">
        <f t="shared" si="973"/>
        <v>183</v>
      </c>
      <c r="CP174" s="72">
        <f t="shared" si="974"/>
        <v>216</v>
      </c>
      <c r="CQ174" s="72">
        <f t="shared" si="975"/>
        <v>354</v>
      </c>
      <c r="CR174" s="72">
        <f t="shared" si="976"/>
        <v>386</v>
      </c>
      <c r="CS174" s="72">
        <f t="shared" si="977"/>
        <v>399</v>
      </c>
      <c r="CT174" s="23">
        <f t="shared" si="978"/>
        <v>1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29" x14ac:dyDescent="0.2">
      <c r="A175" s="3" t="str">
        <f>CONCATENATE(B175,"_",C175)</f>
        <v>drd4_human__wt</v>
      </c>
      <c r="B175" s="3" t="s">
        <v>193</v>
      </c>
      <c r="C175" s="3" t="s">
        <v>100</v>
      </c>
      <c r="D175" s="3" t="str">
        <f>IFERROR(MID(VLOOKUP($B175,Seqs!$A:$B,2,0),E175,1),"")</f>
        <v>A</v>
      </c>
      <c r="E175" s="3">
        <v>31</v>
      </c>
      <c r="F175" s="3" t="str">
        <f>IFERROR(MID(VLOOKUP($B175,Seqs!$A:$B,2,0),G175,1),"")</f>
        <v>E</v>
      </c>
      <c r="G175" s="3">
        <v>62</v>
      </c>
      <c r="H175" s="3" t="str">
        <f>IFERROR(MID(VLOOKUP($B175,Seqs!$A:$B,2,0),I175,1),"")</f>
        <v>R</v>
      </c>
      <c r="I175" s="23">
        <v>63</v>
      </c>
      <c r="J175" s="3" t="str">
        <f>IFERROR(MID(VLOOKUP($B175,Seqs!$A:$B,2,0),K175,1),"")</f>
        <v>Q</v>
      </c>
      <c r="K175" s="23">
        <v>66</v>
      </c>
      <c r="L175" s="3" t="str">
        <f>IFERROR(MID(VLOOKUP($B175,Seqs!$A:$B,2,0),M175,1),"")</f>
        <v>T</v>
      </c>
      <c r="M175" s="3">
        <v>67</v>
      </c>
      <c r="N175" s="3" t="str">
        <f>IFERROR(MID(VLOOKUP($B175,Seqs!$A:$B,2,0),O175,1),"")</f>
        <v>Q</v>
      </c>
      <c r="O175" s="3">
        <v>97</v>
      </c>
      <c r="P175" s="3" t="str">
        <f>IFERROR(MID(VLOOKUP($B175,Seqs!$A:$B,2,0),Q175,1),"")</f>
        <v>A</v>
      </c>
      <c r="Q175" s="3">
        <v>100</v>
      </c>
      <c r="R175" s="3" t="str">
        <f>IFERROR(MID(VLOOKUP($B175,Seqs!$A:$B,2,0),S175,1),"")</f>
        <v>L</v>
      </c>
      <c r="S175" s="3">
        <v>103</v>
      </c>
      <c r="T175" s="3" t="str">
        <f>IFERROR(MID(VLOOKUP($B175,Seqs!$A:$B,2,0),U175,1),"")</f>
        <v>S</v>
      </c>
      <c r="U175" s="3">
        <v>104</v>
      </c>
      <c r="V175" s="3" t="str">
        <f>IFERROR(MID(VLOOKUP($B175,Seqs!$A:$B,2,0),W175,1),"")</f>
        <v>V</v>
      </c>
      <c r="W175" s="3">
        <v>139</v>
      </c>
      <c r="X175" s="3" t="str">
        <f>IFERROR(MID(VLOOKUP($B175,Seqs!$A:$B,2,0),Y175,1),"")</f>
        <v>P</v>
      </c>
      <c r="Y175" s="3">
        <v>140</v>
      </c>
      <c r="Z175" s="3" t="str">
        <f>IFERROR(MID(VLOOKUP($B175,Seqs!$A:$B,2,0),AA175,1),"")</f>
        <v>G</v>
      </c>
      <c r="AA175" s="3">
        <v>147</v>
      </c>
      <c r="AB175" s="3" t="str">
        <f>IFERROR(MID(VLOOKUP($B175,Seqs!$A:$B,2,0),AC175,1),"")</f>
        <v>G</v>
      </c>
      <c r="AC175" s="3">
        <v>148</v>
      </c>
      <c r="AD175" s="3" t="str">
        <f>IFERROR(MID(VLOOKUP($B175,Seqs!$A:$B,2,0),AE175,1),"")</f>
        <v>G</v>
      </c>
      <c r="AE175" s="3">
        <v>173</v>
      </c>
      <c r="AF175" s="3" t="str">
        <f>IFERROR(MID(VLOOKUP($B175,Seqs!$A:$B,2,0),AG175,1),"")</f>
        <v>C</v>
      </c>
      <c r="AG175" s="3">
        <v>185</v>
      </c>
      <c r="AH175" s="3" t="str">
        <f>IFERROR(MID(VLOOKUP($B175,Seqs!$A:$B,2,0),AI175,1),"")</f>
        <v>L</v>
      </c>
      <c r="AI175" s="3">
        <v>187</v>
      </c>
      <c r="AJ175" s="3" t="str">
        <f>IFERROR(MID(VLOOKUP($B175,Seqs!$A:$B,2,0),AK175,1),"")</f>
        <v>D</v>
      </c>
      <c r="AK175" s="3">
        <v>189</v>
      </c>
      <c r="AL175" s="3" t="str">
        <f>IFERROR(MID(VLOOKUP($B175,Seqs!$A:$B,2,0),AM175,1),"")</f>
        <v>K</v>
      </c>
      <c r="AM175" s="3">
        <v>229</v>
      </c>
      <c r="AN175" s="3" t="str">
        <f>IFERROR(MID(VLOOKUP($B175,Seqs!$A:$B,2,0),AO175,1),"")</f>
        <v>A</v>
      </c>
      <c r="AO175" s="3">
        <v>383</v>
      </c>
      <c r="AP175" s="3" t="str">
        <f>IFERROR(MID(VLOOKUP($B175,Seqs!$A:$B,2,0),AQ175,1),"")</f>
        <v>C</v>
      </c>
      <c r="AQ175" s="3">
        <v>420</v>
      </c>
      <c r="AR175" s="3" t="str">
        <f>IFERROR(MID(VLOOKUP($B175,Seqs!$A:$B,2,0),AS175,1),"")</f>
        <v>P</v>
      </c>
      <c r="AS175" s="3">
        <v>426</v>
      </c>
      <c r="AT175" s="3" t="str">
        <f>IFERROR(MID(VLOOKUP($B175,Seqs!$A:$B,2,0),AU175,1),"")</f>
        <v>F</v>
      </c>
      <c r="AU175" s="3">
        <v>451</v>
      </c>
      <c r="AV175" s="3" t="str">
        <f>IFERROR(MID(VLOOKUP($B175,Seqs!$A:$B,2,0),AW175,1),"")</f>
        <v>N</v>
      </c>
      <c r="AW175" s="3">
        <v>452</v>
      </c>
      <c r="AX175" s="3" t="str">
        <f>IFERROR(MID(VLOOKUP($B175,Seqs!$A:$B,2,0),AY175,1),"")</f>
        <v>R</v>
      </c>
      <c r="AY175" s="3">
        <v>464</v>
      </c>
      <c r="AZ175" s="77" t="str">
        <f>VLOOKUP(B175,Classification!A:D,2,0)</f>
        <v>A</v>
      </c>
      <c r="BA175" s="94" t="str">
        <f>VLOOKUP(B175,Classification!A:D,4,0)</f>
        <v>Dopamine</v>
      </c>
      <c r="BB175" s="27" t="b">
        <f>AND(E175&lt;G175,OR(G175&lt;I175,I175="-"),OR(I175&lt;K175,I175="-"),OR(K175&lt;M175,K175="-"),M175&lt;O175,OR(O175&lt;Q175,Q175="-"),OR(Q175&lt;S175,Q175="-"),OR(S175&lt;U175,S175="-"),U175&lt;W175,OR(W175&lt;Y175,Y175="-"),OR(Y175&lt;AA175,Y175="-"),OR(AA175&lt;AC175,AA175="-"),AC175&lt;AE175,OR(AE175&lt;AG175,AG175="-"),OR(AG175&lt;AI175,AG175="-"),OR(AI175&lt;AK175,AI175="-"),AK175&lt;AM175,AM175&lt;AO175,AO175&lt;AQ175,AQ175&lt;AS175,AS175&lt;AU175,OR(AU175&lt;AW175,AW175="-"),OR(AW175&lt;AY175,AW175="-"))</f>
        <v>1</v>
      </c>
      <c r="BC175" s="23">
        <f>_xlfn.AGGREGATE(9,6,CH175:CS175)-_xlfn.AGGREGATE(9,6,BV175:CG175)+12</f>
        <v>262</v>
      </c>
      <c r="BD175" s="2" t="s">
        <v>23</v>
      </c>
      <c r="BE175" s="3" t="s">
        <v>1375</v>
      </c>
      <c r="BF175" s="119" t="s">
        <v>23</v>
      </c>
      <c r="BG175" s="49" t="s">
        <v>1378</v>
      </c>
      <c r="BH175" s="49" t="s">
        <v>1378</v>
      </c>
      <c r="BI175" s="1"/>
      <c r="BJ175" s="70" t="s">
        <v>1288</v>
      </c>
      <c r="BK175" s="57" t="s">
        <v>1288</v>
      </c>
      <c r="BL175" s="57" t="s">
        <v>1288</v>
      </c>
      <c r="BM175" s="57" t="s">
        <v>1288</v>
      </c>
      <c r="BN175" s="57" t="s">
        <v>1288</v>
      </c>
      <c r="BO175" s="57" t="s">
        <v>1288</v>
      </c>
      <c r="BP175" s="57" t="s">
        <v>1288</v>
      </c>
      <c r="BQ175" s="57" t="s">
        <v>1288</v>
      </c>
      <c r="BR175" s="57" t="s">
        <v>1288</v>
      </c>
      <c r="BS175" s="57" t="s">
        <v>1288</v>
      </c>
      <c r="BT175" s="57" t="s">
        <v>1288</v>
      </c>
      <c r="BU175" s="57" t="s">
        <v>1288</v>
      </c>
      <c r="BV175" s="70">
        <f>E175</f>
        <v>31</v>
      </c>
      <c r="BW175" s="71">
        <f>I175</f>
        <v>63</v>
      </c>
      <c r="BX175" s="72">
        <f>M175</f>
        <v>67</v>
      </c>
      <c r="BY175" s="71">
        <f>Q175</f>
        <v>100</v>
      </c>
      <c r="BZ175" s="72">
        <f>U175</f>
        <v>104</v>
      </c>
      <c r="CA175" s="71">
        <f>Y175</f>
        <v>140</v>
      </c>
      <c r="CB175" s="72">
        <f>AC175</f>
        <v>148</v>
      </c>
      <c r="CC175" s="71">
        <f>AG175</f>
        <v>185</v>
      </c>
      <c r="CD175" s="72">
        <f>AK175</f>
        <v>189</v>
      </c>
      <c r="CE175" s="71">
        <f>AO175</f>
        <v>383</v>
      </c>
      <c r="CF175" s="72">
        <f>AS175</f>
        <v>426</v>
      </c>
      <c r="CG175" s="71">
        <f>AW175</f>
        <v>452</v>
      </c>
      <c r="CH175" s="70">
        <f>G175</f>
        <v>62</v>
      </c>
      <c r="CI175" s="71">
        <f>K175</f>
        <v>66</v>
      </c>
      <c r="CJ175" s="72">
        <f>O175</f>
        <v>97</v>
      </c>
      <c r="CK175" s="72">
        <f>S175</f>
        <v>103</v>
      </c>
      <c r="CL175" s="72">
        <f>W175</f>
        <v>139</v>
      </c>
      <c r="CM175" s="72">
        <f>AA175</f>
        <v>147</v>
      </c>
      <c r="CN175" s="72">
        <f>AE175</f>
        <v>173</v>
      </c>
      <c r="CO175" s="72">
        <f>AI175</f>
        <v>187</v>
      </c>
      <c r="CP175" s="72">
        <f>AM175</f>
        <v>229</v>
      </c>
      <c r="CQ175" s="72">
        <f>AQ175</f>
        <v>420</v>
      </c>
      <c r="CR175" s="72">
        <f>AU175</f>
        <v>451</v>
      </c>
      <c r="CS175" s="72">
        <f>AY175</f>
        <v>464</v>
      </c>
      <c r="CT175" s="23">
        <f>M175-K175</f>
        <v>1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29" x14ac:dyDescent="0.2">
      <c r="A176" s="3" t="str">
        <f>CONCATENATE(B176,"_",C176)</f>
        <v>drd4_human_5WIU</v>
      </c>
      <c r="B176" s="3" t="s">
        <v>193</v>
      </c>
      <c r="C176" s="3" t="s">
        <v>1445</v>
      </c>
      <c r="D176" s="3" t="str">
        <f>IFERROR(MID(VLOOKUP($B176,Seqs!$A:$B,2,0),E176,1),"")</f>
        <v>G</v>
      </c>
      <c r="E176" s="3">
        <v>34</v>
      </c>
      <c r="F176" s="3" t="str">
        <f>IFERROR(MID(VLOOKUP($B176,Seqs!$A:$B,2,0),G176,1),"")</f>
        <v>E</v>
      </c>
      <c r="G176" s="3">
        <v>62</v>
      </c>
      <c r="H176" s="3" t="str">
        <f>IFERROR(MID(VLOOKUP($B176,Seqs!$A:$B,2,0),I176,1),"")</f>
        <v>R</v>
      </c>
      <c r="I176" s="23">
        <v>63</v>
      </c>
      <c r="J176" s="3" t="str">
        <f>IFERROR(MID(VLOOKUP($B176,Seqs!$A:$B,2,0),K176,1),"")</f>
        <v>Q</v>
      </c>
      <c r="K176" s="23">
        <v>66</v>
      </c>
      <c r="L176" s="3" t="str">
        <f>IFERROR(MID(VLOOKUP($B176,Seqs!$A:$B,2,0),M176,1),"")</f>
        <v>T</v>
      </c>
      <c r="M176" s="3">
        <v>67</v>
      </c>
      <c r="N176" s="3" t="str">
        <f>IFERROR(MID(VLOOKUP($B176,Seqs!$A:$B,2,0),O176,1),"")</f>
        <v>Q</v>
      </c>
      <c r="O176" s="3">
        <v>97</v>
      </c>
      <c r="P176" s="3" t="str">
        <f>IFERROR(MID(VLOOKUP($B176,Seqs!$A:$B,2,0),Q176,1),"")</f>
        <v>A</v>
      </c>
      <c r="Q176" s="3">
        <v>100</v>
      </c>
      <c r="R176" s="3" t="str">
        <f>IFERROR(MID(VLOOKUP($B176,Seqs!$A:$B,2,0),S176,1),"")</f>
        <v>L</v>
      </c>
      <c r="S176" s="3">
        <v>103</v>
      </c>
      <c r="T176" s="3" t="str">
        <f>IFERROR(MID(VLOOKUP($B176,Seqs!$A:$B,2,0),U176,1),"")</f>
        <v>S</v>
      </c>
      <c r="U176" s="3">
        <v>104</v>
      </c>
      <c r="V176" s="3" t="str">
        <f>IFERROR(MID(VLOOKUP($B176,Seqs!$A:$B,2,0),W176,1),"")</f>
        <v>V</v>
      </c>
      <c r="W176" s="3">
        <v>139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R</v>
      </c>
      <c r="AC176" s="3">
        <v>150</v>
      </c>
      <c r="AD176" s="3" t="str">
        <f>IFERROR(MID(VLOOKUP($B176,Seqs!$A:$B,2,0),AE176,1),"")</f>
        <v>G</v>
      </c>
      <c r="AE176" s="3">
        <v>173</v>
      </c>
      <c r="AF176" s="3" t="str">
        <f>IFERROR(MID(VLOOKUP($B176,Seqs!$A:$B,2,0),AG176,1),"")</f>
        <v>C</v>
      </c>
      <c r="AG176" s="3">
        <v>185</v>
      </c>
      <c r="AH176" s="3" t="str">
        <f>IFERROR(MID(VLOOKUP($B176,Seqs!$A:$B,2,0),AI176,1),"")</f>
        <v>L</v>
      </c>
      <c r="AI176" s="3">
        <v>187</v>
      </c>
      <c r="AJ176" s="3" t="str">
        <f>IFERROR(MID(VLOOKUP($B176,Seqs!$A:$B,2,0),AK176,1),"")</f>
        <v>D</v>
      </c>
      <c r="AK176" s="3">
        <v>189</v>
      </c>
      <c r="AL176" s="3" t="str">
        <f>IFERROR(MID(VLOOKUP($B176,Seqs!$A:$B,2,0),AM176,1),"")</f>
        <v>W</v>
      </c>
      <c r="AM176" s="3">
        <v>222</v>
      </c>
      <c r="AN176" s="3" t="str">
        <f>IFERROR(MID(VLOOKUP($B176,Seqs!$A:$B,2,0),AO176,1),"")</f>
        <v>V</v>
      </c>
      <c r="AO176" s="3">
        <v>395</v>
      </c>
      <c r="AP176" s="3" t="str">
        <f>IFERROR(MID(VLOOKUP($B176,Seqs!$A:$B,2,0),AQ176,1),"")</f>
        <v>C</v>
      </c>
      <c r="AQ176" s="3">
        <v>420</v>
      </c>
      <c r="AR176" s="3" t="str">
        <f>IFERROR(MID(VLOOKUP($B176,Seqs!$A:$B,2,0),AS176,1),"")</f>
        <v>P</v>
      </c>
      <c r="AS176" s="3">
        <v>426</v>
      </c>
      <c r="AT176" s="3" t="str">
        <f>IFERROR(MID(VLOOKUP($B176,Seqs!$A:$B,2,0),AU176,1),"")</f>
        <v>F</v>
      </c>
      <c r="AU176" s="3">
        <v>451</v>
      </c>
      <c r="AV176" s="3" t="str">
        <f>IFERROR(MID(VLOOKUP($B176,Seqs!$A:$B,2,0),AW176,1),"")</f>
        <v>N</v>
      </c>
      <c r="AW176" s="3">
        <v>452</v>
      </c>
      <c r="AX176" s="3" t="str">
        <f>IFERROR(MID(VLOOKUP($B176,Seqs!$A:$B,2,0),AY176,1),"")</f>
        <v>R</v>
      </c>
      <c r="AY176" s="3">
        <v>460</v>
      </c>
      <c r="AZ176" s="77" t="str">
        <f>VLOOKUP(B176,Classification!A:D,2,0)</f>
        <v>A</v>
      </c>
      <c r="BA176" s="94" t="str">
        <f>VLOOKUP(B176,Classification!A:D,4,0)</f>
        <v>Dopamine</v>
      </c>
      <c r="BB176" s="27" t="b">
        <f>AND(E176&lt;G176,OR(G176&lt;I176,I176="-"),OR(I176&lt;K176,I176="-"),OR(K176&lt;M176,K176="-"),M176&lt;O176,OR(O176&lt;Q176,Q176="-"),OR(Q176&lt;S176,Q176="-"),OR(S176&lt;U176,S176="-"),U176&lt;W176,OR(W176&lt;Y176,Y176="-"),OR(Y176&lt;AA176,Y176="-"),OR(AA176&lt;AC176,AA176="-"),AC176&lt;AE176,OR(AE176&lt;AG176,AG176="-"),OR(AG176&lt;AI176,AG176="-"),OR(AI176&lt;AK176,AI176="-"),AK176&lt;AM176,AM176&lt;AO176,AO176&lt;AQ176,AQ176&lt;AS176,AS176&lt;AU176,OR(AU176&lt;AW176,AW176="-"),OR(AW176&lt;AY176,AW176="-"))</f>
        <v>1</v>
      </c>
      <c r="BC176" s="23">
        <f>_xlfn.AGGREGATE(9,6,CH176:CS176)-_xlfn.AGGREGATE(9,6,BV176:CG176)+12</f>
        <v>227</v>
      </c>
      <c r="BD176" s="2" t="s">
        <v>23</v>
      </c>
      <c r="BE176" s="3" t="s">
        <v>1375</v>
      </c>
      <c r="BF176" s="119">
        <v>1.96</v>
      </c>
      <c r="BG176" s="49" t="s">
        <v>1</v>
      </c>
      <c r="BH176" s="49" t="s">
        <v>1378</v>
      </c>
      <c r="BI176" s="1"/>
      <c r="BJ176" s="70" t="s">
        <v>1288</v>
      </c>
      <c r="BK176" s="57" t="s">
        <v>1288</v>
      </c>
      <c r="BL176" s="57" t="s">
        <v>1288</v>
      </c>
      <c r="BM176" s="57" t="s">
        <v>1288</v>
      </c>
      <c r="BN176" s="57" t="s">
        <v>1288</v>
      </c>
      <c r="BO176" s="57" t="s">
        <v>1288</v>
      </c>
      <c r="BP176" s="57" t="s">
        <v>1288</v>
      </c>
      <c r="BQ176" s="57" t="s">
        <v>1288</v>
      </c>
      <c r="BR176" s="57" t="s">
        <v>1288</v>
      </c>
      <c r="BS176" s="57" t="s">
        <v>1288</v>
      </c>
      <c r="BT176" s="57" t="s">
        <v>1288</v>
      </c>
      <c r="BU176" s="57" t="s">
        <v>1288</v>
      </c>
      <c r="BV176" s="70">
        <f>E176</f>
        <v>34</v>
      </c>
      <c r="BW176" s="71">
        <f>I176</f>
        <v>63</v>
      </c>
      <c r="BX176" s="72">
        <f>M176</f>
        <v>67</v>
      </c>
      <c r="BY176" s="71">
        <f>Q176</f>
        <v>100</v>
      </c>
      <c r="BZ176" s="72">
        <f>U176</f>
        <v>104</v>
      </c>
      <c r="CA176" s="71" t="str">
        <f>Y176</f>
        <v>-</v>
      </c>
      <c r="CB176" s="72">
        <f>AC176</f>
        <v>150</v>
      </c>
      <c r="CC176" s="71">
        <f>AG176</f>
        <v>185</v>
      </c>
      <c r="CD176" s="72">
        <f>AK176</f>
        <v>189</v>
      </c>
      <c r="CE176" s="71">
        <f>AO176</f>
        <v>395</v>
      </c>
      <c r="CF176" s="72">
        <f>AS176</f>
        <v>426</v>
      </c>
      <c r="CG176" s="71">
        <f>AW176</f>
        <v>452</v>
      </c>
      <c r="CH176" s="70">
        <f>G176</f>
        <v>62</v>
      </c>
      <c r="CI176" s="71">
        <f>K176</f>
        <v>66</v>
      </c>
      <c r="CJ176" s="72">
        <f>O176</f>
        <v>97</v>
      </c>
      <c r="CK176" s="72">
        <f>S176</f>
        <v>103</v>
      </c>
      <c r="CL176" s="72">
        <f>W176</f>
        <v>139</v>
      </c>
      <c r="CM176" s="72" t="str">
        <f>AA176</f>
        <v>-</v>
      </c>
      <c r="CN176" s="72">
        <f>AE176</f>
        <v>173</v>
      </c>
      <c r="CO176" s="72">
        <f>AI176</f>
        <v>187</v>
      </c>
      <c r="CP176" s="72">
        <f>AM176</f>
        <v>222</v>
      </c>
      <c r="CQ176" s="72">
        <f>AQ176</f>
        <v>420</v>
      </c>
      <c r="CR176" s="72">
        <f>AU176</f>
        <v>451</v>
      </c>
      <c r="CS176" s="72">
        <f>AY176</f>
        <v>460</v>
      </c>
      <c r="CT176" s="23">
        <f>M176-K176</f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29" x14ac:dyDescent="0.2">
      <c r="A177" s="3" t="str">
        <f>CONCATENATE(B177,"_",C177)</f>
        <v>drd4_human_5WIV</v>
      </c>
      <c r="B177" s="3" t="s">
        <v>193</v>
      </c>
      <c r="C177" s="3" t="s">
        <v>1447</v>
      </c>
      <c r="D177" s="3" t="str">
        <f>IFERROR(MID(VLOOKUP($B177,Seqs!$A:$B,2,0),E177,1),"")</f>
        <v>G</v>
      </c>
      <c r="E177" s="3">
        <v>32</v>
      </c>
      <c r="F177" s="3" t="str">
        <f>IFERROR(MID(VLOOKUP($B177,Seqs!$A:$B,2,0),G177,1),"")</f>
        <v>E</v>
      </c>
      <c r="G177" s="3">
        <v>62</v>
      </c>
      <c r="H177" s="3" t="str">
        <f>IFERROR(MID(VLOOKUP($B177,Seqs!$A:$B,2,0),I177,1),"")</f>
        <v>R</v>
      </c>
      <c r="I177" s="23">
        <v>63</v>
      </c>
      <c r="J177" s="3" t="str">
        <f>IFERROR(MID(VLOOKUP($B177,Seqs!$A:$B,2,0),K177,1),"")</f>
        <v>Q</v>
      </c>
      <c r="K177" s="23">
        <v>66</v>
      </c>
      <c r="L177" s="3" t="str">
        <f>IFERROR(MID(VLOOKUP($B177,Seqs!$A:$B,2,0),M177,1),"")</f>
        <v>T</v>
      </c>
      <c r="M177" s="3">
        <v>67</v>
      </c>
      <c r="N177" s="3" t="str">
        <f>IFERROR(MID(VLOOKUP($B177,Seqs!$A:$B,2,0),O177,1),"")</f>
        <v>Q</v>
      </c>
      <c r="O177" s="3">
        <v>97</v>
      </c>
      <c r="P177" s="3" t="str">
        <f>IFERROR(MID(VLOOKUP($B177,Seqs!$A:$B,2,0),Q177,1),"")</f>
        <v>A</v>
      </c>
      <c r="Q177" s="3">
        <v>100</v>
      </c>
      <c r="R177" s="3" t="str">
        <f>IFERROR(MID(VLOOKUP($B177,Seqs!$A:$B,2,0),S177,1),"")</f>
        <v>L</v>
      </c>
      <c r="S177" s="3">
        <v>103</v>
      </c>
      <c r="T177" s="3" t="str">
        <f>IFERROR(MID(VLOOKUP($B177,Seqs!$A:$B,2,0),U177,1),"")</f>
        <v>S</v>
      </c>
      <c r="U177" s="3">
        <v>104</v>
      </c>
      <c r="V177" s="3" t="str">
        <f>IFERROR(MID(VLOOKUP($B177,Seqs!$A:$B,2,0),W177,1),"")</f>
        <v>V</v>
      </c>
      <c r="W177" s="3">
        <v>139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R</v>
      </c>
      <c r="AC177" s="3">
        <v>150</v>
      </c>
      <c r="AD177" s="3" t="str">
        <f>IFERROR(MID(VLOOKUP($B177,Seqs!$A:$B,2,0),AE177,1),"")</f>
        <v>G</v>
      </c>
      <c r="AE177" s="3">
        <v>173</v>
      </c>
      <c r="AF177" s="3" t="str">
        <f>IFERROR(MID(VLOOKUP($B177,Seqs!$A:$B,2,0),AG177,1),"")</f>
        <v>C</v>
      </c>
      <c r="AG177" s="3">
        <v>185</v>
      </c>
      <c r="AH177" s="3" t="str">
        <f>IFERROR(MID(VLOOKUP($B177,Seqs!$A:$B,2,0),AI177,1),"")</f>
        <v>L</v>
      </c>
      <c r="AI177" s="3">
        <v>187</v>
      </c>
      <c r="AJ177" s="3" t="str">
        <f>IFERROR(MID(VLOOKUP($B177,Seqs!$A:$B,2,0),AK177,1),"")</f>
        <v>D</v>
      </c>
      <c r="AK177" s="3">
        <v>189</v>
      </c>
      <c r="AL177" s="3" t="str">
        <f>IFERROR(MID(VLOOKUP($B177,Seqs!$A:$B,2,0),AM177,1),"")</f>
        <v>W</v>
      </c>
      <c r="AM177" s="3">
        <v>222</v>
      </c>
      <c r="AN177" s="3" t="str">
        <f>IFERROR(MID(VLOOKUP($B177,Seqs!$A:$B,2,0),AO177,1),"")</f>
        <v>V</v>
      </c>
      <c r="AO177" s="3">
        <v>395</v>
      </c>
      <c r="AP177" s="3" t="str">
        <f>IFERROR(MID(VLOOKUP($B177,Seqs!$A:$B,2,0),AQ177,1),"")</f>
        <v>C</v>
      </c>
      <c r="AQ177" s="3">
        <v>420</v>
      </c>
      <c r="AR177" s="3" t="str">
        <f>IFERROR(MID(VLOOKUP($B177,Seqs!$A:$B,2,0),AS177,1),"")</f>
        <v>P</v>
      </c>
      <c r="AS177" s="3">
        <v>426</v>
      </c>
      <c r="AT177" s="3" t="str">
        <f>IFERROR(MID(VLOOKUP($B177,Seqs!$A:$B,2,0),AU177,1),"")</f>
        <v>F</v>
      </c>
      <c r="AU177" s="3">
        <v>451</v>
      </c>
      <c r="AV177" s="3" t="str">
        <f>IFERROR(MID(VLOOKUP($B177,Seqs!$A:$B,2,0),AW177,1),"")</f>
        <v>N</v>
      </c>
      <c r="AW177" s="3">
        <v>452</v>
      </c>
      <c r="AX177" s="3" t="str">
        <f>IFERROR(MID(VLOOKUP($B177,Seqs!$A:$B,2,0),AY177,1),"")</f>
        <v>A</v>
      </c>
      <c r="AY177" s="3">
        <v>462</v>
      </c>
      <c r="AZ177" s="77" t="str">
        <f>VLOOKUP(B177,Classification!A:D,2,0)</f>
        <v>A</v>
      </c>
      <c r="BA177" s="94" t="str">
        <f>VLOOKUP(B177,Classification!A:D,4,0)</f>
        <v>Dopamine</v>
      </c>
      <c r="BB177" s="27" t="b">
        <f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23">
        <f>_xlfn.AGGREGATE(9,6,CH177:CS177)-_xlfn.AGGREGATE(9,6,BV177:CG177)+12</f>
        <v>231</v>
      </c>
      <c r="BD177" s="2" t="s">
        <v>1377</v>
      </c>
      <c r="BE177" s="3" t="s">
        <v>1375</v>
      </c>
      <c r="BF177" s="119">
        <v>2.14</v>
      </c>
      <c r="BG177" s="49" t="s">
        <v>1</v>
      </c>
      <c r="BH177" s="49" t="s">
        <v>1378</v>
      </c>
      <c r="BI177" s="1"/>
      <c r="BJ177" s="70" t="s">
        <v>1288</v>
      </c>
      <c r="BK177" s="57" t="s">
        <v>1288</v>
      </c>
      <c r="BL177" s="57" t="s">
        <v>1288</v>
      </c>
      <c r="BM177" s="57" t="s">
        <v>1288</v>
      </c>
      <c r="BN177" s="57" t="s">
        <v>1288</v>
      </c>
      <c r="BO177" s="57" t="s">
        <v>1288</v>
      </c>
      <c r="BP177" s="57" t="s">
        <v>1288</v>
      </c>
      <c r="BQ177" s="57" t="s">
        <v>1288</v>
      </c>
      <c r="BR177" s="57" t="s">
        <v>1288</v>
      </c>
      <c r="BS177" s="57" t="s">
        <v>1288</v>
      </c>
      <c r="BT177" s="57" t="s">
        <v>1288</v>
      </c>
      <c r="BU177" s="57" t="s">
        <v>1288</v>
      </c>
      <c r="BV177" s="70">
        <f>E177</f>
        <v>32</v>
      </c>
      <c r="BW177" s="71">
        <f>I177</f>
        <v>63</v>
      </c>
      <c r="BX177" s="72">
        <f>M177</f>
        <v>67</v>
      </c>
      <c r="BY177" s="71">
        <f>Q177</f>
        <v>100</v>
      </c>
      <c r="BZ177" s="72">
        <f>U177</f>
        <v>104</v>
      </c>
      <c r="CA177" s="71" t="str">
        <f>Y177</f>
        <v>-</v>
      </c>
      <c r="CB177" s="72">
        <f>AC177</f>
        <v>150</v>
      </c>
      <c r="CC177" s="71">
        <f>AG177</f>
        <v>185</v>
      </c>
      <c r="CD177" s="72">
        <f>AK177</f>
        <v>189</v>
      </c>
      <c r="CE177" s="71">
        <f>AO177</f>
        <v>395</v>
      </c>
      <c r="CF177" s="72">
        <f>AS177</f>
        <v>426</v>
      </c>
      <c r="CG177" s="71">
        <f>AW177</f>
        <v>452</v>
      </c>
      <c r="CH177" s="70">
        <f>G177</f>
        <v>62</v>
      </c>
      <c r="CI177" s="71">
        <f>K177</f>
        <v>66</v>
      </c>
      <c r="CJ177" s="72">
        <f>O177</f>
        <v>97</v>
      </c>
      <c r="CK177" s="72">
        <f>S177</f>
        <v>103</v>
      </c>
      <c r="CL177" s="72">
        <f>W177</f>
        <v>139</v>
      </c>
      <c r="CM177" s="72" t="str">
        <f>AA177</f>
        <v>-</v>
      </c>
      <c r="CN177" s="72">
        <f>AE177</f>
        <v>173</v>
      </c>
      <c r="CO177" s="72">
        <f>AI177</f>
        <v>187</v>
      </c>
      <c r="CP177" s="72">
        <f>AM177</f>
        <v>222</v>
      </c>
      <c r="CQ177" s="72">
        <f>AQ177</f>
        <v>420</v>
      </c>
      <c r="CR177" s="72">
        <f>AU177</f>
        <v>451</v>
      </c>
      <c r="CS177" s="72">
        <f>AY177</f>
        <v>462</v>
      </c>
      <c r="CT177" s="23">
        <f>M177-K177</f>
        <v>1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29" x14ac:dyDescent="0.2">
      <c r="A178" s="3" t="str">
        <f t="shared" si="811"/>
        <v>ednrb_human__wt</v>
      </c>
      <c r="B178" s="2" t="s">
        <v>196</v>
      </c>
      <c r="C178" s="2" t="s">
        <v>100</v>
      </c>
      <c r="D178" s="3" t="str">
        <f>IFERROR(MID(VLOOKUP($B178,Seqs!$A:$B,2,0),E178,1),"")</f>
        <v>Q</v>
      </c>
      <c r="E178" s="2">
        <v>91</v>
      </c>
      <c r="F178" s="3" t="str">
        <f>IFERROR(MID(VLOOKUP($B178,Seqs!$A:$B,2,0),G178,1),"")</f>
        <v>N</v>
      </c>
      <c r="G178" s="2">
        <v>129</v>
      </c>
      <c r="H178" s="3" t="str">
        <f>IFERROR(MID(VLOOKUP($B178,Seqs!$A:$B,2,0),I178,1),"")</f>
        <v>K</v>
      </c>
      <c r="I178" s="56">
        <v>130</v>
      </c>
      <c r="J178" s="3" t="str">
        <f>IFERROR(MID(VLOOKUP($B178,Seqs!$A:$B,2,0),K178,1),"")</f>
        <v>N</v>
      </c>
      <c r="K178" s="56">
        <v>134</v>
      </c>
      <c r="L178" s="3" t="str">
        <f>IFERROR(MID(VLOOKUP($B178,Seqs!$A:$B,2,0),M178,1),"")</f>
        <v>G</v>
      </c>
      <c r="M178" s="2">
        <v>135</v>
      </c>
      <c r="N178" s="3" t="str">
        <f>IFERROR(MID(VLOOKUP($B178,Seqs!$A:$B,2,0),O178,1),"")</f>
        <v>A</v>
      </c>
      <c r="O178" s="2">
        <v>164</v>
      </c>
      <c r="P178" s="3" t="str">
        <f>IFERROR(MID(VLOOKUP($B178,Seqs!$A:$B,2,0),Q178,1),"")</f>
        <v>D</v>
      </c>
      <c r="Q178" s="2">
        <v>166</v>
      </c>
      <c r="R178" s="3" t="str">
        <f>IFERROR(MID(VLOOKUP($B178,Seqs!$A:$B,2,0),S178,1),"")</f>
        <v>F</v>
      </c>
      <c r="S178" s="2">
        <v>169</v>
      </c>
      <c r="T178" s="3" t="str">
        <f>IFERROR(MID(VLOOKUP($B178,Seqs!$A:$B,2,0),U178,1),"")</f>
        <v>G</v>
      </c>
      <c r="U178" s="4">
        <v>170</v>
      </c>
      <c r="V178" s="3" t="str">
        <f>IFERROR(MID(VLOOKUP($B178,Seqs!$A:$B,2,0),W178,1),"")</f>
        <v>S</v>
      </c>
      <c r="W178" s="2">
        <v>205</v>
      </c>
      <c r="X178" s="3" t="str">
        <f>IFERROR(MID(VLOOKUP($B178,Seqs!$A:$B,2,0),Y178,1),"")</f>
        <v>W</v>
      </c>
      <c r="Y178" s="2">
        <v>206</v>
      </c>
      <c r="Z178" s="3" t="str">
        <f>IFERROR(MID(VLOOKUP($B178,Seqs!$A:$B,2,0),AA178,1),"")</f>
        <v>G</v>
      </c>
      <c r="AA178" s="2">
        <v>213</v>
      </c>
      <c r="AB178" s="3" t="str">
        <f>IFERROR(MID(VLOOKUP($B178,Seqs!$A:$B,2,0),AC178,1),"")</f>
        <v>V</v>
      </c>
      <c r="AC178" s="40">
        <v>214</v>
      </c>
      <c r="AD178" s="3" t="str">
        <f>IFERROR(MID(VLOOKUP($B178,Seqs!$A:$B,2,0),AE178,1),"")</f>
        <v>F</v>
      </c>
      <c r="AE178" s="2">
        <v>240</v>
      </c>
      <c r="AF178" s="3" t="str">
        <f>IFERROR(MID(VLOOKUP($B178,Seqs!$A:$B,2,0),AG178,1),"")</f>
        <v>C</v>
      </c>
      <c r="AG178" s="2">
        <v>255</v>
      </c>
      <c r="AH178" s="3" t="str">
        <f>IFERROR(MID(VLOOKUP($B178,Seqs!$A:$B,2,0),AI178,1),"")</f>
        <v>L</v>
      </c>
      <c r="AI178" s="2">
        <v>257</v>
      </c>
      <c r="AJ178" s="3" t="str">
        <f>IFERROR(MID(VLOOKUP($B178,Seqs!$A:$B,2,0),AK178,1),"")</f>
        <v>T</v>
      </c>
      <c r="AK178" s="2">
        <v>263</v>
      </c>
      <c r="AL178" s="3" t="str">
        <f>IFERROR(MID(VLOOKUP($B178,Seqs!$A:$B,2,0),AM178,1),"")</f>
        <v>M</v>
      </c>
      <c r="AM178" s="2">
        <v>307</v>
      </c>
      <c r="AN178" s="3" t="str">
        <f>IFERROR(MID(VLOOKUP($B178,Seqs!$A:$B,2,0),AO178,1),"")</f>
        <v>N</v>
      </c>
      <c r="AO178" s="2">
        <v>312</v>
      </c>
      <c r="AP178" s="3" t="str">
        <f>IFERROR(MID(VLOOKUP($B178,Seqs!$A:$B,2,0),AQ178,1),"")</f>
        <v>Y</v>
      </c>
      <c r="AQ178" s="2">
        <v>350</v>
      </c>
      <c r="AR178" s="3" t="str">
        <f>IFERROR(MID(VLOOKUP($B178,Seqs!$A:$B,2,0),AS178,1),"")</f>
        <v>R</v>
      </c>
      <c r="AS178" s="2">
        <v>357</v>
      </c>
      <c r="AT178" s="3" t="str">
        <f>IFERROR(MID(VLOOKUP($B178,Seqs!$A:$B,2,0),AU178,1),"")</f>
        <v>V</v>
      </c>
      <c r="AU178" s="2">
        <v>389</v>
      </c>
      <c r="AV178" s="3" t="str">
        <f>IFERROR(MID(VLOOKUP($B178,Seqs!$A:$B,2,0),AW178,1),"")</f>
        <v>S</v>
      </c>
      <c r="AW178" s="2">
        <v>390</v>
      </c>
      <c r="AX178" s="3" t="str">
        <f>IFERROR(MID(VLOOKUP($B178,Seqs!$A:$B,2,0),AY178,1),"")</f>
        <v>C</v>
      </c>
      <c r="AY178" s="2">
        <v>403</v>
      </c>
      <c r="AZ178" s="77" t="str">
        <f>VLOOKUP(B178,Classification!A:D,2,0)</f>
        <v>A</v>
      </c>
      <c r="BA178" s="94" t="str">
        <f>VLOOKUP(B178,Classification!A:D,4,0)</f>
        <v>Endothelin</v>
      </c>
      <c r="BB178" s="27" t="b">
        <f t="shared" si="812"/>
        <v>1</v>
      </c>
      <c r="BC178" s="2"/>
      <c r="BD178" s="34" t="s">
        <v>23</v>
      </c>
      <c r="BE178" s="3" t="s">
        <v>23</v>
      </c>
      <c r="BF178" s="119" t="s">
        <v>23</v>
      </c>
      <c r="BG178" s="49" t="s">
        <v>1373</v>
      </c>
      <c r="BH178" s="49" t="s">
        <v>1378</v>
      </c>
      <c r="BI178" s="2"/>
      <c r="BJ178" s="70"/>
      <c r="BU178" s="57"/>
      <c r="BV178" s="70"/>
      <c r="BW178" s="57"/>
      <c r="BX178" s="57"/>
      <c r="BY178" s="57"/>
      <c r="BZ178" s="57"/>
      <c r="CA178" s="57"/>
      <c r="CB178" s="57"/>
      <c r="CC178" s="57"/>
      <c r="CD178" s="57"/>
      <c r="CE178" s="57"/>
      <c r="CF178" s="57"/>
      <c r="CG178" s="57"/>
      <c r="CH178" s="70"/>
      <c r="CI178" s="57"/>
      <c r="CJ178" s="57"/>
      <c r="CK178" s="57"/>
      <c r="CL178" s="57"/>
      <c r="CM178" s="57"/>
      <c r="CN178" s="57"/>
      <c r="CO178" s="57"/>
      <c r="CP178" s="57"/>
      <c r="CQ178" s="57"/>
      <c r="CR178" s="57"/>
      <c r="CS178" s="57"/>
      <c r="CT178" s="2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29" x14ac:dyDescent="0.2">
      <c r="A179" s="3" t="str">
        <f t="shared" si="811"/>
        <v>ednrb_human_5GLH</v>
      </c>
      <c r="B179" s="2" t="s">
        <v>196</v>
      </c>
      <c r="C179" s="2" t="s">
        <v>1329</v>
      </c>
      <c r="D179" s="3" t="str">
        <f>IFERROR(MID(VLOOKUP($B179,Seqs!$A:$B,2,0),E179,1),"")</f>
        <v>K</v>
      </c>
      <c r="E179" s="2">
        <v>97</v>
      </c>
      <c r="F179" s="3" t="str">
        <f>IFERROR(MID(VLOOKUP($B179,Seqs!$A:$B,2,0),G179,1),"")</f>
        <v>N</v>
      </c>
      <c r="G179" s="2">
        <v>129</v>
      </c>
      <c r="H179" s="3" t="str">
        <f>IFERROR(MID(VLOOKUP($B179,Seqs!$A:$B,2,0),I179,1),"")</f>
        <v/>
      </c>
      <c r="I179" s="56" t="s">
        <v>23</v>
      </c>
      <c r="J179" s="3" t="str">
        <f>IFERROR(MID(VLOOKUP($B179,Seqs!$A:$B,2,0),K179,1),"")</f>
        <v/>
      </c>
      <c r="K179" s="56" t="s">
        <v>23</v>
      </c>
      <c r="L179" s="3" t="str">
        <f>IFERROR(MID(VLOOKUP($B179,Seqs!$A:$B,2,0),M179,1),"")</f>
        <v>P</v>
      </c>
      <c r="M179" s="2">
        <v>136</v>
      </c>
      <c r="N179" s="3" t="str">
        <f>IFERROR(MID(VLOOKUP($B179,Seqs!$A:$B,2,0),O179,1),"")</f>
        <v>A</v>
      </c>
      <c r="O179" s="2">
        <v>164</v>
      </c>
      <c r="P179" s="3" t="str">
        <f>IFERROR(MID(VLOOKUP($B179,Seqs!$A:$B,2,0),Q179,1),"")</f>
        <v>D</v>
      </c>
      <c r="Q179" s="2">
        <v>166</v>
      </c>
      <c r="R179" s="3" t="str">
        <f>IFERROR(MID(VLOOKUP($B179,Seqs!$A:$B,2,0),S179,1),"")</f>
        <v>F</v>
      </c>
      <c r="S179" s="2">
        <v>169</v>
      </c>
      <c r="T179" s="3" t="str">
        <f>IFERROR(MID(VLOOKUP($B179,Seqs!$A:$B,2,0),U179,1),"")</f>
        <v>G</v>
      </c>
      <c r="U179" s="4">
        <v>170</v>
      </c>
      <c r="V179" s="3" t="str">
        <f>IFERROR(MID(VLOOKUP($B179,Seqs!$A:$B,2,0),W179,1),"")</f>
        <v>S</v>
      </c>
      <c r="W179" s="2">
        <v>205</v>
      </c>
      <c r="X179" s="3" t="str">
        <f>IFERROR(MID(VLOOKUP($B179,Seqs!$A:$B,2,0),Y179,1),"")</f>
        <v/>
      </c>
      <c r="Y179" s="2" t="s">
        <v>23</v>
      </c>
      <c r="Z179" s="3" t="str">
        <f>IFERROR(MID(VLOOKUP($B179,Seqs!$A:$B,2,0),AA179,1),"")</f>
        <v/>
      </c>
      <c r="AA179" s="2" t="s">
        <v>23</v>
      </c>
      <c r="AB179" s="3" t="str">
        <f>IFERROR(MID(VLOOKUP($B179,Seqs!$A:$B,2,0),AC179,1),"")</f>
        <v>T</v>
      </c>
      <c r="AC179" s="40">
        <v>218</v>
      </c>
      <c r="AD179" s="3" t="str">
        <f>IFERROR(MID(VLOOKUP($B179,Seqs!$A:$B,2,0),AE179,1),"")</f>
        <v>F</v>
      </c>
      <c r="AE179" s="2">
        <v>240</v>
      </c>
      <c r="AF179" s="3" t="str">
        <f>IFERROR(MID(VLOOKUP($B179,Seqs!$A:$B,2,0),AG179,1),"")</f>
        <v>C</v>
      </c>
      <c r="AG179" s="2">
        <v>255</v>
      </c>
      <c r="AH179" s="3" t="str">
        <f>IFERROR(MID(VLOOKUP($B179,Seqs!$A:$B,2,0),AI179,1),"")</f>
        <v>L</v>
      </c>
      <c r="AI179" s="2">
        <v>257</v>
      </c>
      <c r="AJ179" s="3" t="str">
        <f>IFERROR(MID(VLOOKUP($B179,Seqs!$A:$B,2,0),AK179,1),"")</f>
        <v>T</v>
      </c>
      <c r="AK179" s="2">
        <v>263</v>
      </c>
      <c r="AL179" s="3" t="str">
        <f>IFERROR(MID(VLOOKUP($B179,Seqs!$A:$B,2,0),AM179,1),"")</f>
        <v>K</v>
      </c>
      <c r="AM179" s="2">
        <v>303</v>
      </c>
      <c r="AN179" s="3" t="str">
        <f>IFERROR(MID(VLOOKUP($B179,Seqs!$A:$B,2,0),AO179,1),"")</f>
        <v>N</v>
      </c>
      <c r="AO179" s="2">
        <v>312</v>
      </c>
      <c r="AP179" s="3" t="str">
        <f>IFERROR(MID(VLOOKUP($B179,Seqs!$A:$B,2,0),AQ179,1),"")</f>
        <v>Y</v>
      </c>
      <c r="AQ179" s="2">
        <v>350</v>
      </c>
      <c r="AR179" s="3" t="str">
        <f>IFERROR(MID(VLOOKUP($B179,Seqs!$A:$B,2,0),AS179,1),"")</f>
        <v>R</v>
      </c>
      <c r="AS179" s="2">
        <v>357</v>
      </c>
      <c r="AT179" s="3" t="str">
        <f>IFERROR(MID(VLOOKUP($B179,Seqs!$A:$B,2,0),AU179,1),"")</f>
        <v>V</v>
      </c>
      <c r="AU179" s="2">
        <v>389</v>
      </c>
      <c r="AV179" s="3" t="str">
        <f>IFERROR(MID(VLOOKUP($B179,Seqs!$A:$B,2,0),AW179,1),"")</f>
        <v>S</v>
      </c>
      <c r="AW179" s="2">
        <v>390</v>
      </c>
      <c r="AX179" s="3" t="str">
        <f>IFERROR(MID(VLOOKUP($B179,Seqs!$A:$B,2,0),AY179,1),"")</f>
        <v>L</v>
      </c>
      <c r="AY179" s="2">
        <v>401</v>
      </c>
      <c r="AZ179" s="77" t="str">
        <f>VLOOKUP(B179,Classification!A:D,2,0)</f>
        <v>A</v>
      </c>
      <c r="BA179" s="94" t="str">
        <f>VLOOKUP(B179,Classification!A:D,4,0)</f>
        <v>Endothelin</v>
      </c>
      <c r="BB179" s="27" t="b">
        <f t="shared" si="812"/>
        <v>1</v>
      </c>
      <c r="BC179" s="23">
        <f t="shared" ref="BC179:BC241" si="979">_xlfn.AGGREGATE(9,6,CH179:CS179)-_xlfn.AGGREGATE(9,6,BV179:CG179)+12</f>
        <v>255</v>
      </c>
      <c r="BD179" s="2" t="s">
        <v>23</v>
      </c>
      <c r="BE179" s="3" t="s">
        <v>1375</v>
      </c>
      <c r="BF179" s="119">
        <v>2.8</v>
      </c>
      <c r="BG179" s="49" t="s">
        <v>1378</v>
      </c>
      <c r="BH179" s="49" t="s">
        <v>1378</v>
      </c>
      <c r="BI179" s="2"/>
      <c r="BJ179" s="70" t="s">
        <v>1288</v>
      </c>
      <c r="BK179" s="57" t="s">
        <v>1288</v>
      </c>
      <c r="BL179" s="57" t="s">
        <v>1288</v>
      </c>
      <c r="BM179" s="57" t="s">
        <v>1288</v>
      </c>
      <c r="BN179" s="57" t="s">
        <v>1288</v>
      </c>
      <c r="BO179" s="57" t="s">
        <v>1288</v>
      </c>
      <c r="BP179" s="57" t="s">
        <v>1288</v>
      </c>
      <c r="BQ179" s="57" t="s">
        <v>1288</v>
      </c>
      <c r="BR179" s="57" t="s">
        <v>1288</v>
      </c>
      <c r="BS179" s="57" t="s">
        <v>1288</v>
      </c>
      <c r="BT179" s="57" t="s">
        <v>1288</v>
      </c>
      <c r="BU179" s="57" t="s">
        <v>1288</v>
      </c>
      <c r="BV179" s="70">
        <f t="shared" ref="BV179:BV241" si="980">E179</f>
        <v>97</v>
      </c>
      <c r="BW179" s="71" t="str">
        <f t="shared" ref="BW179:BW241" si="981">I179</f>
        <v>-</v>
      </c>
      <c r="BX179" s="72">
        <f t="shared" ref="BX179:BX241" si="982">M179</f>
        <v>136</v>
      </c>
      <c r="BY179" s="71">
        <f t="shared" ref="BY179:BY241" si="983">Q179</f>
        <v>166</v>
      </c>
      <c r="BZ179" s="72">
        <f t="shared" ref="BZ179:BZ241" si="984">U179</f>
        <v>170</v>
      </c>
      <c r="CA179" s="71" t="str">
        <f t="shared" ref="CA179:CA241" si="985">Y179</f>
        <v>-</v>
      </c>
      <c r="CB179" s="72">
        <f t="shared" ref="CB179:CB241" si="986">AC179</f>
        <v>218</v>
      </c>
      <c r="CC179" s="71">
        <f t="shared" ref="CC179:CC241" si="987">AG179</f>
        <v>255</v>
      </c>
      <c r="CD179" s="72">
        <f t="shared" ref="CD179:CD241" si="988">AK179</f>
        <v>263</v>
      </c>
      <c r="CE179" s="71">
        <f t="shared" ref="CE179:CE241" si="989">AO179</f>
        <v>312</v>
      </c>
      <c r="CF179" s="72">
        <f t="shared" ref="CF179:CF241" si="990">AS179</f>
        <v>357</v>
      </c>
      <c r="CG179" s="71">
        <f t="shared" ref="CG179:CG241" si="991">AW179</f>
        <v>390</v>
      </c>
      <c r="CH179" s="70">
        <f t="shared" ref="CH179:CH241" si="992">G179</f>
        <v>129</v>
      </c>
      <c r="CI179" s="71" t="str">
        <f t="shared" ref="CI179:CI241" si="993">K179</f>
        <v>-</v>
      </c>
      <c r="CJ179" s="72">
        <f t="shared" ref="CJ179:CJ241" si="994">O179</f>
        <v>164</v>
      </c>
      <c r="CK179" s="72">
        <f t="shared" ref="CK179:CK241" si="995">S179</f>
        <v>169</v>
      </c>
      <c r="CL179" s="72">
        <f t="shared" ref="CL179:CL241" si="996">W179</f>
        <v>205</v>
      </c>
      <c r="CM179" s="72" t="str">
        <f t="shared" ref="CM179:CM241" si="997">AA179</f>
        <v>-</v>
      </c>
      <c r="CN179" s="72">
        <f t="shared" ref="CN179:CN241" si="998">AE179</f>
        <v>240</v>
      </c>
      <c r="CO179" s="72">
        <f t="shared" ref="CO179:CO241" si="999">AI179</f>
        <v>257</v>
      </c>
      <c r="CP179" s="72">
        <f t="shared" ref="CP179:CP241" si="1000">AM179</f>
        <v>303</v>
      </c>
      <c r="CQ179" s="72">
        <f t="shared" ref="CQ179:CQ241" si="1001">AQ179</f>
        <v>350</v>
      </c>
      <c r="CR179" s="72">
        <f t="shared" ref="CR179:CR241" si="1002">AU179</f>
        <v>389</v>
      </c>
      <c r="CS179" s="72">
        <f t="shared" ref="CS179:CS241" si="1003">AY179</f>
        <v>401</v>
      </c>
      <c r="CT179" s="23" t="e">
        <f t="shared" ref="CT179:CT241" si="1004">M179-K179</f>
        <v>#VALUE!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29" x14ac:dyDescent="0.2">
      <c r="A180" s="3" t="str">
        <f t="shared" si="811"/>
        <v>ednrb_human_5GLI</v>
      </c>
      <c r="B180" s="2" t="s">
        <v>196</v>
      </c>
      <c r="C180" s="2" t="s">
        <v>1328</v>
      </c>
      <c r="D180" s="3" t="str">
        <f>IFERROR(MID(VLOOKUP($B180,Seqs!$A:$B,2,0),E180,1),"")</f>
        <v>Q</v>
      </c>
      <c r="E180" s="2">
        <v>91</v>
      </c>
      <c r="F180" s="3" t="str">
        <f>IFERROR(MID(VLOOKUP($B180,Seqs!$A:$B,2,0),G180,1),"")</f>
        <v>N</v>
      </c>
      <c r="G180" s="2">
        <v>129</v>
      </c>
      <c r="H180" s="3" t="str">
        <f>IFERROR(MID(VLOOKUP($B180,Seqs!$A:$B,2,0),I180,1),"")</f>
        <v>K</v>
      </c>
      <c r="I180" s="56">
        <v>130</v>
      </c>
      <c r="J180" s="3" t="str">
        <f>IFERROR(MID(VLOOKUP($B180,Seqs!$A:$B,2,0),K180,1),"")</f>
        <v>N</v>
      </c>
      <c r="K180" s="56">
        <v>134</v>
      </c>
      <c r="L180" s="3" t="str">
        <f>IFERROR(MID(VLOOKUP($B180,Seqs!$A:$B,2,0),M180,1),"")</f>
        <v>G</v>
      </c>
      <c r="M180" s="2">
        <v>135</v>
      </c>
      <c r="N180" s="3" t="str">
        <f>IFERROR(MID(VLOOKUP($B180,Seqs!$A:$B,2,0),O180,1),"")</f>
        <v>A</v>
      </c>
      <c r="O180" s="2">
        <v>164</v>
      </c>
      <c r="P180" s="3" t="str">
        <f>IFERROR(MID(VLOOKUP($B180,Seqs!$A:$B,2,0),Q180,1),"")</f>
        <v>D</v>
      </c>
      <c r="Q180" s="2">
        <v>166</v>
      </c>
      <c r="R180" s="3" t="str">
        <f>IFERROR(MID(VLOOKUP($B180,Seqs!$A:$B,2,0),S180,1),"")</f>
        <v>F</v>
      </c>
      <c r="S180" s="2">
        <v>169</v>
      </c>
      <c r="T180" s="3" t="str">
        <f>IFERROR(MID(VLOOKUP($B180,Seqs!$A:$B,2,0),U180,1),"")</f>
        <v>G</v>
      </c>
      <c r="U180" s="4">
        <v>170</v>
      </c>
      <c r="V180" s="3" t="str">
        <f>IFERROR(MID(VLOOKUP($B180,Seqs!$A:$B,2,0),W180,1),"")</f>
        <v>S</v>
      </c>
      <c r="W180" s="2">
        <v>205</v>
      </c>
      <c r="X180" s="3" t="str">
        <f>IFERROR(MID(VLOOKUP($B180,Seqs!$A:$B,2,0),Y180,1),"")</f>
        <v/>
      </c>
      <c r="Y180" s="2" t="s">
        <v>23</v>
      </c>
      <c r="Z180" s="3" t="str">
        <f>IFERROR(MID(VLOOKUP($B180,Seqs!$A:$B,2,0),AA180,1),"")</f>
        <v/>
      </c>
      <c r="AA180" s="2" t="s">
        <v>23</v>
      </c>
      <c r="AB180" s="3" t="str">
        <f>IFERROR(MID(VLOOKUP($B180,Seqs!$A:$B,2,0),AC180,1),"")</f>
        <v>K</v>
      </c>
      <c r="AC180" s="40">
        <v>216</v>
      </c>
      <c r="AD180" s="3" t="str">
        <f>IFERROR(MID(VLOOKUP($B180,Seqs!$A:$B,2,0),AE180,1),"")</f>
        <v>F</v>
      </c>
      <c r="AE180" s="2">
        <v>240</v>
      </c>
      <c r="AF180" s="3" t="str">
        <f>IFERROR(MID(VLOOKUP($B180,Seqs!$A:$B,2,0),AG180,1),"")</f>
        <v>C</v>
      </c>
      <c r="AG180" s="2">
        <v>255</v>
      </c>
      <c r="AH180" s="3" t="str">
        <f>IFERROR(MID(VLOOKUP($B180,Seqs!$A:$B,2,0),AI180,1),"")</f>
        <v>L</v>
      </c>
      <c r="AI180" s="2">
        <v>257</v>
      </c>
      <c r="AJ180" s="3" t="str">
        <f>IFERROR(MID(VLOOKUP($B180,Seqs!$A:$B,2,0),AK180,1),"")</f>
        <v>T</v>
      </c>
      <c r="AK180" s="2">
        <v>263</v>
      </c>
      <c r="AL180" s="3" t="str">
        <f>IFERROR(MID(VLOOKUP($B180,Seqs!$A:$B,2,0),AM180,1),"")</f>
        <v>K</v>
      </c>
      <c r="AM180" s="2">
        <v>303</v>
      </c>
      <c r="AN180" s="3" t="str">
        <f>IFERROR(MID(VLOOKUP($B180,Seqs!$A:$B,2,0),AO180,1),"")</f>
        <v>N</v>
      </c>
      <c r="AO180" s="2">
        <v>312</v>
      </c>
      <c r="AP180" s="3" t="str">
        <f>IFERROR(MID(VLOOKUP($B180,Seqs!$A:$B,2,0),AQ180,1),"")</f>
        <v>Y</v>
      </c>
      <c r="AQ180" s="2">
        <v>350</v>
      </c>
      <c r="AR180" s="3" t="str">
        <f>IFERROR(MID(VLOOKUP($B180,Seqs!$A:$B,2,0),AS180,1),"")</f>
        <v>R</v>
      </c>
      <c r="AS180" s="2">
        <v>357</v>
      </c>
      <c r="AT180" s="3" t="str">
        <f>IFERROR(MID(VLOOKUP($B180,Seqs!$A:$B,2,0),AU180,1),"")</f>
        <v>V</v>
      </c>
      <c r="AU180" s="2">
        <v>389</v>
      </c>
      <c r="AV180" s="3" t="str">
        <f>IFERROR(MID(VLOOKUP($B180,Seqs!$A:$B,2,0),AW180,1),"")</f>
        <v>S</v>
      </c>
      <c r="AW180" s="2">
        <v>390</v>
      </c>
      <c r="AX180" s="3" t="str">
        <f>IFERROR(MID(VLOOKUP($B180,Seqs!$A:$B,2,0),AY180,1),"")</f>
        <v>C</v>
      </c>
      <c r="AY180" s="2">
        <v>403</v>
      </c>
      <c r="AZ180" s="77" t="str">
        <f>VLOOKUP(B180,Classification!A:D,2,0)</f>
        <v>A</v>
      </c>
      <c r="BA180" s="94" t="str">
        <f>VLOOKUP(B180,Classification!A:D,4,0)</f>
        <v>Endothelin</v>
      </c>
      <c r="BB180" s="27" t="b">
        <f t="shared" si="812"/>
        <v>1</v>
      </c>
      <c r="BC180" s="23">
        <f t="shared" si="979"/>
        <v>270</v>
      </c>
      <c r="BD180" s="2" t="s">
        <v>23</v>
      </c>
      <c r="BE180" s="3" t="s">
        <v>1375</v>
      </c>
      <c r="BF180" s="119">
        <v>2.5</v>
      </c>
      <c r="BG180" s="49" t="s">
        <v>1378</v>
      </c>
      <c r="BH180" s="49" t="s">
        <v>1378</v>
      </c>
      <c r="BI180" s="2"/>
      <c r="BJ180" s="70" t="s">
        <v>1288</v>
      </c>
      <c r="BK180" s="57" t="s">
        <v>1288</v>
      </c>
      <c r="BL180" s="57" t="s">
        <v>1288</v>
      </c>
      <c r="BM180" s="57" t="s">
        <v>1288</v>
      </c>
      <c r="BN180" s="57" t="s">
        <v>1288</v>
      </c>
      <c r="BO180" s="57" t="s">
        <v>1288</v>
      </c>
      <c r="BP180" s="57" t="s">
        <v>1288</v>
      </c>
      <c r="BQ180" s="57" t="s">
        <v>1288</v>
      </c>
      <c r="BR180" s="57" t="s">
        <v>1288</v>
      </c>
      <c r="BS180" s="57" t="s">
        <v>1288</v>
      </c>
      <c r="BT180" s="57" t="s">
        <v>1288</v>
      </c>
      <c r="BU180" s="57" t="s">
        <v>1288</v>
      </c>
      <c r="BV180" s="70">
        <f t="shared" si="980"/>
        <v>91</v>
      </c>
      <c r="BW180" s="71">
        <f t="shared" si="981"/>
        <v>130</v>
      </c>
      <c r="BX180" s="72">
        <f t="shared" si="982"/>
        <v>135</v>
      </c>
      <c r="BY180" s="71">
        <f t="shared" si="983"/>
        <v>166</v>
      </c>
      <c r="BZ180" s="72">
        <f t="shared" si="984"/>
        <v>170</v>
      </c>
      <c r="CA180" s="71" t="str">
        <f t="shared" si="985"/>
        <v>-</v>
      </c>
      <c r="CB180" s="72">
        <f t="shared" si="986"/>
        <v>216</v>
      </c>
      <c r="CC180" s="71">
        <f t="shared" si="987"/>
        <v>255</v>
      </c>
      <c r="CD180" s="72">
        <f t="shared" si="988"/>
        <v>263</v>
      </c>
      <c r="CE180" s="71">
        <f t="shared" si="989"/>
        <v>312</v>
      </c>
      <c r="CF180" s="72">
        <f t="shared" si="990"/>
        <v>357</v>
      </c>
      <c r="CG180" s="71">
        <f t="shared" si="991"/>
        <v>390</v>
      </c>
      <c r="CH180" s="70">
        <f t="shared" si="992"/>
        <v>129</v>
      </c>
      <c r="CI180" s="71">
        <f t="shared" si="993"/>
        <v>134</v>
      </c>
      <c r="CJ180" s="72">
        <f t="shared" si="994"/>
        <v>164</v>
      </c>
      <c r="CK180" s="72">
        <f t="shared" si="995"/>
        <v>169</v>
      </c>
      <c r="CL180" s="72">
        <f t="shared" si="996"/>
        <v>205</v>
      </c>
      <c r="CM180" s="72" t="str">
        <f t="shared" si="997"/>
        <v>-</v>
      </c>
      <c r="CN180" s="72">
        <f t="shared" si="998"/>
        <v>240</v>
      </c>
      <c r="CO180" s="72">
        <f t="shared" si="999"/>
        <v>257</v>
      </c>
      <c r="CP180" s="72">
        <f t="shared" si="1000"/>
        <v>303</v>
      </c>
      <c r="CQ180" s="72">
        <f t="shared" si="1001"/>
        <v>350</v>
      </c>
      <c r="CR180" s="72">
        <f t="shared" si="1002"/>
        <v>389</v>
      </c>
      <c r="CS180" s="72">
        <f t="shared" si="1003"/>
        <v>403</v>
      </c>
      <c r="CT180" s="23">
        <f t="shared" si="1004"/>
        <v>1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29" x14ac:dyDescent="0.2">
      <c r="A181" s="3" t="str">
        <f>CONCATENATE(B181,"_",C181)</f>
        <v>ednrb_human_5X93</v>
      </c>
      <c r="B181" s="2" t="s">
        <v>196</v>
      </c>
      <c r="C181" s="2" t="s">
        <v>1439</v>
      </c>
      <c r="D181" s="3" t="str">
        <f>IFERROR(MID(VLOOKUP($B181,Seqs!$A:$B,2,0),E181,1),"")</f>
        <v>Q</v>
      </c>
      <c r="E181" s="2">
        <v>91</v>
      </c>
      <c r="F181" s="3" t="str">
        <f>IFERROR(MID(VLOOKUP($B181,Seqs!$A:$B,2,0),G181,1),"")</f>
        <v>N</v>
      </c>
      <c r="G181" s="2">
        <v>129</v>
      </c>
      <c r="H181" s="3" t="str">
        <f>IFERROR(MID(VLOOKUP($B181,Seqs!$A:$B,2,0),I181,1),"")</f>
        <v>K</v>
      </c>
      <c r="I181" s="56">
        <v>130</v>
      </c>
      <c r="J181" s="3" t="str">
        <f>IFERROR(MID(VLOOKUP($B181,Seqs!$A:$B,2,0),K181,1),"")</f>
        <v>N</v>
      </c>
      <c r="K181" s="56">
        <v>134</v>
      </c>
      <c r="L181" s="3" t="str">
        <f>IFERROR(MID(VLOOKUP($B181,Seqs!$A:$B,2,0),M181,1),"")</f>
        <v>G</v>
      </c>
      <c r="M181" s="2">
        <v>135</v>
      </c>
      <c r="N181" s="3" t="str">
        <f>IFERROR(MID(VLOOKUP($B181,Seqs!$A:$B,2,0),O181,1),"")</f>
        <v>A</v>
      </c>
      <c r="O181" s="2">
        <v>164</v>
      </c>
      <c r="P181" s="3" t="str">
        <f>IFERROR(MID(VLOOKUP($B181,Seqs!$A:$B,2,0),Q181,1),"")</f>
        <v>D</v>
      </c>
      <c r="Q181" s="2">
        <v>166</v>
      </c>
      <c r="R181" s="3" t="str">
        <f>IFERROR(MID(VLOOKUP($B181,Seqs!$A:$B,2,0),S181,1),"")</f>
        <v>F</v>
      </c>
      <c r="S181" s="2">
        <v>169</v>
      </c>
      <c r="T181" s="3" t="str">
        <f>IFERROR(MID(VLOOKUP($B181,Seqs!$A:$B,2,0),U181,1),"")</f>
        <v>G</v>
      </c>
      <c r="U181" s="4">
        <v>170</v>
      </c>
      <c r="V181" s="3" t="str">
        <f>IFERROR(MID(VLOOKUP($B181,Seqs!$A:$B,2,0),W181,1),"")</f>
        <v>S</v>
      </c>
      <c r="W181" s="2">
        <v>205</v>
      </c>
      <c r="X181" s="3" t="str">
        <f>IFERROR(MID(VLOOKUP($B181,Seqs!$A:$B,2,0),Y181,1),"")</f>
        <v/>
      </c>
      <c r="Y181" s="2" t="s">
        <v>23</v>
      </c>
      <c r="Z181" s="3" t="str">
        <f>IFERROR(MID(VLOOKUP($B181,Seqs!$A:$B,2,0),AA181,1),"")</f>
        <v/>
      </c>
      <c r="AA181" s="2" t="s">
        <v>23</v>
      </c>
      <c r="AB181" s="3" t="str">
        <f>IFERROR(MID(VLOOKUP($B181,Seqs!$A:$B,2,0),AC181,1),"")</f>
        <v>K</v>
      </c>
      <c r="AC181" s="2">
        <v>216</v>
      </c>
      <c r="AD181" s="3" t="str">
        <f>IFERROR(MID(VLOOKUP($B181,Seqs!$A:$B,2,0),AE181,1),"")</f>
        <v>F</v>
      </c>
      <c r="AE181" s="2">
        <v>240</v>
      </c>
      <c r="AF181" s="3" t="str">
        <f>IFERROR(MID(VLOOKUP($B181,Seqs!$A:$B,2,0),AG181,1),"")</f>
        <v>C</v>
      </c>
      <c r="AG181" s="2">
        <v>255</v>
      </c>
      <c r="AH181" s="3" t="str">
        <f>IFERROR(MID(VLOOKUP($B181,Seqs!$A:$B,2,0),AI181,1),"")</f>
        <v>L</v>
      </c>
      <c r="AI181" s="2">
        <v>257</v>
      </c>
      <c r="AJ181" s="3" t="str">
        <f>IFERROR(MID(VLOOKUP($B181,Seqs!$A:$B,2,0),AK181,1),"")</f>
        <v>T</v>
      </c>
      <c r="AK181" s="2">
        <v>263</v>
      </c>
      <c r="AL181" s="3" t="str">
        <f>IFERROR(MID(VLOOKUP($B181,Seqs!$A:$B,2,0),AM181,1),"")</f>
        <v>K</v>
      </c>
      <c r="AM181" s="2">
        <v>303</v>
      </c>
      <c r="AN181" s="3" t="str">
        <f>IFERROR(MID(VLOOKUP($B181,Seqs!$A:$B,2,0),AO181,1),"")</f>
        <v>N</v>
      </c>
      <c r="AO181" s="2">
        <v>312</v>
      </c>
      <c r="AP181" s="3" t="str">
        <f>IFERROR(MID(VLOOKUP($B181,Seqs!$A:$B,2,0),AQ181,1),"")</f>
        <v>Y</v>
      </c>
      <c r="AQ181" s="2">
        <v>350</v>
      </c>
      <c r="AR181" s="3" t="str">
        <f>IFERROR(MID(VLOOKUP($B181,Seqs!$A:$B,2,0),AS181,1),"")</f>
        <v>R</v>
      </c>
      <c r="AS181" s="2">
        <v>357</v>
      </c>
      <c r="AT181" s="3" t="str">
        <f>IFERROR(MID(VLOOKUP($B181,Seqs!$A:$B,2,0),AU181,1),"")</f>
        <v>V</v>
      </c>
      <c r="AU181" s="2">
        <v>389</v>
      </c>
      <c r="AV181" s="3" t="str">
        <f>IFERROR(MID(VLOOKUP($B181,Seqs!$A:$B,2,0),AW181,1),"")</f>
        <v>S</v>
      </c>
      <c r="AW181" s="2">
        <v>390</v>
      </c>
      <c r="AX181" s="3" t="str">
        <f>IFERROR(MID(VLOOKUP($B181,Seqs!$A:$B,2,0),AY181,1),"")</f>
        <v>C</v>
      </c>
      <c r="AY181" s="2">
        <v>403</v>
      </c>
      <c r="AZ181" s="77" t="str">
        <f>VLOOKUP(B181,Classification!A:D,2,0)</f>
        <v>A</v>
      </c>
      <c r="BA181" s="94" t="str">
        <f>VLOOKUP(B181,Classification!A:D,4,0)</f>
        <v>Endothelin</v>
      </c>
      <c r="BB181" s="27" t="b">
        <f>AND(E181&lt;G181,OR(G181&lt;I181,I181="-"),OR(I181&lt;K181,I181="-"),OR(K181&lt;M181,K181="-"),M181&lt;O181,OR(O181&lt;Q181,Q181="-"),OR(Q181&lt;S181,Q181="-"),OR(S181&lt;U181,S181="-"),U181&lt;W181,OR(W181&lt;Y181,Y181="-"),OR(Y181&lt;AA181,Y181="-"),OR(AA181&lt;AC181,AA181="-"),AC181&lt;AE181,OR(AE181&lt;AG181,AG181="-"),OR(AG181&lt;AI181,AG181="-"),OR(AI181&lt;AK181,AI181="-"),AK181&lt;AM181,AM181&lt;AO181,AO181&lt;AQ181,AQ181&lt;AS181,AS181&lt;AU181,OR(AU181&lt;AW181,AW181="-"),OR(AW181&lt;AY181,AW181="-"))</f>
        <v>1</v>
      </c>
      <c r="BC181" s="23">
        <f>_xlfn.AGGREGATE(9,6,CH181:CS181)-_xlfn.AGGREGATE(9,6,BV181:CG181)+12</f>
        <v>270</v>
      </c>
      <c r="BD181" s="2" t="s">
        <v>1377</v>
      </c>
      <c r="BE181" s="3" t="s">
        <v>1375</v>
      </c>
      <c r="BF181" s="119">
        <v>2.2000000000000002</v>
      </c>
      <c r="BG181" s="49" t="s">
        <v>1</v>
      </c>
      <c r="BH181" s="49" t="s">
        <v>1</v>
      </c>
      <c r="BI181" s="2"/>
      <c r="BJ181" s="70" t="s">
        <v>1288</v>
      </c>
      <c r="BK181" s="57" t="s">
        <v>1288</v>
      </c>
      <c r="BL181" s="57" t="s">
        <v>1288</v>
      </c>
      <c r="BM181" s="57" t="s">
        <v>1288</v>
      </c>
      <c r="BN181" s="57" t="s">
        <v>1288</v>
      </c>
      <c r="BO181" s="57" t="s">
        <v>1288</v>
      </c>
      <c r="BP181" s="57" t="s">
        <v>1288</v>
      </c>
      <c r="BQ181" s="57" t="s">
        <v>1288</v>
      </c>
      <c r="BR181" s="57" t="s">
        <v>1288</v>
      </c>
      <c r="BS181" s="57" t="s">
        <v>1288</v>
      </c>
      <c r="BT181" s="57" t="s">
        <v>1288</v>
      </c>
      <c r="BU181" s="57" t="s">
        <v>1288</v>
      </c>
      <c r="BV181" s="70">
        <f>E181</f>
        <v>91</v>
      </c>
      <c r="BW181" s="71">
        <f>I181</f>
        <v>130</v>
      </c>
      <c r="BX181" s="72">
        <f>M181</f>
        <v>135</v>
      </c>
      <c r="BY181" s="71">
        <f>Q181</f>
        <v>166</v>
      </c>
      <c r="BZ181" s="72">
        <f>U181</f>
        <v>170</v>
      </c>
      <c r="CA181" s="71" t="str">
        <f>Y181</f>
        <v>-</v>
      </c>
      <c r="CB181" s="72">
        <f>AC181</f>
        <v>216</v>
      </c>
      <c r="CC181" s="71">
        <f>AG181</f>
        <v>255</v>
      </c>
      <c r="CD181" s="72">
        <f>AK181</f>
        <v>263</v>
      </c>
      <c r="CE181" s="71">
        <f>AO181</f>
        <v>312</v>
      </c>
      <c r="CF181" s="72">
        <f>AS181</f>
        <v>357</v>
      </c>
      <c r="CG181" s="71">
        <f>AW181</f>
        <v>390</v>
      </c>
      <c r="CH181" s="70">
        <f>G181</f>
        <v>129</v>
      </c>
      <c r="CI181" s="71">
        <f>K181</f>
        <v>134</v>
      </c>
      <c r="CJ181" s="72">
        <f>O181</f>
        <v>164</v>
      </c>
      <c r="CK181" s="72">
        <f>S181</f>
        <v>169</v>
      </c>
      <c r="CL181" s="72">
        <f>W181</f>
        <v>205</v>
      </c>
      <c r="CM181" s="72" t="str">
        <f>AA181</f>
        <v>-</v>
      </c>
      <c r="CN181" s="72">
        <f>AE181</f>
        <v>240</v>
      </c>
      <c r="CO181" s="72">
        <f>AI181</f>
        <v>257</v>
      </c>
      <c r="CP181" s="72">
        <f>AM181</f>
        <v>303</v>
      </c>
      <c r="CQ181" s="72">
        <f>AQ181</f>
        <v>350</v>
      </c>
      <c r="CR181" s="72">
        <f>AU181</f>
        <v>389</v>
      </c>
      <c r="CS181" s="72">
        <f>AY181</f>
        <v>403</v>
      </c>
      <c r="CT181" s="23">
        <f>M181-K181</f>
        <v>1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29" x14ac:dyDescent="0.2">
      <c r="A182" s="3" t="str">
        <f>CONCATENATE(B182,"_",C182)</f>
        <v>ednrb_human_5XPR</v>
      </c>
      <c r="B182" s="2" t="s">
        <v>196</v>
      </c>
      <c r="C182" s="2" t="s">
        <v>1440</v>
      </c>
      <c r="D182" s="3" t="str">
        <f>IFERROR(MID(VLOOKUP($B182,Seqs!$A:$B,2,0),E182,1),"")</f>
        <v>G</v>
      </c>
      <c r="E182" s="2">
        <v>92</v>
      </c>
      <c r="F182" s="3" t="str">
        <f>IFERROR(MID(VLOOKUP($B182,Seqs!$A:$B,2,0),G182,1),"")</f>
        <v>N</v>
      </c>
      <c r="G182" s="2">
        <v>129</v>
      </c>
      <c r="H182" s="3" t="str">
        <f>IFERROR(MID(VLOOKUP($B182,Seqs!$A:$B,2,0),I182,1),"")</f>
        <v>K</v>
      </c>
      <c r="I182" s="56">
        <v>130</v>
      </c>
      <c r="J182" s="3" t="str">
        <f>IFERROR(MID(VLOOKUP($B182,Seqs!$A:$B,2,0),K182,1),"")</f>
        <v>N</v>
      </c>
      <c r="K182" s="56">
        <v>134</v>
      </c>
      <c r="L182" s="3" t="str">
        <f>IFERROR(MID(VLOOKUP($B182,Seqs!$A:$B,2,0),M182,1),"")</f>
        <v>G</v>
      </c>
      <c r="M182" s="2">
        <v>135</v>
      </c>
      <c r="N182" s="3" t="str">
        <f>IFERROR(MID(VLOOKUP($B182,Seqs!$A:$B,2,0),O182,1),"")</f>
        <v>A</v>
      </c>
      <c r="O182" s="2">
        <v>164</v>
      </c>
      <c r="P182" s="3" t="str">
        <f>IFERROR(MID(VLOOKUP($B182,Seqs!$A:$B,2,0),Q182,1),"")</f>
        <v>D</v>
      </c>
      <c r="Q182" s="2">
        <v>166</v>
      </c>
      <c r="R182" s="3" t="str">
        <f>IFERROR(MID(VLOOKUP($B182,Seqs!$A:$B,2,0),S182,1),"")</f>
        <v>F</v>
      </c>
      <c r="S182" s="2">
        <v>169</v>
      </c>
      <c r="T182" s="3" t="str">
        <f>IFERROR(MID(VLOOKUP($B182,Seqs!$A:$B,2,0),U182,1),"")</f>
        <v>A</v>
      </c>
      <c r="U182" s="4">
        <v>171</v>
      </c>
      <c r="V182" s="3" t="str">
        <f>IFERROR(MID(VLOOKUP($B182,Seqs!$A:$B,2,0),W182,1),"")</f>
        <v>A</v>
      </c>
      <c r="W182" s="2">
        <v>202</v>
      </c>
      <c r="X182" s="3" t="str">
        <f>IFERROR(MID(VLOOKUP($B182,Seqs!$A:$B,2,0),Y182,1),"")</f>
        <v/>
      </c>
      <c r="Y182" s="2" t="s">
        <v>23</v>
      </c>
      <c r="Z182" s="3" t="str">
        <f>IFERROR(MID(VLOOKUP($B182,Seqs!$A:$B,2,0),AA182,1),"")</f>
        <v/>
      </c>
      <c r="AA182" s="2" t="s">
        <v>23</v>
      </c>
      <c r="AB182" s="3" t="str">
        <f>IFERROR(MID(VLOOKUP($B182,Seqs!$A:$B,2,0),AC182,1),"")</f>
        <v>K</v>
      </c>
      <c r="AC182" s="2">
        <v>216</v>
      </c>
      <c r="AD182" s="3" t="str">
        <f>IFERROR(MID(VLOOKUP($B182,Seqs!$A:$B,2,0),AE182,1),"")</f>
        <v>F</v>
      </c>
      <c r="AE182" s="2">
        <v>240</v>
      </c>
      <c r="AF182" s="3" t="str">
        <f>IFERROR(MID(VLOOKUP($B182,Seqs!$A:$B,2,0),AG182,1),"")</f>
        <v>C</v>
      </c>
      <c r="AG182" s="2">
        <v>255</v>
      </c>
      <c r="AH182" s="3" t="str">
        <f>IFERROR(MID(VLOOKUP($B182,Seqs!$A:$B,2,0),AI182,1),"")</f>
        <v>L</v>
      </c>
      <c r="AI182" s="2">
        <v>257</v>
      </c>
      <c r="AJ182" s="3" t="str">
        <f>IFERROR(MID(VLOOKUP($B182,Seqs!$A:$B,2,0),AK182,1),"")</f>
        <v>T</v>
      </c>
      <c r="AK182" s="2">
        <v>263</v>
      </c>
      <c r="AL182" s="3" t="str">
        <f>IFERROR(MID(VLOOKUP($B182,Seqs!$A:$B,2,0),AM182,1),"")</f>
        <v>K</v>
      </c>
      <c r="AM182" s="2">
        <v>303</v>
      </c>
      <c r="AN182" s="3" t="str">
        <f>IFERROR(MID(VLOOKUP($B182,Seqs!$A:$B,2,0),AO182,1),"")</f>
        <v>N</v>
      </c>
      <c r="AO182" s="2">
        <v>312</v>
      </c>
      <c r="AP182" s="3" t="str">
        <f>IFERROR(MID(VLOOKUP($B182,Seqs!$A:$B,2,0),AQ182,1),"")</f>
        <v>L</v>
      </c>
      <c r="AQ182" s="2">
        <v>349</v>
      </c>
      <c r="AR182" s="3" t="str">
        <f>IFERROR(MID(VLOOKUP($B182,Seqs!$A:$B,2,0),AS182,1),"")</f>
        <v>N</v>
      </c>
      <c r="AS182" s="2">
        <v>356</v>
      </c>
      <c r="AT182" s="3" t="str">
        <f>IFERROR(MID(VLOOKUP($B182,Seqs!$A:$B,2,0),AU182,1),"")</f>
        <v>V</v>
      </c>
      <c r="AU182" s="2">
        <v>389</v>
      </c>
      <c r="AV182" s="3" t="str">
        <f>IFERROR(MID(VLOOKUP($B182,Seqs!$A:$B,2,0),AW182,1),"")</f>
        <v>S</v>
      </c>
      <c r="AW182" s="2">
        <v>390</v>
      </c>
      <c r="AX182" s="3" t="str">
        <f>IFERROR(MID(VLOOKUP($B182,Seqs!$A:$B,2,0),AY182,1),"")</f>
        <v>C</v>
      </c>
      <c r="AY182" s="2">
        <v>402</v>
      </c>
      <c r="AZ182" s="77" t="str">
        <f>VLOOKUP(B182,Classification!A:D,2,0)</f>
        <v>A</v>
      </c>
      <c r="BA182" s="94" t="str">
        <f>VLOOKUP(B182,Classification!A:D,4,0)</f>
        <v>Endothelin</v>
      </c>
      <c r="BB182" s="27" t="b">
        <f>AND(E182&lt;G182,OR(G182&lt;I182,I182="-"),OR(I182&lt;K182,I182="-"),OR(K182&lt;M182,K182="-"),M182&lt;O182,OR(O182&lt;Q182,Q182="-"),OR(Q182&lt;S182,Q182="-"),OR(S182&lt;U182,S182="-"),U182&lt;W182,OR(W182&lt;Y182,Y182="-"),OR(Y182&lt;AA182,Y182="-"),OR(AA182&lt;AC182,AA182="-"),AC182&lt;AE182,OR(AE182&lt;AG182,AG182="-"),OR(AG182&lt;AI182,AG182="-"),OR(AI182&lt;AK182,AI182="-"),AK182&lt;AM182,AM182&lt;AO182,AO182&lt;AQ182,AQ182&lt;AS182,AS182&lt;AU182,OR(AU182&lt;AW182,AW182="-"),OR(AW182&lt;AY182,AW182="-"))</f>
        <v>1</v>
      </c>
      <c r="BC182" s="23">
        <f>_xlfn.AGGREGATE(9,6,CH182:CS182)-_xlfn.AGGREGATE(9,6,BV182:CG182)+12</f>
        <v>264</v>
      </c>
      <c r="BD182" s="2" t="s">
        <v>23</v>
      </c>
      <c r="BE182" s="3" t="s">
        <v>1375</v>
      </c>
      <c r="BF182" s="119">
        <v>3.6</v>
      </c>
      <c r="BG182" s="49" t="s">
        <v>1</v>
      </c>
      <c r="BH182" s="49" t="s">
        <v>1</v>
      </c>
      <c r="BI182" s="2"/>
      <c r="BJ182" s="70" t="s">
        <v>1288</v>
      </c>
      <c r="BK182" s="57" t="s">
        <v>1288</v>
      </c>
      <c r="BL182" s="57" t="s">
        <v>1288</v>
      </c>
      <c r="BM182" s="57" t="s">
        <v>1288</v>
      </c>
      <c r="BN182" s="57" t="s">
        <v>1288</v>
      </c>
      <c r="BO182" s="57" t="s">
        <v>1288</v>
      </c>
      <c r="BP182" s="57" t="s">
        <v>1288</v>
      </c>
      <c r="BQ182" s="57" t="s">
        <v>1288</v>
      </c>
      <c r="BR182" s="57" t="s">
        <v>1288</v>
      </c>
      <c r="BS182" s="57" t="s">
        <v>1288</v>
      </c>
      <c r="BT182" s="57" t="s">
        <v>1288</v>
      </c>
      <c r="BU182" s="57" t="s">
        <v>1288</v>
      </c>
      <c r="BV182" s="70">
        <f>E182</f>
        <v>92</v>
      </c>
      <c r="BW182" s="71">
        <f>I182</f>
        <v>130</v>
      </c>
      <c r="BX182" s="72">
        <f>M182</f>
        <v>135</v>
      </c>
      <c r="BY182" s="71">
        <f>Q182</f>
        <v>166</v>
      </c>
      <c r="BZ182" s="72">
        <f>U182</f>
        <v>171</v>
      </c>
      <c r="CA182" s="71" t="str">
        <f>Y182</f>
        <v>-</v>
      </c>
      <c r="CB182" s="72">
        <f>AC182</f>
        <v>216</v>
      </c>
      <c r="CC182" s="71">
        <f>AG182</f>
        <v>255</v>
      </c>
      <c r="CD182" s="72">
        <f>AK182</f>
        <v>263</v>
      </c>
      <c r="CE182" s="71">
        <f>AO182</f>
        <v>312</v>
      </c>
      <c r="CF182" s="72">
        <f>AS182</f>
        <v>356</v>
      </c>
      <c r="CG182" s="71">
        <f>AW182</f>
        <v>390</v>
      </c>
      <c r="CH182" s="70">
        <f>G182</f>
        <v>129</v>
      </c>
      <c r="CI182" s="71">
        <f>K182</f>
        <v>134</v>
      </c>
      <c r="CJ182" s="72">
        <f>O182</f>
        <v>164</v>
      </c>
      <c r="CK182" s="72">
        <f>S182</f>
        <v>169</v>
      </c>
      <c r="CL182" s="72">
        <f>W182</f>
        <v>202</v>
      </c>
      <c r="CM182" s="72" t="str">
        <f>AA182</f>
        <v>-</v>
      </c>
      <c r="CN182" s="72">
        <f>AE182</f>
        <v>240</v>
      </c>
      <c r="CO182" s="72">
        <f>AI182</f>
        <v>257</v>
      </c>
      <c r="CP182" s="72">
        <f>AM182</f>
        <v>303</v>
      </c>
      <c r="CQ182" s="72">
        <f>AQ182</f>
        <v>349</v>
      </c>
      <c r="CR182" s="72">
        <f>AU182</f>
        <v>389</v>
      </c>
      <c r="CS182" s="72">
        <f>AY182</f>
        <v>402</v>
      </c>
      <c r="CT182" s="23">
        <f>M182-K182</f>
        <v>1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29" s="12" customFormat="1" x14ac:dyDescent="0.2">
      <c r="A183" s="9" t="str">
        <f>CONCATENATE(B183,"_",C183)</f>
        <v>ednrb_human_6IGL</v>
      </c>
      <c r="B183" s="40" t="s">
        <v>196</v>
      </c>
      <c r="C183" s="40" t="s">
        <v>1529</v>
      </c>
      <c r="D183" s="9" t="str">
        <f>IFERROR(MID(VLOOKUP($B183,Seqs!$A:$B,2,0),E183,1),"")</f>
        <v>K</v>
      </c>
      <c r="E183" s="40">
        <v>97</v>
      </c>
      <c r="F183" s="9" t="str">
        <f>IFERROR(MID(VLOOKUP($B183,Seqs!$A:$B,2,0),G183,1),"")</f>
        <v>N</v>
      </c>
      <c r="G183" s="40">
        <v>129</v>
      </c>
      <c r="H183" s="9" t="str">
        <f>IFERROR(MID(VLOOKUP($B183,Seqs!$A:$B,2,0),I183,1),"")</f>
        <v/>
      </c>
      <c r="I183" s="130" t="s">
        <v>23</v>
      </c>
      <c r="J183" s="9" t="str">
        <f>IFERROR(MID(VLOOKUP($B183,Seqs!$A:$B,2,0),K183,1),"")</f>
        <v/>
      </c>
      <c r="K183" s="130" t="s">
        <v>23</v>
      </c>
      <c r="L183" s="9" t="str">
        <f>IFERROR(MID(VLOOKUP($B183,Seqs!$A:$B,2,0),M183,1),"")</f>
        <v>N</v>
      </c>
      <c r="M183" s="40">
        <v>134</v>
      </c>
      <c r="N183" s="9" t="str">
        <f>IFERROR(MID(VLOOKUP($B183,Seqs!$A:$B,2,0),O183,1),"")</f>
        <v>E</v>
      </c>
      <c r="O183" s="40">
        <v>165</v>
      </c>
      <c r="P183" s="9" t="str">
        <f>IFERROR(MID(VLOOKUP($B183,Seqs!$A:$B,2,0),Q183,1),"")</f>
        <v>D</v>
      </c>
      <c r="Q183" s="40">
        <v>166</v>
      </c>
      <c r="R183" s="9" t="str">
        <f>IFERROR(MID(VLOOKUP($B183,Seqs!$A:$B,2,0),S183,1),"")</f>
        <v>F</v>
      </c>
      <c r="S183" s="40">
        <v>169</v>
      </c>
      <c r="T183" s="9" t="str">
        <f>IFERROR(MID(VLOOKUP($B183,Seqs!$A:$B,2,0),U183,1),"")</f>
        <v>G</v>
      </c>
      <c r="U183" s="11">
        <v>170</v>
      </c>
      <c r="V183" s="9" t="str">
        <f>IFERROR(MID(VLOOKUP($B183,Seqs!$A:$B,2,0),W183,1),"")</f>
        <v>V</v>
      </c>
      <c r="W183" s="40">
        <v>203</v>
      </c>
      <c r="X183" s="9" t="str">
        <f>IFERROR(MID(VLOOKUP($B183,Seqs!$A:$B,2,0),Y183,1),"")</f>
        <v/>
      </c>
      <c r="Y183" s="40" t="s">
        <v>23</v>
      </c>
      <c r="Z183" s="9" t="str">
        <f>IFERROR(MID(VLOOKUP($B183,Seqs!$A:$B,2,0),AA183,1),"")</f>
        <v/>
      </c>
      <c r="AA183" s="40" t="s">
        <v>23</v>
      </c>
      <c r="AB183" s="9" t="str">
        <f>IFERROR(MID(VLOOKUP($B183,Seqs!$A:$B,2,0),AC183,1),"")</f>
        <v>W</v>
      </c>
      <c r="AC183" s="40">
        <v>217</v>
      </c>
      <c r="AD183" s="9" t="str">
        <f>IFERROR(MID(VLOOKUP($B183,Seqs!$A:$B,2,0),AE183,1),"")</f>
        <v>F</v>
      </c>
      <c r="AE183" s="40">
        <v>240</v>
      </c>
      <c r="AF183" s="9" t="str">
        <f>IFERROR(MID(VLOOKUP($B183,Seqs!$A:$B,2,0),AG183,1),"")</f>
        <v>C</v>
      </c>
      <c r="AG183" s="40">
        <v>255</v>
      </c>
      <c r="AH183" s="9" t="str">
        <f>IFERROR(MID(VLOOKUP($B183,Seqs!$A:$B,2,0),AI183,1),"")</f>
        <v>L</v>
      </c>
      <c r="AI183" s="40">
        <v>257</v>
      </c>
      <c r="AJ183" s="9" t="str">
        <f>IFERROR(MID(VLOOKUP($B183,Seqs!$A:$B,2,0),AK183,1),"")</f>
        <v>T</v>
      </c>
      <c r="AK183" s="40">
        <v>263</v>
      </c>
      <c r="AL183" s="9" t="str">
        <f>IFERROR(MID(VLOOKUP($B183,Seqs!$A:$B,2,0),AM183,1),"")</f>
        <v>K</v>
      </c>
      <c r="AM183" s="40">
        <v>303</v>
      </c>
      <c r="AN183" s="9" t="str">
        <f>IFERROR(MID(VLOOKUP($B183,Seqs!$A:$B,2,0),AO183,1),"")</f>
        <v>N</v>
      </c>
      <c r="AO183" s="40">
        <v>312</v>
      </c>
      <c r="AP183" s="9" t="str">
        <f>IFERROR(MID(VLOOKUP($B183,Seqs!$A:$B,2,0),AQ183,1),"")</f>
        <v>Y</v>
      </c>
      <c r="AQ183" s="40">
        <v>350</v>
      </c>
      <c r="AR183" s="9" t="str">
        <f>IFERROR(MID(VLOOKUP($B183,Seqs!$A:$B,2,0),AS183,1),"")</f>
        <v>R</v>
      </c>
      <c r="AS183" s="40">
        <v>357</v>
      </c>
      <c r="AT183" s="9" t="str">
        <f>IFERROR(MID(VLOOKUP($B183,Seqs!$A:$B,2,0),AU183,1),"")</f>
        <v>V</v>
      </c>
      <c r="AU183" s="40">
        <v>389</v>
      </c>
      <c r="AV183" s="9" t="str">
        <f>IFERROR(MID(VLOOKUP($B183,Seqs!$A:$B,2,0),AW183,1),"")</f>
        <v>S</v>
      </c>
      <c r="AW183" s="40">
        <v>390</v>
      </c>
      <c r="AX183" s="9" t="str">
        <f>IFERROR(MID(VLOOKUP($B183,Seqs!$A:$B,2,0),AY183,1),"")</f>
        <v>L</v>
      </c>
      <c r="AY183" s="40">
        <v>401</v>
      </c>
      <c r="AZ183" s="110" t="str">
        <f>VLOOKUP(B183,Classification!A:D,2,0)</f>
        <v>A</v>
      </c>
      <c r="BA183" s="98" t="str">
        <f>VLOOKUP(B183,Classification!A:D,4,0)</f>
        <v>Endothelin</v>
      </c>
      <c r="BB183" s="36" t="b">
        <f>AND(E183&lt;G183,OR(G183&lt;I183,I183="-"),OR(I183&lt;K183,I183="-"),OR(K183&lt;M183,K183="-"),M183&lt;O183,OR(O183&lt;Q183,Q183="-"),OR(Q183&lt;S183,Q183="-"),OR(S183&lt;U183,S183="-"),U183&lt;W183,OR(W183&lt;Y183,Y183="-"),OR(Y183&lt;AA183,Y183="-"),OR(AA183&lt;AC183,AA183="-"),AC183&lt;AE183,OR(AE183&lt;AG183,AG183="-"),OR(AG183&lt;AI183,AG183="-"),OR(AI183&lt;AK183,AI183="-"),AK183&lt;AM183,AM183&lt;AO183,AO183&lt;AQ183,AQ183&lt;AS183,AS183&lt;AU183,OR(AU183&lt;AW183,AW183="-"),OR(AW183&lt;AY183,AW183="-"))</f>
        <v>1</v>
      </c>
      <c r="BC183" s="109">
        <f>_xlfn.AGGREGATE(9,6,CH183:CS183)-_xlfn.AGGREGATE(9,6,BV183:CG183)+12</f>
        <v>257</v>
      </c>
      <c r="BD183" s="40" t="s">
        <v>23</v>
      </c>
      <c r="BE183" s="9" t="s">
        <v>1375</v>
      </c>
      <c r="BF183" s="120">
        <v>2.7</v>
      </c>
      <c r="BG183" s="51" t="s">
        <v>1</v>
      </c>
      <c r="BH183" s="51" t="s">
        <v>1</v>
      </c>
      <c r="BI183" s="40"/>
      <c r="BJ183" s="111" t="s">
        <v>1288</v>
      </c>
      <c r="BK183" s="112" t="s">
        <v>1288</v>
      </c>
      <c r="BL183" s="112" t="s">
        <v>1288</v>
      </c>
      <c r="BM183" s="112" t="s">
        <v>1288</v>
      </c>
      <c r="BN183" s="112" t="s">
        <v>1288</v>
      </c>
      <c r="BO183" s="112" t="s">
        <v>1288</v>
      </c>
      <c r="BP183" s="112" t="s">
        <v>1288</v>
      </c>
      <c r="BQ183" s="112" t="s">
        <v>1288</v>
      </c>
      <c r="BR183" s="112" t="s">
        <v>1288</v>
      </c>
      <c r="BS183" s="112" t="s">
        <v>1288</v>
      </c>
      <c r="BT183" s="112" t="s">
        <v>1288</v>
      </c>
      <c r="BU183" s="112" t="s">
        <v>1288</v>
      </c>
      <c r="BV183" s="111">
        <f>E183</f>
        <v>97</v>
      </c>
      <c r="BW183" s="113" t="str">
        <f>I183</f>
        <v>-</v>
      </c>
      <c r="BX183" s="114">
        <f>M183</f>
        <v>134</v>
      </c>
      <c r="BY183" s="113">
        <f>Q183</f>
        <v>166</v>
      </c>
      <c r="BZ183" s="114">
        <f>U183</f>
        <v>170</v>
      </c>
      <c r="CA183" s="113" t="str">
        <f>Y183</f>
        <v>-</v>
      </c>
      <c r="CB183" s="114">
        <f>AC183</f>
        <v>217</v>
      </c>
      <c r="CC183" s="113">
        <f>AG183</f>
        <v>255</v>
      </c>
      <c r="CD183" s="114">
        <f>AK183</f>
        <v>263</v>
      </c>
      <c r="CE183" s="113">
        <f>AO183</f>
        <v>312</v>
      </c>
      <c r="CF183" s="114">
        <f>AS183</f>
        <v>357</v>
      </c>
      <c r="CG183" s="113">
        <f>AW183</f>
        <v>390</v>
      </c>
      <c r="CH183" s="111">
        <f>G183</f>
        <v>129</v>
      </c>
      <c r="CI183" s="113" t="str">
        <f>K183</f>
        <v>-</v>
      </c>
      <c r="CJ183" s="114">
        <f>O183</f>
        <v>165</v>
      </c>
      <c r="CK183" s="114">
        <f>S183</f>
        <v>169</v>
      </c>
      <c r="CL183" s="114">
        <f>W183</f>
        <v>203</v>
      </c>
      <c r="CM183" s="114" t="str">
        <f>AA183</f>
        <v>-</v>
      </c>
      <c r="CN183" s="114">
        <f>AE183</f>
        <v>240</v>
      </c>
      <c r="CO183" s="114">
        <f>AI183</f>
        <v>257</v>
      </c>
      <c r="CP183" s="114">
        <f>AM183</f>
        <v>303</v>
      </c>
      <c r="CQ183" s="114">
        <f>AQ183</f>
        <v>350</v>
      </c>
      <c r="CR183" s="114">
        <f>AU183</f>
        <v>389</v>
      </c>
      <c r="CS183" s="114">
        <f>AY183</f>
        <v>401</v>
      </c>
      <c r="CT183" s="109" t="e">
        <f>M183-K183</f>
        <v>#VALUE!</v>
      </c>
    </row>
    <row r="184" spans="1:1029" s="12" customFormat="1" x14ac:dyDescent="0.2">
      <c r="A184" s="9" t="str">
        <f>CONCATENATE(B184,"_",C184)</f>
        <v>ednrb_human_6IGK</v>
      </c>
      <c r="B184" s="40" t="s">
        <v>196</v>
      </c>
      <c r="C184" s="40" t="s">
        <v>1530</v>
      </c>
      <c r="D184" s="9" t="str">
        <f>IFERROR(MID(VLOOKUP($B184,Seqs!$A:$B,2,0),E184,1),"")</f>
        <v>K</v>
      </c>
      <c r="E184" s="40">
        <v>97</v>
      </c>
      <c r="F184" s="9" t="str">
        <f>IFERROR(MID(VLOOKUP($B184,Seqs!$A:$B,2,0),G184,1),"")</f>
        <v>N</v>
      </c>
      <c r="G184" s="40">
        <v>129</v>
      </c>
      <c r="H184" s="9" t="str">
        <f>IFERROR(MID(VLOOKUP($B184,Seqs!$A:$B,2,0),I184,1),"")</f>
        <v/>
      </c>
      <c r="I184" s="130" t="s">
        <v>23</v>
      </c>
      <c r="J184" s="9" t="str">
        <f>IFERROR(MID(VLOOKUP($B184,Seqs!$A:$B,2,0),K184,1),"")</f>
        <v/>
      </c>
      <c r="K184" s="130" t="s">
        <v>23</v>
      </c>
      <c r="L184" s="9" t="str">
        <f>IFERROR(MID(VLOOKUP($B184,Seqs!$A:$B,2,0),M184,1),"")</f>
        <v>N</v>
      </c>
      <c r="M184" s="40">
        <v>134</v>
      </c>
      <c r="N184" s="9" t="str">
        <f>IFERROR(MID(VLOOKUP($B184,Seqs!$A:$B,2,0),O184,1),"")</f>
        <v>E</v>
      </c>
      <c r="O184" s="40">
        <v>165</v>
      </c>
      <c r="P184" s="9" t="str">
        <f>IFERROR(MID(VLOOKUP($B184,Seqs!$A:$B,2,0),Q184,1),"")</f>
        <v>D</v>
      </c>
      <c r="Q184" s="40">
        <v>166</v>
      </c>
      <c r="R184" s="9" t="str">
        <f>IFERROR(MID(VLOOKUP($B184,Seqs!$A:$B,2,0),S184,1),"")</f>
        <v>F</v>
      </c>
      <c r="S184" s="40">
        <v>169</v>
      </c>
      <c r="T184" s="9" t="str">
        <f>IFERROR(MID(VLOOKUP($B184,Seqs!$A:$B,2,0),U184,1),"")</f>
        <v>G</v>
      </c>
      <c r="U184" s="11">
        <v>170</v>
      </c>
      <c r="V184" s="9" t="str">
        <f>IFERROR(MID(VLOOKUP($B184,Seqs!$A:$B,2,0),W184,1),"")</f>
        <v>S</v>
      </c>
      <c r="W184" s="40">
        <v>205</v>
      </c>
      <c r="X184" s="9" t="str">
        <f>IFERROR(MID(VLOOKUP($B184,Seqs!$A:$B,2,0),Y184,1),"")</f>
        <v/>
      </c>
      <c r="Y184" s="40" t="s">
        <v>23</v>
      </c>
      <c r="Z184" s="9" t="str">
        <f>IFERROR(MID(VLOOKUP($B184,Seqs!$A:$B,2,0),AA184,1),"")</f>
        <v/>
      </c>
      <c r="AA184" s="40" t="s">
        <v>23</v>
      </c>
      <c r="AB184" s="9" t="str">
        <f>IFERROR(MID(VLOOKUP($B184,Seqs!$A:$B,2,0),AC184,1),"")</f>
        <v>P</v>
      </c>
      <c r="AC184" s="40">
        <v>215</v>
      </c>
      <c r="AD184" s="9" t="str">
        <f>IFERROR(MID(VLOOKUP($B184,Seqs!$A:$B,2,0),AE184,1),"")</f>
        <v>F</v>
      </c>
      <c r="AE184" s="40">
        <v>240</v>
      </c>
      <c r="AF184" s="9" t="str">
        <f>IFERROR(MID(VLOOKUP($B184,Seqs!$A:$B,2,0),AG184,1),"")</f>
        <v>C</v>
      </c>
      <c r="AG184" s="40">
        <v>255</v>
      </c>
      <c r="AH184" s="9" t="str">
        <f>IFERROR(MID(VLOOKUP($B184,Seqs!$A:$B,2,0),AI184,1),"")</f>
        <v>L</v>
      </c>
      <c r="AI184" s="40">
        <v>257</v>
      </c>
      <c r="AJ184" s="9" t="str">
        <f>IFERROR(MID(VLOOKUP($B184,Seqs!$A:$B,2,0),AK184,1),"")</f>
        <v>T</v>
      </c>
      <c r="AK184" s="40">
        <v>263</v>
      </c>
      <c r="AL184" s="9" t="str">
        <f>IFERROR(MID(VLOOKUP($B184,Seqs!$A:$B,2,0),AM184,1),"")</f>
        <v>K</v>
      </c>
      <c r="AM184" s="40">
        <v>303</v>
      </c>
      <c r="AN184" s="9" t="str">
        <f>IFERROR(MID(VLOOKUP($B184,Seqs!$A:$B,2,0),AO184,1),"")</f>
        <v>N</v>
      </c>
      <c r="AO184" s="40">
        <v>312</v>
      </c>
      <c r="AP184" s="9" t="str">
        <f>IFERROR(MID(VLOOKUP($B184,Seqs!$A:$B,2,0),AQ184,1),"")</f>
        <v>Y</v>
      </c>
      <c r="AQ184" s="40">
        <v>350</v>
      </c>
      <c r="AR184" s="9" t="str">
        <f>IFERROR(MID(VLOOKUP($B184,Seqs!$A:$B,2,0),AS184,1),"")</f>
        <v>N</v>
      </c>
      <c r="AS184" s="40">
        <v>356</v>
      </c>
      <c r="AT184" s="9" t="str">
        <f>IFERROR(MID(VLOOKUP($B184,Seqs!$A:$B,2,0),AU184,1),"")</f>
        <v>V</v>
      </c>
      <c r="AU184" s="40">
        <v>389</v>
      </c>
      <c r="AV184" s="9" t="str">
        <f>IFERROR(MID(VLOOKUP($B184,Seqs!$A:$B,2,0),AW184,1),"")</f>
        <v>S</v>
      </c>
      <c r="AW184" s="40">
        <v>390</v>
      </c>
      <c r="AX184" s="9" t="str">
        <f>IFERROR(MID(VLOOKUP($B184,Seqs!$A:$B,2,0),AY184,1),"")</f>
        <v>C</v>
      </c>
      <c r="AY184" s="40">
        <v>402</v>
      </c>
      <c r="AZ184" s="110" t="str">
        <f>VLOOKUP(B184,Classification!A:D,2,0)</f>
        <v>A</v>
      </c>
      <c r="BA184" s="98" t="str">
        <f>VLOOKUP(B184,Classification!A:D,4,0)</f>
        <v>Endothelin</v>
      </c>
      <c r="BB184" s="36" t="b">
        <f>AND(E184&lt;G184,OR(G184&lt;I184,I184="-"),OR(I184&lt;K184,I184="-"),OR(K184&lt;M184,K184="-"),M184&lt;O184,OR(O184&lt;Q184,Q184="-"),OR(Q184&lt;S184,Q184="-"),OR(S184&lt;U184,S184="-"),U184&lt;W184,OR(W184&lt;Y184,Y184="-"),OR(Y184&lt;AA184,Y184="-"),OR(AA184&lt;AC184,AA184="-"),AC184&lt;AE184,OR(AE184&lt;AG184,AG184="-"),OR(AG184&lt;AI184,AG184="-"),OR(AI184&lt;AK184,AI184="-"),AK184&lt;AM184,AM184&lt;AO184,AO184&lt;AQ184,AQ184&lt;AS184,AS184&lt;AU184,OR(AU184&lt;AW184,AW184="-"),OR(AW184&lt;AY184,AW184="-"))</f>
        <v>1</v>
      </c>
      <c r="BC184" s="109">
        <f>_xlfn.AGGREGATE(9,6,CH184:CS184)-_xlfn.AGGREGATE(9,6,BV184:CG184)+12</f>
        <v>263</v>
      </c>
      <c r="BD184" s="40" t="s">
        <v>23</v>
      </c>
      <c r="BE184" s="9" t="s">
        <v>1375</v>
      </c>
      <c r="BF184" s="120">
        <v>2</v>
      </c>
      <c r="BG184" s="51" t="s">
        <v>1</v>
      </c>
      <c r="BH184" s="51" t="s">
        <v>1</v>
      </c>
      <c r="BI184" s="40"/>
      <c r="BJ184" s="111" t="s">
        <v>1288</v>
      </c>
      <c r="BK184" s="112" t="s">
        <v>1288</v>
      </c>
      <c r="BL184" s="112" t="s">
        <v>1288</v>
      </c>
      <c r="BM184" s="112" t="s">
        <v>1288</v>
      </c>
      <c r="BN184" s="112" t="s">
        <v>1288</v>
      </c>
      <c r="BO184" s="112" t="s">
        <v>1288</v>
      </c>
      <c r="BP184" s="112" t="s">
        <v>1288</v>
      </c>
      <c r="BQ184" s="112" t="s">
        <v>1288</v>
      </c>
      <c r="BR184" s="112" t="s">
        <v>1288</v>
      </c>
      <c r="BS184" s="112" t="s">
        <v>1288</v>
      </c>
      <c r="BT184" s="112" t="s">
        <v>1288</v>
      </c>
      <c r="BU184" s="112" t="s">
        <v>1288</v>
      </c>
      <c r="BV184" s="111">
        <f>E184</f>
        <v>97</v>
      </c>
      <c r="BW184" s="113" t="str">
        <f>I184</f>
        <v>-</v>
      </c>
      <c r="BX184" s="114">
        <f>M184</f>
        <v>134</v>
      </c>
      <c r="BY184" s="113">
        <f>Q184</f>
        <v>166</v>
      </c>
      <c r="BZ184" s="114">
        <f>U184</f>
        <v>170</v>
      </c>
      <c r="CA184" s="113" t="str">
        <f>Y184</f>
        <v>-</v>
      </c>
      <c r="CB184" s="114">
        <f>AC184</f>
        <v>215</v>
      </c>
      <c r="CC184" s="113">
        <f>AG184</f>
        <v>255</v>
      </c>
      <c r="CD184" s="114">
        <f>AK184</f>
        <v>263</v>
      </c>
      <c r="CE184" s="113">
        <f>AO184</f>
        <v>312</v>
      </c>
      <c r="CF184" s="114">
        <f>AS184</f>
        <v>356</v>
      </c>
      <c r="CG184" s="113">
        <f>AW184</f>
        <v>390</v>
      </c>
      <c r="CH184" s="111">
        <f>G184</f>
        <v>129</v>
      </c>
      <c r="CI184" s="113" t="str">
        <f>K184</f>
        <v>-</v>
      </c>
      <c r="CJ184" s="114">
        <f>O184</f>
        <v>165</v>
      </c>
      <c r="CK184" s="114">
        <f>S184</f>
        <v>169</v>
      </c>
      <c r="CL184" s="114">
        <f>W184</f>
        <v>205</v>
      </c>
      <c r="CM184" s="114" t="str">
        <f>AA184</f>
        <v>-</v>
      </c>
      <c r="CN184" s="114">
        <f>AE184</f>
        <v>240</v>
      </c>
      <c r="CO184" s="114">
        <f>AI184</f>
        <v>257</v>
      </c>
      <c r="CP184" s="114">
        <f>AM184</f>
        <v>303</v>
      </c>
      <c r="CQ184" s="114">
        <f>AQ184</f>
        <v>350</v>
      </c>
      <c r="CR184" s="114">
        <f>AU184</f>
        <v>389</v>
      </c>
      <c r="CS184" s="114">
        <f>AY184</f>
        <v>402</v>
      </c>
      <c r="CT184" s="109" t="e">
        <f>M184-K184</f>
        <v>#VALUE!</v>
      </c>
    </row>
    <row r="185" spans="1:1029" x14ac:dyDescent="0.2">
      <c r="A185" s="3" t="str">
        <f t="shared" si="811"/>
        <v>ffar1_human__wt</v>
      </c>
      <c r="B185" s="3" t="s">
        <v>1173</v>
      </c>
      <c r="C185" s="3" t="s">
        <v>100</v>
      </c>
      <c r="D185" s="3" t="str">
        <f>IFERROR(MID(VLOOKUP($B185,Seqs!$A:$B,2,0),E185,1),"")</f>
        <v>P</v>
      </c>
      <c r="E185" s="3">
        <v>4</v>
      </c>
      <c r="F185" s="3" t="str">
        <f>IFERROR(MID(VLOOKUP($B185,Seqs!$A:$B,2,0),G185,1),"")</f>
        <v>R</v>
      </c>
      <c r="G185" s="3">
        <v>37</v>
      </c>
      <c r="H185" s="3" t="str">
        <f>IFERROR(MID(VLOOKUP($B185,Seqs!$A:$B,2,0),I185,1),"")</f>
        <v/>
      </c>
      <c r="I185" s="23" t="s">
        <v>23</v>
      </c>
      <c r="J185" s="3" t="str">
        <f>IFERROR(MID(VLOOKUP($B185,Seqs!$A:$B,2,0),K185,1),"")</f>
        <v/>
      </c>
      <c r="K185" s="23" t="s">
        <v>23</v>
      </c>
      <c r="L185" s="3" t="str">
        <f>IFERROR(MID(VLOOKUP($B185,Seqs!$A:$B,2,0),M185,1),"")</f>
        <v>T</v>
      </c>
      <c r="M185" s="3">
        <v>39</v>
      </c>
      <c r="N185" s="3" t="str">
        <f>IFERROR(MID(VLOOKUP($B185,Seqs!$A:$B,2,0),O185,1),"")</f>
        <v>S</v>
      </c>
      <c r="O185" s="3">
        <v>69</v>
      </c>
      <c r="P185" s="3" t="str">
        <f>IFERROR(MID(VLOOKUP($B185,Seqs!$A:$B,2,0),Q185,1),"")</f>
        <v>A</v>
      </c>
      <c r="Q185" s="3">
        <v>71</v>
      </c>
      <c r="R185" s="3" t="str">
        <f>IFERROR(MID(VLOOKUP($B185,Seqs!$A:$B,2,0),S185,1),"")</f>
        <v>L</v>
      </c>
      <c r="S185" s="3">
        <v>74</v>
      </c>
      <c r="T185" s="3" t="str">
        <f>IFERROR(MID(VLOOKUP($B185,Seqs!$A:$B,2,0),U185,1),"")</f>
        <v>P</v>
      </c>
      <c r="U185" s="3">
        <v>75</v>
      </c>
      <c r="V185" s="3" t="str">
        <f>IFERROR(MID(VLOOKUP($B185,Seqs!$A:$B,2,0),W185,1),"")</f>
        <v>F</v>
      </c>
      <c r="W185" s="3">
        <v>110</v>
      </c>
      <c r="X185" s="3" t="str">
        <f>IFERROR(MID(VLOOKUP($B185,Seqs!$A:$B,2,0),Y185,1),"")</f>
        <v>P</v>
      </c>
      <c r="Y185" s="3">
        <v>111</v>
      </c>
      <c r="Z185" s="3" t="str">
        <f>IFERROR(MID(VLOOKUP($B185,Seqs!$A:$B,2,0),AA185,1),"")</f>
        <v>R</v>
      </c>
      <c r="AA185" s="3">
        <v>118</v>
      </c>
      <c r="AB185" s="3" t="str">
        <f>IFERROR(MID(VLOOKUP($B185,Seqs!$A:$B,2,0),AC185,1),"")</f>
        <v>R</v>
      </c>
      <c r="AC185" s="9">
        <v>119</v>
      </c>
      <c r="AD185" s="3" t="str">
        <f>IFERROR(MID(VLOOKUP($B185,Seqs!$A:$B,2,0),AE185,1),"")</f>
        <v>A</v>
      </c>
      <c r="AE185" s="3">
        <v>146</v>
      </c>
      <c r="AF185" s="3" t="str">
        <f>IFERROR(MID(VLOOKUP($B185,Seqs!$A:$B,2,0),AG185,1),"")</f>
        <v>C</v>
      </c>
      <c r="AG185" s="3">
        <v>170</v>
      </c>
      <c r="AH185" s="3" t="str">
        <f>IFERROR(MID(VLOOKUP($B185,Seqs!$A:$B,2,0),AI185,1),"")</f>
        <v>E</v>
      </c>
      <c r="AI185" s="3">
        <v>172</v>
      </c>
      <c r="AJ185" s="3" t="str">
        <f>IFERROR(MID(VLOOKUP($B185,Seqs!$A:$B,2,0),AK185,1),"")</f>
        <v>D</v>
      </c>
      <c r="AK185" s="3">
        <v>175</v>
      </c>
      <c r="AL185" s="3" t="str">
        <f>IFERROR(MID(VLOOKUP($B185,Seqs!$A:$B,2,0),AM185,1),"")</f>
        <v>R</v>
      </c>
      <c r="AM185" s="3">
        <v>211</v>
      </c>
      <c r="AN185" s="3" t="str">
        <f>IFERROR(MID(VLOOKUP($B185,Seqs!$A:$B,2,0),AO185,1),"")</f>
        <v>R</v>
      </c>
      <c r="AO185" s="3">
        <v>217</v>
      </c>
      <c r="AP185" s="3" t="str">
        <f>IFERROR(MID(VLOOKUP($B185,Seqs!$A:$B,2,0),AQ185,1),"")</f>
        <v>Y</v>
      </c>
      <c r="AQ185" s="3">
        <v>250</v>
      </c>
      <c r="AR185" s="3" t="str">
        <f>IFERROR(MID(VLOOKUP($B185,Seqs!$A:$B,2,0),AS185,1),"")</f>
        <v>G</v>
      </c>
      <c r="AS185" s="3">
        <v>255</v>
      </c>
      <c r="AT185" s="3" t="str">
        <f>IFERROR(MID(VLOOKUP($B185,Seqs!$A:$B,2,0),AU185,1),"")</f>
        <v>L</v>
      </c>
      <c r="AU185" s="3">
        <v>279</v>
      </c>
      <c r="AV185" s="3" t="str">
        <f>IFERROR(MID(VLOOKUP($B185,Seqs!$A:$B,2,0),AW185,1),"")</f>
        <v>G</v>
      </c>
      <c r="AW185" s="3">
        <v>280</v>
      </c>
      <c r="AX185" s="3" t="str">
        <f>IFERROR(MID(VLOOKUP($B185,Seqs!$A:$B,2,0),AY185,1),"")</f>
        <v>Q</v>
      </c>
      <c r="AY185" s="3">
        <v>294</v>
      </c>
      <c r="AZ185" s="77" t="str">
        <f>VLOOKUP(B185,Classification!A:D,2,0)</f>
        <v>A</v>
      </c>
      <c r="BA185" s="94" t="str">
        <f>VLOOKUP(B185,Classification!A:D,4,0)</f>
        <v>Freefattyacid</v>
      </c>
      <c r="BB185" s="27" t="b">
        <f t="shared" si="812"/>
        <v>1</v>
      </c>
      <c r="BC185" s="23">
        <f t="shared" si="979"/>
        <v>256</v>
      </c>
      <c r="BD185" s="34" t="s">
        <v>23</v>
      </c>
      <c r="BE185" s="3" t="s">
        <v>23</v>
      </c>
      <c r="BF185" s="119" t="s">
        <v>23</v>
      </c>
      <c r="BG185" s="49" t="s">
        <v>1373</v>
      </c>
      <c r="BH185" s="49" t="s">
        <v>1378</v>
      </c>
      <c r="BI185" s="1"/>
      <c r="BJ185" s="70" t="s">
        <v>1288</v>
      </c>
      <c r="BK185" s="57" t="s">
        <v>1288</v>
      </c>
      <c r="BL185" s="57" t="s">
        <v>1288</v>
      </c>
      <c r="BM185" s="57" t="s">
        <v>1288</v>
      </c>
      <c r="BN185" s="57" t="s">
        <v>1288</v>
      </c>
      <c r="BO185" s="57" t="s">
        <v>1288</v>
      </c>
      <c r="BP185" s="57" t="s">
        <v>1288</v>
      </c>
      <c r="BQ185" s="57" t="s">
        <v>1288</v>
      </c>
      <c r="BR185" s="57" t="s">
        <v>1288</v>
      </c>
      <c r="BS185" s="57" t="s">
        <v>1288</v>
      </c>
      <c r="BT185" s="57" t="s">
        <v>1288</v>
      </c>
      <c r="BU185" s="57" t="s">
        <v>1288</v>
      </c>
      <c r="BV185" s="70">
        <f t="shared" si="980"/>
        <v>4</v>
      </c>
      <c r="BW185" s="71" t="str">
        <f t="shared" si="981"/>
        <v>-</v>
      </c>
      <c r="BX185" s="72">
        <f t="shared" si="982"/>
        <v>39</v>
      </c>
      <c r="BY185" s="71">
        <f t="shared" si="983"/>
        <v>71</v>
      </c>
      <c r="BZ185" s="72">
        <f t="shared" si="984"/>
        <v>75</v>
      </c>
      <c r="CA185" s="71">
        <f t="shared" si="985"/>
        <v>111</v>
      </c>
      <c r="CB185" s="72">
        <f t="shared" si="986"/>
        <v>119</v>
      </c>
      <c r="CC185" s="71">
        <f t="shared" si="987"/>
        <v>170</v>
      </c>
      <c r="CD185" s="72">
        <f t="shared" si="988"/>
        <v>175</v>
      </c>
      <c r="CE185" s="71">
        <f t="shared" si="989"/>
        <v>217</v>
      </c>
      <c r="CF185" s="72">
        <f t="shared" si="990"/>
        <v>255</v>
      </c>
      <c r="CG185" s="71">
        <f t="shared" si="991"/>
        <v>280</v>
      </c>
      <c r="CH185" s="70">
        <f t="shared" si="992"/>
        <v>37</v>
      </c>
      <c r="CI185" s="71" t="str">
        <f t="shared" si="993"/>
        <v>-</v>
      </c>
      <c r="CJ185" s="72">
        <f t="shared" si="994"/>
        <v>69</v>
      </c>
      <c r="CK185" s="72">
        <f t="shared" si="995"/>
        <v>74</v>
      </c>
      <c r="CL185" s="72">
        <f t="shared" si="996"/>
        <v>110</v>
      </c>
      <c r="CM185" s="72">
        <f t="shared" si="997"/>
        <v>118</v>
      </c>
      <c r="CN185" s="72">
        <f t="shared" si="998"/>
        <v>146</v>
      </c>
      <c r="CO185" s="72">
        <f t="shared" si="999"/>
        <v>172</v>
      </c>
      <c r="CP185" s="72">
        <f t="shared" si="1000"/>
        <v>211</v>
      </c>
      <c r="CQ185" s="72">
        <f t="shared" si="1001"/>
        <v>250</v>
      </c>
      <c r="CR185" s="72">
        <f t="shared" si="1002"/>
        <v>279</v>
      </c>
      <c r="CS185" s="72">
        <f t="shared" si="1003"/>
        <v>294</v>
      </c>
      <c r="CT185" s="23" t="e">
        <f t="shared" si="1004"/>
        <v>#VALUE!</v>
      </c>
    </row>
    <row r="186" spans="1:1029" x14ac:dyDescent="0.2">
      <c r="A186" s="3" t="str">
        <f t="shared" si="811"/>
        <v>ffar1_human_4PHU</v>
      </c>
      <c r="B186" s="3" t="s">
        <v>1173</v>
      </c>
      <c r="C186" s="3" t="s">
        <v>52</v>
      </c>
      <c r="D186" s="3" t="str">
        <f>IFERROR(MID(VLOOKUP($B186,Seqs!$A:$B,2,0),E186,1),"")</f>
        <v>P</v>
      </c>
      <c r="E186" s="3">
        <v>4</v>
      </c>
      <c r="F186" s="3" t="str">
        <f>IFERROR(MID(VLOOKUP($B186,Seqs!$A:$B,2,0),G186,1),"")</f>
        <v>R</v>
      </c>
      <c r="G186" s="3">
        <v>37</v>
      </c>
      <c r="H186" s="3" t="str">
        <f>IFERROR(MID(VLOOKUP($B186,Seqs!$A:$B,2,0),I186,1),"")</f>
        <v/>
      </c>
      <c r="I186" s="23" t="s">
        <v>23</v>
      </c>
      <c r="J186" s="3" t="str">
        <f>IFERROR(MID(VLOOKUP($B186,Seqs!$A:$B,2,0),K186,1),"")</f>
        <v/>
      </c>
      <c r="K186" s="23" t="s">
        <v>23</v>
      </c>
      <c r="L186" s="3" t="str">
        <f>IFERROR(MID(VLOOKUP($B186,Seqs!$A:$B,2,0),M186,1),"")</f>
        <v>T</v>
      </c>
      <c r="M186" s="3">
        <v>39</v>
      </c>
      <c r="N186" s="3" t="str">
        <f>IFERROR(MID(VLOOKUP($B186,Seqs!$A:$B,2,0),O186,1),"")</f>
        <v>S</v>
      </c>
      <c r="O186" s="3">
        <v>69</v>
      </c>
      <c r="P186" s="3" t="str">
        <f>IFERROR(MID(VLOOKUP($B186,Seqs!$A:$B,2,0),Q186,1),"")</f>
        <v>A</v>
      </c>
      <c r="Q186" s="3">
        <v>71</v>
      </c>
      <c r="R186" s="3" t="str">
        <f>IFERROR(MID(VLOOKUP($B186,Seqs!$A:$B,2,0),S186,1),"")</f>
        <v>L</v>
      </c>
      <c r="S186" s="3">
        <v>74</v>
      </c>
      <c r="T186" s="3" t="str">
        <f>IFERROR(MID(VLOOKUP($B186,Seqs!$A:$B,2,0),U186,1),"")</f>
        <v>P</v>
      </c>
      <c r="U186" s="3">
        <v>75</v>
      </c>
      <c r="V186" s="3" t="str">
        <f>IFERROR(MID(VLOOKUP($B186,Seqs!$A:$B,2,0),W186,1),"")</f>
        <v>F</v>
      </c>
      <c r="W186" s="3">
        <v>110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C</v>
      </c>
      <c r="AC186" s="9">
        <v>121</v>
      </c>
      <c r="AD186" s="3" t="str">
        <f>IFERROR(MID(VLOOKUP($B186,Seqs!$A:$B,2,0),AE186,1),"")</f>
        <v>A</v>
      </c>
      <c r="AE186" s="3">
        <v>146</v>
      </c>
      <c r="AF186" s="3" t="str">
        <f>IFERROR(MID(VLOOKUP($B186,Seqs!$A:$B,2,0),AG186,1),"")</f>
        <v>C</v>
      </c>
      <c r="AG186" s="3">
        <v>170</v>
      </c>
      <c r="AH186" s="3" t="str">
        <f>IFERROR(MID(VLOOKUP($B186,Seqs!$A:$B,2,0),AI186,1),"")</f>
        <v>E</v>
      </c>
      <c r="AI186" s="3">
        <v>172</v>
      </c>
      <c r="AJ186" s="3" t="str">
        <f>IFERROR(MID(VLOOKUP($B186,Seqs!$A:$B,2,0),AK186,1),"")</f>
        <v>D</v>
      </c>
      <c r="AK186" s="3">
        <v>175</v>
      </c>
      <c r="AL186" s="3" t="str">
        <f>IFERROR(MID(VLOOKUP($B186,Seqs!$A:$B,2,0),AM186,1),"")</f>
        <v>R</v>
      </c>
      <c r="AM186" s="3">
        <v>211</v>
      </c>
      <c r="AN186" s="3" t="str">
        <f>IFERROR(MID(VLOOKUP($B186,Seqs!$A:$B,2,0),AO186,1),"")</f>
        <v/>
      </c>
      <c r="AO186" s="3">
        <v>2214</v>
      </c>
      <c r="AP186" s="3" t="str">
        <f>IFERROR(MID(VLOOKUP($B186,Seqs!$A:$B,2,0),AQ186,1),"")</f>
        <v/>
      </c>
      <c r="AQ186" s="3">
        <v>2250</v>
      </c>
      <c r="AR186" s="3" t="str">
        <f>IFERROR(MID(VLOOKUP($B186,Seqs!$A:$B,2,0),AS186,1),"")</f>
        <v/>
      </c>
      <c r="AS186" s="3">
        <v>2255</v>
      </c>
      <c r="AT186" s="3" t="str">
        <f>IFERROR(MID(VLOOKUP($B186,Seqs!$A:$B,2,0),AU186,1),"")</f>
        <v/>
      </c>
      <c r="AU186" s="3">
        <v>2276</v>
      </c>
      <c r="AV186" s="3" t="str">
        <f>IFERROR(MID(VLOOKUP($B186,Seqs!$A:$B,2,0),AW186,1),"")</f>
        <v/>
      </c>
      <c r="AW186" s="3" t="s">
        <v>23</v>
      </c>
      <c r="AX186" s="3" t="str">
        <f>IFERROR(MID(VLOOKUP($B186,Seqs!$A:$B,2,0),AY186,1),"")</f>
        <v/>
      </c>
      <c r="AY186" s="3" t="s">
        <v>23</v>
      </c>
      <c r="AZ186" s="77" t="str">
        <f>VLOOKUP(B186,Classification!A:D,2,0)</f>
        <v>A</v>
      </c>
      <c r="BA186" s="94" t="str">
        <f>VLOOKUP(B186,Classification!A:D,4,0)</f>
        <v>Freefattyacid</v>
      </c>
      <c r="BB186" s="27" t="b">
        <f t="shared" si="812"/>
        <v>1</v>
      </c>
      <c r="BC186" s="23">
        <f t="shared" si="979"/>
        <v>233</v>
      </c>
      <c r="BD186" s="16" t="s">
        <v>23</v>
      </c>
      <c r="BE186" s="3" t="s">
        <v>1429</v>
      </c>
      <c r="BF186" s="119">
        <v>2.33</v>
      </c>
      <c r="BG186" s="49" t="s">
        <v>1378</v>
      </c>
      <c r="BH186" s="49" t="s">
        <v>1378</v>
      </c>
      <c r="BI186" s="1"/>
      <c r="BJ186" s="70" t="s">
        <v>1288</v>
      </c>
      <c r="BK186" s="57" t="s">
        <v>1288</v>
      </c>
      <c r="BL186" s="57" t="s">
        <v>1288</v>
      </c>
      <c r="BM186" s="57" t="s">
        <v>1288</v>
      </c>
      <c r="BN186" s="57" t="s">
        <v>1288</v>
      </c>
      <c r="BO186" s="57" t="s">
        <v>1288</v>
      </c>
      <c r="BP186" s="57" t="s">
        <v>1288</v>
      </c>
      <c r="BQ186" s="57" t="s">
        <v>1288</v>
      </c>
      <c r="BR186" s="57" t="s">
        <v>1288</v>
      </c>
      <c r="BS186" s="57" t="s">
        <v>1288</v>
      </c>
      <c r="BT186" s="57" t="s">
        <v>1288</v>
      </c>
      <c r="BU186" s="57" t="s">
        <v>1288</v>
      </c>
      <c r="BV186" s="70">
        <f t="shared" si="980"/>
        <v>4</v>
      </c>
      <c r="BW186" s="71" t="str">
        <f t="shared" si="981"/>
        <v>-</v>
      </c>
      <c r="BX186" s="72">
        <f t="shared" si="982"/>
        <v>39</v>
      </c>
      <c r="BY186" s="71">
        <f t="shared" si="983"/>
        <v>71</v>
      </c>
      <c r="BZ186" s="72">
        <f t="shared" si="984"/>
        <v>75</v>
      </c>
      <c r="CA186" s="71" t="str">
        <f t="shared" si="985"/>
        <v>-</v>
      </c>
      <c r="CB186" s="72">
        <f t="shared" si="986"/>
        <v>121</v>
      </c>
      <c r="CC186" s="71">
        <f t="shared" si="987"/>
        <v>170</v>
      </c>
      <c r="CD186" s="72">
        <f t="shared" si="988"/>
        <v>175</v>
      </c>
      <c r="CE186" s="71">
        <f t="shared" si="989"/>
        <v>2214</v>
      </c>
      <c r="CF186" s="72">
        <f t="shared" si="990"/>
        <v>2255</v>
      </c>
      <c r="CG186" s="71" t="str">
        <f t="shared" si="991"/>
        <v>-</v>
      </c>
      <c r="CH186" s="70">
        <f t="shared" si="992"/>
        <v>37</v>
      </c>
      <c r="CI186" s="71" t="str">
        <f t="shared" si="993"/>
        <v>-</v>
      </c>
      <c r="CJ186" s="72">
        <f t="shared" si="994"/>
        <v>69</v>
      </c>
      <c r="CK186" s="72">
        <f t="shared" si="995"/>
        <v>74</v>
      </c>
      <c r="CL186" s="72">
        <f t="shared" si="996"/>
        <v>110</v>
      </c>
      <c r="CM186" s="72" t="str">
        <f t="shared" si="997"/>
        <v>-</v>
      </c>
      <c r="CN186" s="72">
        <f t="shared" si="998"/>
        <v>146</v>
      </c>
      <c r="CO186" s="72">
        <f t="shared" si="999"/>
        <v>172</v>
      </c>
      <c r="CP186" s="72">
        <f t="shared" si="1000"/>
        <v>211</v>
      </c>
      <c r="CQ186" s="72">
        <f t="shared" si="1001"/>
        <v>2250</v>
      </c>
      <c r="CR186" s="72">
        <f t="shared" si="1002"/>
        <v>2276</v>
      </c>
      <c r="CS186" s="72" t="str">
        <f t="shared" si="1003"/>
        <v>-</v>
      </c>
      <c r="CT186" s="23" t="e">
        <f t="shared" si="1004"/>
        <v>#VALUE!</v>
      </c>
    </row>
    <row r="187" spans="1:1029" x14ac:dyDescent="0.2">
      <c r="A187" s="3" t="str">
        <f>CONCATENATE(B187,"_",C187)</f>
        <v>ffar1_human_5KW2</v>
      </c>
      <c r="B187" s="3" t="s">
        <v>1173</v>
      </c>
      <c r="C187" s="3" t="s">
        <v>1492</v>
      </c>
      <c r="D187" s="3" t="str">
        <f>IFERROR(MID(VLOOKUP($B187,Seqs!$A:$B,2,0),E187,1),"")</f>
        <v>P</v>
      </c>
      <c r="E187" s="3">
        <v>4</v>
      </c>
      <c r="F187" s="3" t="str">
        <f>IFERROR(MID(VLOOKUP($B187,Seqs!$A:$B,2,0),G187,1),"")</f>
        <v>A</v>
      </c>
      <c r="G187" s="3">
        <v>32</v>
      </c>
      <c r="H187" s="3" t="str">
        <f>IFERROR(MID(VLOOKUP($B187,Seqs!$A:$B,2,0),I187,1),"")</f>
        <v/>
      </c>
      <c r="I187" s="23" t="s">
        <v>23</v>
      </c>
      <c r="J187" s="3" t="str">
        <f>IFERROR(MID(VLOOKUP($B187,Seqs!$A:$B,2,0),K187,1),"")</f>
        <v/>
      </c>
      <c r="K187" s="23" t="s">
        <v>23</v>
      </c>
      <c r="L187" s="3" t="str">
        <f>IFERROR(MID(VLOOKUP($B187,Seqs!$A:$B,2,0),M187,1),"")</f>
        <v>T</v>
      </c>
      <c r="M187" s="3">
        <v>39</v>
      </c>
      <c r="N187" s="3" t="str">
        <f>IFERROR(MID(VLOOKUP($B187,Seqs!$A:$B,2,0),O187,1),"")</f>
        <v>S</v>
      </c>
      <c r="O187" s="3">
        <v>69</v>
      </c>
      <c r="P187" s="3" t="str">
        <f>IFERROR(MID(VLOOKUP($B187,Seqs!$A:$B,2,0),Q187,1),"")</f>
        <v>A</v>
      </c>
      <c r="Q187" s="3">
        <v>71</v>
      </c>
      <c r="R187" s="3" t="str">
        <f>IFERROR(MID(VLOOKUP($B187,Seqs!$A:$B,2,0),S187,1),"")</f>
        <v>L</v>
      </c>
      <c r="S187" s="3">
        <v>74</v>
      </c>
      <c r="T187" s="3" t="str">
        <f>IFERROR(MID(VLOOKUP($B187,Seqs!$A:$B,2,0),U187,1),"")</f>
        <v>P</v>
      </c>
      <c r="U187" s="3">
        <v>75</v>
      </c>
      <c r="V187" s="3" t="str">
        <f>IFERROR(MID(VLOOKUP($B187,Seqs!$A:$B,2,0),W187,1),"")</f>
        <v>F</v>
      </c>
      <c r="W187" s="3">
        <v>110</v>
      </c>
      <c r="X187" s="3" t="str">
        <f>IFERROR(MID(VLOOKUP($B187,Seqs!$A:$B,2,0),Y187,1),"")</f>
        <v>P</v>
      </c>
      <c r="Y187" s="3">
        <v>111</v>
      </c>
      <c r="Z187" s="3" t="str">
        <f>IFERROR(MID(VLOOKUP($B187,Seqs!$A:$B,2,0),AA187,1),"")</f>
        <v>R</v>
      </c>
      <c r="AA187" s="3">
        <v>118</v>
      </c>
      <c r="AB187" s="3" t="str">
        <f>IFERROR(MID(VLOOKUP($B187,Seqs!$A:$B,2,0),AC187,1),"")</f>
        <v>R</v>
      </c>
      <c r="AC187" s="3">
        <v>119</v>
      </c>
      <c r="AD187" s="3" t="str">
        <f>IFERROR(MID(VLOOKUP($B187,Seqs!$A:$B,2,0),AE187,1),"")</f>
        <v>E</v>
      </c>
      <c r="AE187" s="3">
        <v>145</v>
      </c>
      <c r="AF187" s="3" t="str">
        <f>IFERROR(MID(VLOOKUP($B187,Seqs!$A:$B,2,0),AG187,1),"")</f>
        <v>C</v>
      </c>
      <c r="AG187" s="3">
        <v>170</v>
      </c>
      <c r="AH187" s="3" t="str">
        <f>IFERROR(MID(VLOOKUP($B187,Seqs!$A:$B,2,0),AI187,1),"")</f>
        <v>E</v>
      </c>
      <c r="AI187" s="3">
        <v>172</v>
      </c>
      <c r="AJ187" s="3" t="str">
        <f>IFERROR(MID(VLOOKUP($B187,Seqs!$A:$B,2,0),AK187,1),"")</f>
        <v>G</v>
      </c>
      <c r="AK187" s="3">
        <v>180</v>
      </c>
      <c r="AL187" s="3" t="str">
        <f>IFERROR(MID(VLOOKUP($B187,Seqs!$A:$B,2,0),AM187,1),"")</f>
        <v>R</v>
      </c>
      <c r="AM187" s="3">
        <v>211</v>
      </c>
      <c r="AN187" s="3" t="str">
        <f>IFERROR(MID(VLOOKUP($B187,Seqs!$A:$B,2,0),AO187,1),"")</f>
        <v/>
      </c>
      <c r="AO187" s="3">
        <v>2215</v>
      </c>
      <c r="AP187" s="3" t="str">
        <f>IFERROR(MID(VLOOKUP($B187,Seqs!$A:$B,2,0),AQ187,1),"")</f>
        <v/>
      </c>
      <c r="AQ187" s="3">
        <v>2249</v>
      </c>
      <c r="AR187" s="3" t="str">
        <f>IFERROR(MID(VLOOKUP($B187,Seqs!$A:$B,2,0),AS187,1),"")</f>
        <v/>
      </c>
      <c r="AS187" s="3">
        <v>2254</v>
      </c>
      <c r="AT187" s="3" t="str">
        <f>IFERROR(MID(VLOOKUP($B187,Seqs!$A:$B,2,0),AU187,1),"")</f>
        <v/>
      </c>
      <c r="AU187" s="3">
        <v>2275</v>
      </c>
      <c r="AV187" s="3" t="str">
        <f>IFERROR(MID(VLOOKUP($B187,Seqs!$A:$B,2,0),AW187,1),"")</f>
        <v/>
      </c>
      <c r="AW187" s="3" t="s">
        <v>23</v>
      </c>
      <c r="AX187" s="3" t="str">
        <f>IFERROR(MID(VLOOKUP($B187,Seqs!$A:$B,2,0),AY187,1),"")</f>
        <v/>
      </c>
      <c r="AY187" s="3" t="s">
        <v>23</v>
      </c>
      <c r="AZ187" s="77" t="str">
        <f>VLOOKUP(B187,Classification!A:D,2,0)</f>
        <v>A</v>
      </c>
      <c r="BA187" s="94" t="str">
        <f>VLOOKUP(B187,Classification!A:D,4,0)</f>
        <v>Freefattyacid</v>
      </c>
      <c r="BB187" s="27" t="b">
        <f>AND(E187&lt;G187,OR(G187&lt;I187,I187="-"),OR(I187&lt;K187,I187="-"),OR(K187&lt;M187,K187="-"),M187&lt;O187,OR(O187&lt;Q187,Q187="-"),OR(Q187&lt;S187,Q187="-"),OR(S187&lt;U187,S187="-"),U187&lt;W187,OR(W187&lt;Y187,Y187="-"),OR(Y187&lt;AA187,Y187="-"),OR(AA187&lt;AC187,AA187="-"),AC187&lt;AE187,OR(AE187&lt;AG187,AG187="-"),OR(AG187&lt;AI187,AG187="-"),OR(AI187&lt;AK187,AI187="-"),AK187&lt;AM187,AM187&lt;AO187,AO187&lt;AQ187,AQ187&lt;AS187,AS187&lt;AU187,OR(AU187&lt;AW187,AW187="-"),OR(AW187&lt;AY187,AW187="-"))</f>
        <v>1</v>
      </c>
      <c r="BC187" s="23">
        <f>_xlfn.AGGREGATE(9,6,CH187:CS187)-_xlfn.AGGREGATE(9,6,BV187:CG187)+12</f>
        <v>229</v>
      </c>
      <c r="BD187" s="16" t="s">
        <v>23</v>
      </c>
      <c r="BE187" s="3" t="s">
        <v>1429</v>
      </c>
      <c r="BF187" s="119">
        <v>2.76</v>
      </c>
      <c r="BG187" s="49" t="s">
        <v>1</v>
      </c>
      <c r="BH187" s="49" t="s">
        <v>1</v>
      </c>
      <c r="BI187" s="1"/>
      <c r="BJ187" s="70" t="s">
        <v>1288</v>
      </c>
      <c r="BK187" s="57" t="s">
        <v>1288</v>
      </c>
      <c r="BL187" s="57" t="s">
        <v>1288</v>
      </c>
      <c r="BM187" s="57" t="s">
        <v>1288</v>
      </c>
      <c r="BN187" s="57" t="s">
        <v>1288</v>
      </c>
      <c r="BO187" s="57" t="s">
        <v>1288</v>
      </c>
      <c r="BP187" s="57" t="s">
        <v>1288</v>
      </c>
      <c r="BQ187" s="57" t="s">
        <v>1288</v>
      </c>
      <c r="BR187" s="57" t="s">
        <v>1288</v>
      </c>
      <c r="BS187" s="57" t="s">
        <v>1288</v>
      </c>
      <c r="BT187" s="57" t="s">
        <v>1288</v>
      </c>
      <c r="BU187" s="57" t="s">
        <v>1288</v>
      </c>
      <c r="BV187" s="70">
        <f>E187</f>
        <v>4</v>
      </c>
      <c r="BW187" s="71" t="str">
        <f>I187</f>
        <v>-</v>
      </c>
      <c r="BX187" s="72">
        <f>M187</f>
        <v>39</v>
      </c>
      <c r="BY187" s="71">
        <f>Q187</f>
        <v>71</v>
      </c>
      <c r="BZ187" s="72">
        <f>U187</f>
        <v>75</v>
      </c>
      <c r="CA187" s="71">
        <f>Y187</f>
        <v>111</v>
      </c>
      <c r="CB187" s="72">
        <f>AC187</f>
        <v>119</v>
      </c>
      <c r="CC187" s="71">
        <f>AG187</f>
        <v>170</v>
      </c>
      <c r="CD187" s="72">
        <f>AK187</f>
        <v>180</v>
      </c>
      <c r="CE187" s="71">
        <f>AO187</f>
        <v>2215</v>
      </c>
      <c r="CF187" s="72">
        <f>AS187</f>
        <v>2254</v>
      </c>
      <c r="CG187" s="71" t="str">
        <f>AW187</f>
        <v>-</v>
      </c>
      <c r="CH187" s="70">
        <f>G187</f>
        <v>32</v>
      </c>
      <c r="CI187" s="71" t="str">
        <f>K187</f>
        <v>-</v>
      </c>
      <c r="CJ187" s="72">
        <f>O187</f>
        <v>69</v>
      </c>
      <c r="CK187" s="72">
        <f>S187</f>
        <v>74</v>
      </c>
      <c r="CL187" s="72">
        <f>W187</f>
        <v>110</v>
      </c>
      <c r="CM187" s="72">
        <f>AA187</f>
        <v>118</v>
      </c>
      <c r="CN187" s="72">
        <f>AE187</f>
        <v>145</v>
      </c>
      <c r="CO187" s="72">
        <f>AI187</f>
        <v>172</v>
      </c>
      <c r="CP187" s="72">
        <f>AM187</f>
        <v>211</v>
      </c>
      <c r="CQ187" s="72">
        <f>AQ187</f>
        <v>2249</v>
      </c>
      <c r="CR187" s="72">
        <f>AU187</f>
        <v>2275</v>
      </c>
      <c r="CS187" s="72" t="str">
        <f>AY187</f>
        <v>-</v>
      </c>
      <c r="CT187" s="23" t="e">
        <f>M187-K187</f>
        <v>#VALUE!</v>
      </c>
    </row>
    <row r="188" spans="1:1029" x14ac:dyDescent="0.2">
      <c r="A188" s="3" t="str">
        <f>CONCATENATE(B188,"_",C188)</f>
        <v>ffar1_human_5TZR</v>
      </c>
      <c r="B188" s="3" t="s">
        <v>1173</v>
      </c>
      <c r="C188" s="3" t="s">
        <v>1417</v>
      </c>
      <c r="D188" s="3" t="str">
        <f>IFERROR(MID(VLOOKUP($B188,Seqs!$A:$B,2,0),E188,1),"")</f>
        <v>P</v>
      </c>
      <c r="E188" s="3">
        <v>4</v>
      </c>
      <c r="F188" s="3" t="str">
        <f>IFERROR(MID(VLOOKUP($B188,Seqs!$A:$B,2,0),G188,1),"")</f>
        <v>R</v>
      </c>
      <c r="G188" s="3">
        <v>37</v>
      </c>
      <c r="H188" s="3" t="str">
        <f>IFERROR(MID(VLOOKUP($B188,Seqs!$A:$B,2,0),I188,1),"")</f>
        <v/>
      </c>
      <c r="I188" s="23" t="s">
        <v>23</v>
      </c>
      <c r="J188" s="3" t="str">
        <f>IFERROR(MID(VLOOKUP($B188,Seqs!$A:$B,2,0),K188,1),"")</f>
        <v/>
      </c>
      <c r="K188" s="23" t="s">
        <v>23</v>
      </c>
      <c r="L188" s="3" t="str">
        <f>IFERROR(MID(VLOOKUP($B188,Seqs!$A:$B,2,0),M188,1),"")</f>
        <v>T</v>
      </c>
      <c r="M188" s="3">
        <v>39</v>
      </c>
      <c r="N188" s="3" t="str">
        <f>IFERROR(MID(VLOOKUP($B188,Seqs!$A:$B,2,0),O188,1),"")</f>
        <v>S</v>
      </c>
      <c r="O188" s="3">
        <v>69</v>
      </c>
      <c r="P188" s="3" t="str">
        <f>IFERROR(MID(VLOOKUP($B188,Seqs!$A:$B,2,0),Q188,1),"")</f>
        <v>A</v>
      </c>
      <c r="Q188" s="3">
        <v>71</v>
      </c>
      <c r="R188" s="3" t="str">
        <f>IFERROR(MID(VLOOKUP($B188,Seqs!$A:$B,2,0),S188,1),"")</f>
        <v>L</v>
      </c>
      <c r="S188" s="3">
        <v>74</v>
      </c>
      <c r="T188" s="3" t="str">
        <f>IFERROR(MID(VLOOKUP($B188,Seqs!$A:$B,2,0),U188,1),"")</f>
        <v>P</v>
      </c>
      <c r="U188" s="3">
        <v>75</v>
      </c>
      <c r="V188" s="3" t="str">
        <f>IFERROR(MID(VLOOKUP($B188,Seqs!$A:$B,2,0),W188,1),"")</f>
        <v>F</v>
      </c>
      <c r="W188" s="3">
        <v>110</v>
      </c>
      <c r="X188" s="3" t="str">
        <f>IFERROR(MID(VLOOKUP($B188,Seqs!$A:$B,2,0),Y188,1),"")</f>
        <v/>
      </c>
      <c r="Y188" s="3" t="s">
        <v>23</v>
      </c>
      <c r="Z188" s="3" t="str">
        <f>IFERROR(MID(VLOOKUP($B188,Seqs!$A:$B,2,0),AA188,1),"")</f>
        <v/>
      </c>
      <c r="AA188" s="3" t="s">
        <v>23</v>
      </c>
      <c r="AB188" s="3" t="str">
        <f>IFERROR(MID(VLOOKUP($B188,Seqs!$A:$B,2,0),AC188,1),"")</f>
        <v>C</v>
      </c>
      <c r="AC188" s="3">
        <v>121</v>
      </c>
      <c r="AD188" s="3" t="str">
        <f>IFERROR(MID(VLOOKUP($B188,Seqs!$A:$B,2,0),AE188,1),"")</f>
        <v>A</v>
      </c>
      <c r="AE188" s="3">
        <v>146</v>
      </c>
      <c r="AF188" s="3" t="str">
        <f>IFERROR(MID(VLOOKUP($B188,Seqs!$A:$B,2,0),AG188,1),"")</f>
        <v>C</v>
      </c>
      <c r="AG188" s="3">
        <v>170</v>
      </c>
      <c r="AH188" s="3" t="str">
        <f>IFERROR(MID(VLOOKUP($B188,Seqs!$A:$B,2,0),AI188,1),"")</f>
        <v>E</v>
      </c>
      <c r="AI188" s="3">
        <v>172</v>
      </c>
      <c r="AJ188" s="3" t="str">
        <f>IFERROR(MID(VLOOKUP($B188,Seqs!$A:$B,2,0),AK188,1),"")</f>
        <v>D</v>
      </c>
      <c r="AK188" s="3">
        <v>175</v>
      </c>
      <c r="AL188" s="3" t="str">
        <f>IFERROR(MID(VLOOKUP($B188,Seqs!$A:$B,2,0),AM188,1),"")</f>
        <v>R</v>
      </c>
      <c r="AM188" s="3">
        <v>211</v>
      </c>
      <c r="AN188" s="3" t="str">
        <f>IFERROR(MID(VLOOKUP($B188,Seqs!$A:$B,2,0),AO188,1),"")</f>
        <v/>
      </c>
      <c r="AO188" s="3">
        <v>2214</v>
      </c>
      <c r="AP188" s="3" t="str">
        <f>IFERROR(MID(VLOOKUP($B188,Seqs!$A:$B,2,0),AQ188,1),"")</f>
        <v/>
      </c>
      <c r="AQ188" s="3">
        <v>2250</v>
      </c>
      <c r="AR188" s="3" t="str">
        <f>IFERROR(MID(VLOOKUP($B188,Seqs!$A:$B,2,0),AS188,1),"")</f>
        <v/>
      </c>
      <c r="AS188" s="3">
        <v>2255</v>
      </c>
      <c r="AT188" s="3" t="str">
        <f>IFERROR(MID(VLOOKUP($B188,Seqs!$A:$B,2,0),AU188,1),"")</f>
        <v/>
      </c>
      <c r="AU188" s="3">
        <v>2276</v>
      </c>
      <c r="AV188" s="3" t="str">
        <f>IFERROR(MID(VLOOKUP($B188,Seqs!$A:$B,2,0),AW188,1),"")</f>
        <v/>
      </c>
      <c r="AW188" s="3" t="s">
        <v>23</v>
      </c>
      <c r="AX188" s="3" t="str">
        <f>IFERROR(MID(VLOOKUP($B188,Seqs!$A:$B,2,0),AY188,1),"")</f>
        <v/>
      </c>
      <c r="AY188" s="3" t="s">
        <v>23</v>
      </c>
      <c r="AZ188" s="77" t="str">
        <f>VLOOKUP(B188,Classification!A:D,2,0)</f>
        <v>A</v>
      </c>
      <c r="BA188" s="94" t="str">
        <f>VLOOKUP(B188,Classification!A:D,4,0)</f>
        <v>Freefattyacid</v>
      </c>
      <c r="BB188" s="27" t="b">
        <f>AND(E188&lt;G188,OR(G188&lt;I188,I188="-"),OR(I188&lt;K188,I188="-"),OR(K188&lt;M188,K188="-"),M188&lt;O188,OR(O188&lt;Q188,Q188="-"),OR(Q188&lt;S188,Q188="-"),OR(S188&lt;U188,S188="-"),U188&lt;W188,OR(W188&lt;Y188,Y188="-"),OR(Y188&lt;AA188,Y188="-"),OR(AA188&lt;AC188,AA188="-"),AC188&lt;AE188,OR(AE188&lt;AG188,AG188="-"),OR(AG188&lt;AI188,AG188="-"),OR(AI188&lt;AK188,AI188="-"),AK188&lt;AM188,AM188&lt;AO188,AO188&lt;AQ188,AQ188&lt;AS188,AS188&lt;AU188,OR(AU188&lt;AW188,AW188="-"),OR(AW188&lt;AY188,AW188="-"))</f>
        <v>1</v>
      </c>
      <c r="BC188" s="23">
        <f>_xlfn.AGGREGATE(9,6,CH188:CS188)-_xlfn.AGGREGATE(9,6,BV188:CG188)+12</f>
        <v>233</v>
      </c>
      <c r="BD188" s="16" t="s">
        <v>23</v>
      </c>
      <c r="BE188" s="3" t="s">
        <v>1429</v>
      </c>
      <c r="BF188" s="119">
        <v>2.2000000000000002</v>
      </c>
      <c r="BG188" s="49" t="s">
        <v>1</v>
      </c>
      <c r="BH188" s="49" t="s">
        <v>1</v>
      </c>
      <c r="BI188" s="1"/>
      <c r="BJ188" s="70" t="s">
        <v>1288</v>
      </c>
      <c r="BK188" s="57" t="s">
        <v>1288</v>
      </c>
      <c r="BL188" s="57" t="s">
        <v>1288</v>
      </c>
      <c r="BM188" s="57" t="s">
        <v>1288</v>
      </c>
      <c r="BN188" s="57" t="s">
        <v>1288</v>
      </c>
      <c r="BO188" s="57" t="s">
        <v>1288</v>
      </c>
      <c r="BP188" s="57" t="s">
        <v>1288</v>
      </c>
      <c r="BQ188" s="57" t="s">
        <v>1288</v>
      </c>
      <c r="BR188" s="57" t="s">
        <v>1288</v>
      </c>
      <c r="BS188" s="57" t="s">
        <v>1288</v>
      </c>
      <c r="BT188" s="57" t="s">
        <v>1288</v>
      </c>
      <c r="BU188" s="57" t="s">
        <v>1288</v>
      </c>
      <c r="BV188" s="70">
        <f>E188</f>
        <v>4</v>
      </c>
      <c r="BW188" s="71" t="str">
        <f>I188</f>
        <v>-</v>
      </c>
      <c r="BX188" s="72">
        <f>M188</f>
        <v>39</v>
      </c>
      <c r="BY188" s="71">
        <f>Q188</f>
        <v>71</v>
      </c>
      <c r="BZ188" s="72">
        <f>U188</f>
        <v>75</v>
      </c>
      <c r="CA188" s="71" t="str">
        <f>Y188</f>
        <v>-</v>
      </c>
      <c r="CB188" s="72">
        <f>AC188</f>
        <v>121</v>
      </c>
      <c r="CC188" s="71">
        <f>AG188</f>
        <v>170</v>
      </c>
      <c r="CD188" s="72">
        <f>AK188</f>
        <v>175</v>
      </c>
      <c r="CE188" s="71">
        <f>AO188</f>
        <v>2214</v>
      </c>
      <c r="CF188" s="72">
        <f>AS188</f>
        <v>2255</v>
      </c>
      <c r="CG188" s="71" t="str">
        <f>AW188</f>
        <v>-</v>
      </c>
      <c r="CH188" s="70">
        <f>G188</f>
        <v>37</v>
      </c>
      <c r="CI188" s="71" t="str">
        <f>K188</f>
        <v>-</v>
      </c>
      <c r="CJ188" s="72">
        <f>O188</f>
        <v>69</v>
      </c>
      <c r="CK188" s="72">
        <f>S188</f>
        <v>74</v>
      </c>
      <c r="CL188" s="72">
        <f>W188</f>
        <v>110</v>
      </c>
      <c r="CM188" s="72" t="str">
        <f>AA188</f>
        <v>-</v>
      </c>
      <c r="CN188" s="72">
        <f>AE188</f>
        <v>146</v>
      </c>
      <c r="CO188" s="72">
        <f>AI188</f>
        <v>172</v>
      </c>
      <c r="CP188" s="72">
        <f>AM188</f>
        <v>211</v>
      </c>
      <c r="CQ188" s="72">
        <f>AQ188</f>
        <v>2250</v>
      </c>
      <c r="CR188" s="72">
        <f>AU188</f>
        <v>2276</v>
      </c>
      <c r="CS188" s="72" t="str">
        <f>AY188</f>
        <v>-</v>
      </c>
      <c r="CT188" s="23" t="e">
        <f>M188-K188</f>
        <v>#VALUE!</v>
      </c>
    </row>
    <row r="189" spans="1:1029" x14ac:dyDescent="0.2">
      <c r="A189" s="3" t="str">
        <f>CONCATENATE(B189,"_",C189)</f>
        <v>ffar1_human_5TZY</v>
      </c>
      <c r="B189" s="3" t="s">
        <v>1173</v>
      </c>
      <c r="C189" s="3" t="s">
        <v>1418</v>
      </c>
      <c r="D189" s="3" t="str">
        <f>IFERROR(MID(VLOOKUP($B189,Seqs!$A:$B,2,0),E189,1),"")</f>
        <v>P</v>
      </c>
      <c r="E189" s="3">
        <v>4</v>
      </c>
      <c r="F189" s="3" t="str">
        <f>IFERROR(MID(VLOOKUP($B189,Seqs!$A:$B,2,0),G189,1),"")</f>
        <v>R</v>
      </c>
      <c r="G189" s="3">
        <v>37</v>
      </c>
      <c r="H189" s="3" t="str">
        <f>IFERROR(MID(VLOOKUP($B189,Seqs!$A:$B,2,0),I189,1),"")</f>
        <v/>
      </c>
      <c r="I189" s="23" t="s">
        <v>23</v>
      </c>
      <c r="J189" s="3" t="str">
        <f>IFERROR(MID(VLOOKUP($B189,Seqs!$A:$B,2,0),K189,1),"")</f>
        <v/>
      </c>
      <c r="K189" s="23" t="s">
        <v>23</v>
      </c>
      <c r="L189" s="3" t="str">
        <f>IFERROR(MID(VLOOKUP($B189,Seqs!$A:$B,2,0),M189,1),"")</f>
        <v>T</v>
      </c>
      <c r="M189" s="3">
        <v>39</v>
      </c>
      <c r="N189" s="3" t="str">
        <f>IFERROR(MID(VLOOKUP($B189,Seqs!$A:$B,2,0),O189,1),"")</f>
        <v>A</v>
      </c>
      <c r="O189" s="3">
        <v>68</v>
      </c>
      <c r="P189" s="3" t="str">
        <f>IFERROR(MID(VLOOKUP($B189,Seqs!$A:$B,2,0),Q189,1),"")</f>
        <v>A</v>
      </c>
      <c r="Q189" s="3">
        <v>71</v>
      </c>
      <c r="R189" s="3" t="str">
        <f>IFERROR(MID(VLOOKUP($B189,Seqs!$A:$B,2,0),S189,1),"")</f>
        <v>L</v>
      </c>
      <c r="S189" s="3">
        <v>74</v>
      </c>
      <c r="T189" s="3" t="str">
        <f>IFERROR(MID(VLOOKUP($B189,Seqs!$A:$B,2,0),U189,1),"")</f>
        <v>P</v>
      </c>
      <c r="U189" s="3">
        <v>75</v>
      </c>
      <c r="V189" s="3" t="str">
        <f>IFERROR(MID(VLOOKUP($B189,Seqs!$A:$B,2,0),W189,1),"")</f>
        <v>F</v>
      </c>
      <c r="W189" s="3">
        <v>110</v>
      </c>
      <c r="X189" s="3" t="str">
        <f>IFERROR(MID(VLOOKUP($B189,Seqs!$A:$B,2,0),Y189,1),"")</f>
        <v>P</v>
      </c>
      <c r="Y189" s="3">
        <v>111</v>
      </c>
      <c r="Z189" s="3" t="str">
        <f>IFERROR(MID(VLOOKUP($B189,Seqs!$A:$B,2,0),AA189,1),"")</f>
        <v>R</v>
      </c>
      <c r="AA189" s="3">
        <v>118</v>
      </c>
      <c r="AB189" s="3" t="str">
        <f>IFERROR(MID(VLOOKUP($B189,Seqs!$A:$B,2,0),AC189,1),"")</f>
        <v>R</v>
      </c>
      <c r="AC189" s="3">
        <v>119</v>
      </c>
      <c r="AD189" s="3" t="str">
        <f>IFERROR(MID(VLOOKUP($B189,Seqs!$A:$B,2,0),AE189,1),"")</f>
        <v>A</v>
      </c>
      <c r="AE189" s="3">
        <v>146</v>
      </c>
      <c r="AF189" s="3" t="str">
        <f>IFERROR(MID(VLOOKUP($B189,Seqs!$A:$B,2,0),AG189,1),"")</f>
        <v>C</v>
      </c>
      <c r="AG189" s="3">
        <v>170</v>
      </c>
      <c r="AH189" s="3" t="str">
        <f>IFERROR(MID(VLOOKUP($B189,Seqs!$A:$B,2,0),AI189,1),"")</f>
        <v>E</v>
      </c>
      <c r="AI189" s="3">
        <v>172</v>
      </c>
      <c r="AJ189" s="3" t="str">
        <f>IFERROR(MID(VLOOKUP($B189,Seqs!$A:$B,2,0),AK189,1),"")</f>
        <v>D</v>
      </c>
      <c r="AK189" s="3">
        <v>175</v>
      </c>
      <c r="AL189" s="3" t="str">
        <f>IFERROR(MID(VLOOKUP($B189,Seqs!$A:$B,2,0),AM189,1),"")</f>
        <v>R</v>
      </c>
      <c r="AM189" s="3">
        <v>211</v>
      </c>
      <c r="AN189" s="3" t="str">
        <f>IFERROR(MID(VLOOKUP($B189,Seqs!$A:$B,2,0),AO189,1),"")</f>
        <v/>
      </c>
      <c r="AO189" s="3">
        <v>2215</v>
      </c>
      <c r="AP189" s="3" t="str">
        <f>IFERROR(MID(VLOOKUP($B189,Seqs!$A:$B,2,0),AQ189,1),"")</f>
        <v/>
      </c>
      <c r="AQ189" s="3">
        <v>2250</v>
      </c>
      <c r="AR189" s="3" t="str">
        <f>IFERROR(MID(VLOOKUP($B189,Seqs!$A:$B,2,0),AS189,1),"")</f>
        <v/>
      </c>
      <c r="AS189" s="3">
        <v>2254</v>
      </c>
      <c r="AT189" s="3" t="str">
        <f>IFERROR(MID(VLOOKUP($B189,Seqs!$A:$B,2,0),AU189,1),"")</f>
        <v/>
      </c>
      <c r="AU189" s="3">
        <v>2277</v>
      </c>
      <c r="AV189" s="3" t="str">
        <f>IFERROR(MID(VLOOKUP($B189,Seqs!$A:$B,2,0),AW189,1),"")</f>
        <v/>
      </c>
      <c r="AW189" s="3" t="s">
        <v>23</v>
      </c>
      <c r="AX189" s="3" t="str">
        <f>IFERROR(MID(VLOOKUP($B189,Seqs!$A:$B,2,0),AY189,1),"")</f>
        <v/>
      </c>
      <c r="AY189" s="3" t="s">
        <v>23</v>
      </c>
      <c r="AZ189" s="77" t="str">
        <f>VLOOKUP(B189,Classification!A:D,2,0)</f>
        <v>A</v>
      </c>
      <c r="BA189" s="94" t="str">
        <f>VLOOKUP(B189,Classification!A:D,4,0)</f>
        <v>Freefattyacid</v>
      </c>
      <c r="BB189" s="27" t="b">
        <f>AND(E189&lt;G189,OR(G189&lt;I189,I189="-"),OR(I189&lt;K189,I189="-"),OR(K189&lt;M189,K189="-"),M189&lt;O189,OR(O189&lt;Q189,Q189="-"),OR(Q189&lt;S189,Q189="-"),OR(S189&lt;U189,S189="-"),U189&lt;W189,OR(W189&lt;Y189,Y189="-"),OR(Y189&lt;AA189,Y189="-"),OR(AA189&lt;AC189,AA189="-"),AC189&lt;AE189,OR(AE189&lt;AG189,AG189="-"),OR(AG189&lt;AI189,AG189="-"),OR(AI189&lt;AK189,AI189="-"),AK189&lt;AM189,AM189&lt;AO189,AO189&lt;AQ189,AQ189&lt;AS189,AS189&lt;AU189,OR(AU189&lt;AW189,AW189="-"),OR(AW189&lt;AY189,AW189="-"))</f>
        <v>1</v>
      </c>
      <c r="BC189" s="23">
        <f>_xlfn.AGGREGATE(9,6,CH189:CS189)-_xlfn.AGGREGATE(9,6,BV189:CG189)+12</f>
        <v>242</v>
      </c>
      <c r="BD189" s="16" t="s">
        <v>1430</v>
      </c>
      <c r="BE189" s="3" t="s">
        <v>1429</v>
      </c>
      <c r="BF189" s="119">
        <v>3.22</v>
      </c>
      <c r="BG189" s="49" t="s">
        <v>1</v>
      </c>
      <c r="BH189" s="49" t="s">
        <v>1</v>
      </c>
      <c r="BI189" s="1"/>
      <c r="BJ189" s="70" t="s">
        <v>1288</v>
      </c>
      <c r="BK189" s="57" t="s">
        <v>1288</v>
      </c>
      <c r="BL189" s="57" t="s">
        <v>1288</v>
      </c>
      <c r="BM189" s="57" t="s">
        <v>1288</v>
      </c>
      <c r="BN189" s="57" t="s">
        <v>1288</v>
      </c>
      <c r="BO189" s="57" t="s">
        <v>1288</v>
      </c>
      <c r="BP189" s="57" t="s">
        <v>1288</v>
      </c>
      <c r="BQ189" s="57" t="s">
        <v>1288</v>
      </c>
      <c r="BR189" s="57" t="s">
        <v>1288</v>
      </c>
      <c r="BS189" s="57" t="s">
        <v>1288</v>
      </c>
      <c r="BT189" s="57" t="s">
        <v>1288</v>
      </c>
      <c r="BU189" s="57" t="s">
        <v>1288</v>
      </c>
      <c r="BV189" s="70">
        <f>E189</f>
        <v>4</v>
      </c>
      <c r="BW189" s="71" t="str">
        <f>I189</f>
        <v>-</v>
      </c>
      <c r="BX189" s="72">
        <f>M189</f>
        <v>39</v>
      </c>
      <c r="BY189" s="71">
        <f>Q189</f>
        <v>71</v>
      </c>
      <c r="BZ189" s="72">
        <f>U189</f>
        <v>75</v>
      </c>
      <c r="CA189" s="71">
        <f>Y189</f>
        <v>111</v>
      </c>
      <c r="CB189" s="72">
        <f>AC189</f>
        <v>119</v>
      </c>
      <c r="CC189" s="71">
        <f>AG189</f>
        <v>170</v>
      </c>
      <c r="CD189" s="72">
        <f>AK189</f>
        <v>175</v>
      </c>
      <c r="CE189" s="71">
        <f>AO189</f>
        <v>2215</v>
      </c>
      <c r="CF189" s="72">
        <f>AS189</f>
        <v>2254</v>
      </c>
      <c r="CG189" s="71" t="str">
        <f>AW189</f>
        <v>-</v>
      </c>
      <c r="CH189" s="70">
        <f>G189</f>
        <v>37</v>
      </c>
      <c r="CI189" s="71" t="str">
        <f>K189</f>
        <v>-</v>
      </c>
      <c r="CJ189" s="72">
        <f>O189</f>
        <v>68</v>
      </c>
      <c r="CK189" s="72">
        <f>S189</f>
        <v>74</v>
      </c>
      <c r="CL189" s="72">
        <f>W189</f>
        <v>110</v>
      </c>
      <c r="CM189" s="72">
        <f>AA189</f>
        <v>118</v>
      </c>
      <c r="CN189" s="72">
        <f>AE189</f>
        <v>146</v>
      </c>
      <c r="CO189" s="72">
        <f>AI189</f>
        <v>172</v>
      </c>
      <c r="CP189" s="72">
        <f>AM189</f>
        <v>211</v>
      </c>
      <c r="CQ189" s="72">
        <f>AQ189</f>
        <v>2250</v>
      </c>
      <c r="CR189" s="72">
        <f>AU189</f>
        <v>2277</v>
      </c>
      <c r="CS189" s="72" t="str">
        <f>AY189</f>
        <v>-</v>
      </c>
      <c r="CT189" s="23" t="e">
        <f>M189-K189</f>
        <v>#VALUE!</v>
      </c>
    </row>
    <row r="190" spans="1:1029" x14ac:dyDescent="0.2">
      <c r="A190" s="3" t="str">
        <f t="shared" si="811"/>
        <v>hrh1_human__wt</v>
      </c>
      <c r="B190" s="3" t="s">
        <v>278</v>
      </c>
      <c r="C190" s="3" t="s">
        <v>100</v>
      </c>
      <c r="D190" s="3" t="str">
        <f>IFERROR(MID(VLOOKUP($B190,Seqs!$A:$B,2,0),E190,1),"")</f>
        <v>P</v>
      </c>
      <c r="E190" s="3">
        <v>29</v>
      </c>
      <c r="F190" s="3" t="str">
        <f>IFERROR(MID(VLOOKUP($B190,Seqs!$A:$B,2,0),G190,1),"")</f>
        <v>E</v>
      </c>
      <c r="G190" s="3">
        <v>55</v>
      </c>
      <c r="H190" s="3" t="str">
        <f>IFERROR(MID(VLOOKUP($B190,Seqs!$A:$B,2,0),I190,1),"")</f>
        <v>R</v>
      </c>
      <c r="I190" s="23">
        <v>56</v>
      </c>
      <c r="J190" s="3" t="str">
        <f>IFERROR(MID(VLOOKUP($B190,Seqs!$A:$B,2,0),K190,1),"")</f>
        <v>H</v>
      </c>
      <c r="K190" s="23">
        <v>59</v>
      </c>
      <c r="L190" s="3" t="str">
        <f>IFERROR(MID(VLOOKUP($B190,Seqs!$A:$B,2,0),M190,1),"")</f>
        <v>T</v>
      </c>
      <c r="M190" s="3">
        <v>60</v>
      </c>
      <c r="N190" s="3" t="str">
        <f>IFERROR(MID(VLOOKUP($B190,Seqs!$A:$B,2,0),O190,1),"")</f>
        <v>M</v>
      </c>
      <c r="O190" s="3">
        <v>90</v>
      </c>
      <c r="P190" s="3" t="str">
        <f>IFERROR(MID(VLOOKUP($B190,Seqs!$A:$B,2,0),Q190,1),"")</f>
        <v>K</v>
      </c>
      <c r="Q190" s="3">
        <v>92</v>
      </c>
      <c r="R190" s="3" t="str">
        <f>IFERROR(MID(VLOOKUP($B190,Seqs!$A:$B,2,0),S190,1),"")</f>
        <v>L</v>
      </c>
      <c r="S190" s="3">
        <v>95</v>
      </c>
      <c r="T190" s="3" t="str">
        <f>IFERROR(MID(VLOOKUP($B190,Seqs!$A:$B,2,0),U190,1),"")</f>
        <v>G</v>
      </c>
      <c r="U190" s="3">
        <v>96</v>
      </c>
      <c r="V190" s="3" t="str">
        <f>IFERROR(MID(VLOOKUP($B190,Seqs!$A:$B,2,0),W190,1),"")</f>
        <v>Q</v>
      </c>
      <c r="W190" s="3">
        <v>131</v>
      </c>
      <c r="X190" s="3" t="str">
        <f>IFERROR(MID(VLOOKUP($B190,Seqs!$A:$B,2,0),Y190,1),"")</f>
        <v>P</v>
      </c>
      <c r="Y190" s="3">
        <v>132</v>
      </c>
      <c r="Z190" s="3" t="str">
        <f>IFERROR(MID(VLOOKUP($B190,Seqs!$A:$B,2,0),AA190,1),"")</f>
        <v>R</v>
      </c>
      <c r="AA190" s="3">
        <v>139</v>
      </c>
      <c r="AB190" s="3" t="str">
        <f>IFERROR(MID(VLOOKUP($B190,Seqs!$A:$B,2,0),AC190,1),"")</f>
        <v>T</v>
      </c>
      <c r="AC190" s="9">
        <v>140</v>
      </c>
      <c r="AD190" s="3" t="str">
        <f>IFERROR(MID(VLOOKUP($B190,Seqs!$A:$B,2,0),AE190,1),"")</f>
        <v>G</v>
      </c>
      <c r="AE190" s="3">
        <v>164</v>
      </c>
      <c r="AF190" s="3" t="str">
        <f>IFERROR(MID(VLOOKUP($B190,Seqs!$A:$B,2,0),AG190,1),"")</f>
        <v>C</v>
      </c>
      <c r="AG190" s="3">
        <v>180</v>
      </c>
      <c r="AH190" s="3" t="str">
        <f>IFERROR(MID(VLOOKUP($B190,Seqs!$A:$B,2,0),AI190,1),"")</f>
        <v>T</v>
      </c>
      <c r="AI190" s="3">
        <v>182</v>
      </c>
      <c r="AJ190" s="3" t="str">
        <f>IFERROR(MID(VLOOKUP($B190,Seqs!$A:$B,2,0),AK190,1),"")</f>
        <v>V</v>
      </c>
      <c r="AK190" s="3">
        <v>187</v>
      </c>
      <c r="AL190" s="3" t="str">
        <f>IFERROR(MID(VLOOKUP($B190,Seqs!$A:$B,2,0),AM190,1),"")</f>
        <v>N</v>
      </c>
      <c r="AM190" s="3">
        <v>228</v>
      </c>
      <c r="AN190" s="3" t="str">
        <f>IFERROR(MID(VLOOKUP($B190,Seqs!$A:$B,2,0),AO190,1),"")</f>
        <v>G</v>
      </c>
      <c r="AO190" s="3">
        <v>404</v>
      </c>
      <c r="AP190" s="3" t="str">
        <f>IFERROR(MID(VLOOKUP($B190,Seqs!$A:$B,2,0),AQ190,1),"")</f>
        <v>C</v>
      </c>
      <c r="AQ190" s="3">
        <v>441</v>
      </c>
      <c r="AR190" s="3" t="str">
        <f>IFERROR(MID(VLOOKUP($B190,Seqs!$A:$B,2,0),AS190,1),"")</f>
        <v>N</v>
      </c>
      <c r="AS190" s="3">
        <v>446</v>
      </c>
      <c r="AT190" s="3" t="str">
        <f>IFERROR(MID(VLOOKUP($B190,Seqs!$A:$B,2,0),AU190,1),"")</f>
        <v>C</v>
      </c>
      <c r="AU190" s="3">
        <v>471</v>
      </c>
      <c r="AV190" s="3" t="str">
        <f>IFERROR(MID(VLOOKUP($B190,Seqs!$A:$B,2,0),AW190,1),"")</f>
        <v>N</v>
      </c>
      <c r="AW190" s="3">
        <v>472</v>
      </c>
      <c r="AX190" s="3" t="str">
        <f>IFERROR(MID(VLOOKUP($B190,Seqs!$A:$B,2,0),AY190,1),"")</f>
        <v>H</v>
      </c>
      <c r="AY190" s="3">
        <v>484</v>
      </c>
      <c r="AZ190" s="77" t="str">
        <f>VLOOKUP(B190,Classification!A:D,2,0)</f>
        <v>A</v>
      </c>
      <c r="BA190" s="94" t="str">
        <f>VLOOKUP(B190,Classification!A:D,4,0)</f>
        <v>Histamine</v>
      </c>
      <c r="BB190" s="27" t="b">
        <f t="shared" si="812"/>
        <v>1</v>
      </c>
      <c r="BC190" s="23">
        <f t="shared" si="979"/>
        <v>257</v>
      </c>
      <c r="BD190" s="34" t="s">
        <v>23</v>
      </c>
      <c r="BE190" s="3" t="s">
        <v>23</v>
      </c>
      <c r="BF190" s="119" t="s">
        <v>23</v>
      </c>
      <c r="BG190" s="49" t="s">
        <v>1373</v>
      </c>
      <c r="BH190" s="49" t="s">
        <v>1378</v>
      </c>
      <c r="BI190" s="1"/>
      <c r="BJ190" s="70" t="s">
        <v>1288</v>
      </c>
      <c r="BK190" s="57" t="s">
        <v>1288</v>
      </c>
      <c r="BL190" s="57" t="s">
        <v>1288</v>
      </c>
      <c r="BM190" s="57" t="s">
        <v>1288</v>
      </c>
      <c r="BN190" s="57" t="s">
        <v>1288</v>
      </c>
      <c r="BO190" s="57" t="s">
        <v>1288</v>
      </c>
      <c r="BP190" s="57" t="s">
        <v>1288</v>
      </c>
      <c r="BQ190" s="57" t="s">
        <v>1288</v>
      </c>
      <c r="BR190" s="57" t="s">
        <v>1288</v>
      </c>
      <c r="BS190" s="57" t="s">
        <v>1288</v>
      </c>
      <c r="BT190" s="57" t="s">
        <v>1288</v>
      </c>
      <c r="BU190" s="57" t="s">
        <v>1288</v>
      </c>
      <c r="BV190" s="70">
        <f t="shared" si="980"/>
        <v>29</v>
      </c>
      <c r="BW190" s="71">
        <f t="shared" si="981"/>
        <v>56</v>
      </c>
      <c r="BX190" s="72">
        <f t="shared" si="982"/>
        <v>60</v>
      </c>
      <c r="BY190" s="71">
        <f t="shared" si="983"/>
        <v>92</v>
      </c>
      <c r="BZ190" s="72">
        <f t="shared" si="984"/>
        <v>96</v>
      </c>
      <c r="CA190" s="71">
        <f t="shared" si="985"/>
        <v>132</v>
      </c>
      <c r="CB190" s="72">
        <f t="shared" si="986"/>
        <v>140</v>
      </c>
      <c r="CC190" s="71">
        <f t="shared" si="987"/>
        <v>180</v>
      </c>
      <c r="CD190" s="72">
        <f t="shared" si="988"/>
        <v>187</v>
      </c>
      <c r="CE190" s="71">
        <f t="shared" si="989"/>
        <v>404</v>
      </c>
      <c r="CF190" s="72">
        <f t="shared" si="990"/>
        <v>446</v>
      </c>
      <c r="CG190" s="71">
        <f t="shared" si="991"/>
        <v>472</v>
      </c>
      <c r="CH190" s="70">
        <f t="shared" si="992"/>
        <v>55</v>
      </c>
      <c r="CI190" s="71">
        <f t="shared" si="993"/>
        <v>59</v>
      </c>
      <c r="CJ190" s="72">
        <f t="shared" si="994"/>
        <v>90</v>
      </c>
      <c r="CK190" s="72">
        <f t="shared" si="995"/>
        <v>95</v>
      </c>
      <c r="CL190" s="72">
        <f t="shared" si="996"/>
        <v>131</v>
      </c>
      <c r="CM190" s="72">
        <f t="shared" si="997"/>
        <v>139</v>
      </c>
      <c r="CN190" s="72">
        <f t="shared" si="998"/>
        <v>164</v>
      </c>
      <c r="CO190" s="72">
        <f t="shared" si="999"/>
        <v>182</v>
      </c>
      <c r="CP190" s="72">
        <f t="shared" si="1000"/>
        <v>228</v>
      </c>
      <c r="CQ190" s="72">
        <f t="shared" si="1001"/>
        <v>441</v>
      </c>
      <c r="CR190" s="72">
        <f t="shared" si="1002"/>
        <v>471</v>
      </c>
      <c r="CS190" s="72">
        <f t="shared" si="1003"/>
        <v>484</v>
      </c>
      <c r="CT190" s="23">
        <f t="shared" si="1004"/>
        <v>1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29" x14ac:dyDescent="0.2">
      <c r="A191" s="3" t="str">
        <f t="shared" si="811"/>
        <v>hrh1_human_3RZE</v>
      </c>
      <c r="B191" s="3" t="s">
        <v>278</v>
      </c>
      <c r="C191" s="3" t="s">
        <v>73</v>
      </c>
      <c r="D191" s="3" t="str">
        <f>IFERROR(MID(VLOOKUP($B191,Seqs!$A:$B,2,0),E191,1),"")</f>
        <v>V</v>
      </c>
      <c r="E191" s="3">
        <v>33</v>
      </c>
      <c r="F191" s="3" t="str">
        <f>IFERROR(MID(VLOOKUP($B191,Seqs!$A:$B,2,0),G191,1),"")</f>
        <v>E</v>
      </c>
      <c r="G191" s="3">
        <v>55</v>
      </c>
      <c r="H191" s="3" t="str">
        <f>IFERROR(MID(VLOOKUP($B191,Seqs!$A:$B,2,0),I191,1),"")</f>
        <v>R</v>
      </c>
      <c r="I191" s="23">
        <v>56</v>
      </c>
      <c r="J191" s="3" t="str">
        <f>IFERROR(MID(VLOOKUP($B191,Seqs!$A:$B,2,0),K191,1),"")</f>
        <v>H</v>
      </c>
      <c r="K191" s="23">
        <v>59</v>
      </c>
      <c r="L191" s="3" t="str">
        <f>IFERROR(MID(VLOOKUP($B191,Seqs!$A:$B,2,0),M191,1),"")</f>
        <v>T</v>
      </c>
      <c r="M191" s="3">
        <v>60</v>
      </c>
      <c r="N191" s="3" t="str">
        <f>IFERROR(MID(VLOOKUP($B191,Seqs!$A:$B,2,0),O191,1),"")</f>
        <v>M</v>
      </c>
      <c r="O191" s="3">
        <v>90</v>
      </c>
      <c r="P191" s="3" t="str">
        <f>IFERROR(MID(VLOOKUP($B191,Seqs!$A:$B,2,0),Q191,1),"")</f>
        <v>K</v>
      </c>
      <c r="Q191" s="3">
        <v>92</v>
      </c>
      <c r="R191" s="3" t="str">
        <f>IFERROR(MID(VLOOKUP($B191,Seqs!$A:$B,2,0),S191,1),"")</f>
        <v>L</v>
      </c>
      <c r="S191" s="3">
        <v>95</v>
      </c>
      <c r="T191" s="3" t="str">
        <f>IFERROR(MID(VLOOKUP($B191,Seqs!$A:$B,2,0),U191,1),"")</f>
        <v>G</v>
      </c>
      <c r="U191" s="3">
        <v>96</v>
      </c>
      <c r="V191" s="3" t="str">
        <f>IFERROR(MID(VLOOKUP($B191,Seqs!$A:$B,2,0),W191,1),"")</f>
        <v>Q</v>
      </c>
      <c r="W191" s="3">
        <v>131</v>
      </c>
      <c r="X191" s="3" t="str">
        <f>IFERROR(MID(VLOOKUP($B191,Seqs!$A:$B,2,0),Y191,1),"")</f>
        <v/>
      </c>
      <c r="Y191" s="3" t="s">
        <v>23</v>
      </c>
      <c r="Z191" s="3" t="str">
        <f>IFERROR(MID(VLOOKUP($B191,Seqs!$A:$B,2,0),AA191,1),"")</f>
        <v/>
      </c>
      <c r="AA191" s="3" t="s">
        <v>23</v>
      </c>
      <c r="AB191" s="3" t="str">
        <f>IFERROR(MID(VLOOKUP($B191,Seqs!$A:$B,2,0),AC191,1),"")</f>
        <v>T</v>
      </c>
      <c r="AC191" s="9">
        <v>140</v>
      </c>
      <c r="AD191" s="3" t="str">
        <f>IFERROR(MID(VLOOKUP($B191,Seqs!$A:$B,2,0),AE191,1),"")</f>
        <v>G</v>
      </c>
      <c r="AE191" s="3">
        <v>164</v>
      </c>
      <c r="AF191" s="3" t="str">
        <f>IFERROR(MID(VLOOKUP($B191,Seqs!$A:$B,2,0),AG191,1),"")</f>
        <v>C</v>
      </c>
      <c r="AG191" s="3">
        <v>180</v>
      </c>
      <c r="AH191" s="3" t="str">
        <f>IFERROR(MID(VLOOKUP($B191,Seqs!$A:$B,2,0),AI191,1),"")</f>
        <v>T</v>
      </c>
      <c r="AI191" s="3">
        <v>182</v>
      </c>
      <c r="AJ191" s="3" t="str">
        <f>IFERROR(MID(VLOOKUP($B191,Seqs!$A:$B,2,0),AK191,1),"")</f>
        <v>V</v>
      </c>
      <c r="AK191" s="3">
        <v>187</v>
      </c>
      <c r="AL191" s="3" t="str">
        <f>IFERROR(MID(VLOOKUP($B191,Seqs!$A:$B,2,0),AM191,1),"")</f>
        <v>V</v>
      </c>
      <c r="AM191" s="3">
        <v>217</v>
      </c>
      <c r="AN191" s="3" t="str">
        <f>IFERROR(MID(VLOOKUP($B191,Seqs!$A:$B,2,0),AO191,1),"")</f>
        <v>N</v>
      </c>
      <c r="AO191" s="3">
        <v>408</v>
      </c>
      <c r="AP191" s="3" t="str">
        <f>IFERROR(MID(VLOOKUP($B191,Seqs!$A:$B,2,0),AQ191,1),"")</f>
        <v>C</v>
      </c>
      <c r="AQ191" s="3">
        <v>441</v>
      </c>
      <c r="AR191" s="3" t="str">
        <f>IFERROR(MID(VLOOKUP($B191,Seqs!$A:$B,2,0),AS191,1),"")</f>
        <v>N</v>
      </c>
      <c r="AS191" s="3">
        <v>446</v>
      </c>
      <c r="AT191" s="3" t="str">
        <f>IFERROR(MID(VLOOKUP($B191,Seqs!$A:$B,2,0),AU191,1),"")</f>
        <v>C</v>
      </c>
      <c r="AU191" s="3">
        <v>471</v>
      </c>
      <c r="AV191" s="3" t="str">
        <f>IFERROR(MID(VLOOKUP($B191,Seqs!$A:$B,2,0),AW191,1),"")</f>
        <v>N</v>
      </c>
      <c r="AW191" s="3">
        <v>472</v>
      </c>
      <c r="AX191" s="3" t="str">
        <f>IFERROR(MID(VLOOKUP($B191,Seqs!$A:$B,2,0),AY191,1),"")</f>
        <v>H</v>
      </c>
      <c r="AY191" s="3">
        <v>484</v>
      </c>
      <c r="AZ191" s="77" t="str">
        <f>VLOOKUP(B191,Classification!A:D,2,0)</f>
        <v>A</v>
      </c>
      <c r="BA191" s="94" t="str">
        <f>VLOOKUP(B191,Classification!A:D,4,0)</f>
        <v>Histamine</v>
      </c>
      <c r="BB191" s="27" t="b">
        <f t="shared" si="812"/>
        <v>1</v>
      </c>
      <c r="BC191" s="23">
        <f t="shared" si="979"/>
        <v>231</v>
      </c>
      <c r="BD191" s="16" t="s">
        <v>1377</v>
      </c>
      <c r="BE191" s="3" t="s">
        <v>1375</v>
      </c>
      <c r="BF191" s="119">
        <v>3.1</v>
      </c>
      <c r="BG191" s="49" t="s">
        <v>1378</v>
      </c>
      <c r="BH191" s="49" t="s">
        <v>1378</v>
      </c>
      <c r="BI191" s="1"/>
      <c r="BJ191" s="70" t="s">
        <v>1288</v>
      </c>
      <c r="BK191" s="57" t="s">
        <v>1288</v>
      </c>
      <c r="BL191" s="57" t="s">
        <v>1288</v>
      </c>
      <c r="BM191" s="57" t="s">
        <v>1288</v>
      </c>
      <c r="BN191" s="57" t="s">
        <v>1288</v>
      </c>
      <c r="BO191" s="57" t="s">
        <v>1288</v>
      </c>
      <c r="BP191" s="57" t="s">
        <v>1288</v>
      </c>
      <c r="BQ191" s="57" t="s">
        <v>1288</v>
      </c>
      <c r="BR191" s="57" t="s">
        <v>1288</v>
      </c>
      <c r="BS191" s="57" t="s">
        <v>1288</v>
      </c>
      <c r="BT191" s="57" t="s">
        <v>1288</v>
      </c>
      <c r="BU191" s="57" t="s">
        <v>1288</v>
      </c>
      <c r="BV191" s="70">
        <f t="shared" si="980"/>
        <v>33</v>
      </c>
      <c r="BW191" s="71">
        <f t="shared" si="981"/>
        <v>56</v>
      </c>
      <c r="BX191" s="72">
        <f t="shared" si="982"/>
        <v>60</v>
      </c>
      <c r="BY191" s="71">
        <f t="shared" si="983"/>
        <v>92</v>
      </c>
      <c r="BZ191" s="72">
        <f t="shared" si="984"/>
        <v>96</v>
      </c>
      <c r="CA191" s="71" t="str">
        <f t="shared" si="985"/>
        <v>-</v>
      </c>
      <c r="CB191" s="72">
        <f t="shared" si="986"/>
        <v>140</v>
      </c>
      <c r="CC191" s="71">
        <f t="shared" si="987"/>
        <v>180</v>
      </c>
      <c r="CD191" s="72">
        <f t="shared" si="988"/>
        <v>187</v>
      </c>
      <c r="CE191" s="71">
        <f t="shared" si="989"/>
        <v>408</v>
      </c>
      <c r="CF191" s="72">
        <f t="shared" si="990"/>
        <v>446</v>
      </c>
      <c r="CG191" s="71">
        <f t="shared" si="991"/>
        <v>472</v>
      </c>
      <c r="CH191" s="70">
        <f t="shared" si="992"/>
        <v>55</v>
      </c>
      <c r="CI191" s="71">
        <f t="shared" si="993"/>
        <v>59</v>
      </c>
      <c r="CJ191" s="72">
        <f t="shared" si="994"/>
        <v>90</v>
      </c>
      <c r="CK191" s="72">
        <f t="shared" si="995"/>
        <v>95</v>
      </c>
      <c r="CL191" s="72">
        <f t="shared" si="996"/>
        <v>131</v>
      </c>
      <c r="CM191" s="72" t="str">
        <f t="shared" si="997"/>
        <v>-</v>
      </c>
      <c r="CN191" s="72">
        <f t="shared" si="998"/>
        <v>164</v>
      </c>
      <c r="CO191" s="72">
        <f t="shared" si="999"/>
        <v>182</v>
      </c>
      <c r="CP191" s="72">
        <f t="shared" si="1000"/>
        <v>217</v>
      </c>
      <c r="CQ191" s="72">
        <f t="shared" si="1001"/>
        <v>441</v>
      </c>
      <c r="CR191" s="72">
        <f t="shared" si="1002"/>
        <v>471</v>
      </c>
      <c r="CS191" s="72">
        <f t="shared" si="1003"/>
        <v>484</v>
      </c>
      <c r="CT191" s="23">
        <f t="shared" si="1004"/>
        <v>1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</row>
    <row r="192" spans="1:1029" x14ac:dyDescent="0.2">
      <c r="A192" s="3" t="str">
        <f t="shared" ref="A192:A247" si="1005">CONCATENATE(B192,"_",C192)</f>
        <v>lpar1_human__wt</v>
      </c>
      <c r="B192" s="3" t="s">
        <v>103</v>
      </c>
      <c r="C192" s="3" t="s">
        <v>100</v>
      </c>
      <c r="D192" s="3" t="str">
        <f>IFERROR(MID(VLOOKUP($B192,Seqs!$A:$B,2,0),E192,1),"")</f>
        <v>T</v>
      </c>
      <c r="E192" s="3">
        <v>47</v>
      </c>
      <c r="F192" s="3" t="str">
        <f>IFERROR(MID(VLOOKUP($B192,Seqs!$A:$B,2,0),G192,1),"")</f>
        <v>N</v>
      </c>
      <c r="G192" s="3">
        <v>77</v>
      </c>
      <c r="H192" s="3" t="str">
        <f>IFERROR(MID(VLOOKUP($B192,Seqs!$A:$B,2,0),I192,1),"")</f>
        <v>R</v>
      </c>
      <c r="I192" s="23">
        <v>78</v>
      </c>
      <c r="J192" s="3" t="str">
        <f>IFERROR(MID(VLOOKUP($B192,Seqs!$A:$B,2,0),K192,1),"")</f>
        <v>H</v>
      </c>
      <c r="K192" s="23">
        <v>81</v>
      </c>
      <c r="L192" s="3" t="str">
        <f>IFERROR(MID(VLOOKUP($B192,Seqs!$A:$B,2,0),M192,1),"")</f>
        <v>F</v>
      </c>
      <c r="M192" s="3">
        <v>82</v>
      </c>
      <c r="N192" s="3" t="str">
        <f>IFERROR(MID(VLOOKUP($B192,Seqs!$A:$B,2,0),O192,1),"")</f>
        <v>N</v>
      </c>
      <c r="O192" s="3">
        <v>108</v>
      </c>
      <c r="P192" s="3" t="str">
        <f>IFERROR(MID(VLOOKUP($B192,Seqs!$A:$B,2,0),Q192,1),"")</f>
        <v>G</v>
      </c>
      <c r="Q192" s="3">
        <v>110</v>
      </c>
      <c r="R192" s="3" t="str">
        <f>IFERROR(MID(VLOOKUP($B192,Seqs!$A:$B,2,0),S192,1),"")</f>
        <v>L</v>
      </c>
      <c r="S192" s="3">
        <v>116</v>
      </c>
      <c r="T192" s="3" t="str">
        <f>IFERROR(MID(VLOOKUP($B192,Seqs!$A:$B,2,0),U192,1),"")</f>
        <v>T</v>
      </c>
      <c r="U192" s="3">
        <v>117</v>
      </c>
      <c r="V192" s="3" t="str">
        <f>IFERROR(MID(VLOOKUP($B192,Seqs!$A:$B,2,0),W192,1),"")</f>
        <v>R</v>
      </c>
      <c r="W192" s="3">
        <v>152</v>
      </c>
      <c r="X192" s="3" t="str">
        <f>IFERROR(MID(VLOOKUP($B192,Seqs!$A:$B,2,0),Y192,1),"")</f>
        <v>M</v>
      </c>
      <c r="Y192" s="105">
        <v>153</v>
      </c>
      <c r="Z192" s="3" t="str">
        <f>IFERROR(MID(VLOOKUP($B192,Seqs!$A:$B,2,0),AA192,1),"")</f>
        <v>M</v>
      </c>
      <c r="AA192" s="105">
        <v>159</v>
      </c>
      <c r="AB192" s="3" t="str">
        <f>IFERROR(MID(VLOOKUP($B192,Seqs!$A:$B,2,0),AC192,1),"")</f>
        <v>S</v>
      </c>
      <c r="AC192" s="105">
        <v>160</v>
      </c>
      <c r="AD192" s="3" t="str">
        <f>IFERROR(MID(VLOOKUP($B192,Seqs!$A:$B,2,0),AE192,1),"")</f>
        <v>G</v>
      </c>
      <c r="AE192" s="3">
        <v>185</v>
      </c>
      <c r="AF192" s="3" t="str">
        <f>IFERROR(MID(VLOOKUP($B192,Seqs!$A:$B,2,0),AG192,1),"")</f>
        <v/>
      </c>
      <c r="AG192" s="3" t="s">
        <v>23</v>
      </c>
      <c r="AH192" s="3" t="str">
        <f>IFERROR(MID(VLOOKUP($B192,Seqs!$A:$B,2,0),AI192,1),"")</f>
        <v/>
      </c>
      <c r="AI192" s="3" t="s">
        <v>23</v>
      </c>
      <c r="AJ192" s="3" t="str">
        <f>IFERROR(MID(VLOOKUP($B192,Seqs!$A:$B,2,0),AK192,1),"")</f>
        <v>S</v>
      </c>
      <c r="AK192" s="3">
        <v>203</v>
      </c>
      <c r="AL192" s="3" t="str">
        <f>IFERROR(MID(VLOOKUP($B192,Seqs!$A:$B,2,0),AM192,1),"")</f>
        <v>S</v>
      </c>
      <c r="AM192" s="3">
        <v>240</v>
      </c>
      <c r="AN192" s="3" t="str">
        <f>IFERROR(MID(VLOOKUP($B192,Seqs!$A:$B,2,0),AO192,1),"")</f>
        <v>G</v>
      </c>
      <c r="AO192" s="3">
        <v>245</v>
      </c>
      <c r="AP192" s="3" t="str">
        <f>IFERROR(MID(VLOOKUP($B192,Seqs!$A:$B,2,0),AQ192,1),"")</f>
        <v>C</v>
      </c>
      <c r="AQ192" s="3">
        <v>284</v>
      </c>
      <c r="AR192" s="3" t="str">
        <f>IFERROR(MID(VLOOKUP($B192,Seqs!$A:$B,2,0),AS192,1),"")</f>
        <v>D</v>
      </c>
      <c r="AS192" s="3">
        <v>288</v>
      </c>
      <c r="AT192" s="3" t="str">
        <f>IFERROR(MID(VLOOKUP($B192,Seqs!$A:$B,2,0),AU192,1),"")</f>
        <v>R</v>
      </c>
      <c r="AU192" s="3">
        <v>314</v>
      </c>
      <c r="AV192" s="3" t="str">
        <f>IFERROR(MID(VLOOKUP($B192,Seqs!$A:$B,2,0),AW192,1),"")</f>
        <v>D</v>
      </c>
      <c r="AW192" s="3">
        <v>315</v>
      </c>
      <c r="AX192" s="3" t="str">
        <f>IFERROR(MID(VLOOKUP($B192,Seqs!$A:$B,2,0),AY192,1),"")</f>
        <v>C</v>
      </c>
      <c r="AY192" s="3">
        <v>327</v>
      </c>
      <c r="AZ192" s="77" t="str">
        <f>VLOOKUP(B192,Classification!A:D,2,0)</f>
        <v>A</v>
      </c>
      <c r="BA192" s="94" t="str">
        <f>VLOOKUP(B192,Classification!A:D,4,0)</f>
        <v>Lysophospholipid(LPA)</v>
      </c>
      <c r="BB192" s="27" t="b">
        <f t="shared" ref="BB192:BB247" si="1006"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23">
        <f t="shared" si="979"/>
        <v>257</v>
      </c>
      <c r="BD192" s="56" t="s">
        <v>23</v>
      </c>
      <c r="BE192" s="3" t="s">
        <v>23</v>
      </c>
      <c r="BF192" s="119" t="s">
        <v>23</v>
      </c>
      <c r="BG192" s="49" t="s">
        <v>1373</v>
      </c>
      <c r="BH192" s="49" t="s">
        <v>1378</v>
      </c>
      <c r="BI192" s="1"/>
      <c r="BJ192" s="70" t="s">
        <v>1288</v>
      </c>
      <c r="BK192" s="57" t="s">
        <v>1288</v>
      </c>
      <c r="BL192" s="57" t="s">
        <v>1288</v>
      </c>
      <c r="BM192" s="57" t="s">
        <v>1288</v>
      </c>
      <c r="BN192" s="57" t="s">
        <v>1288</v>
      </c>
      <c r="BO192" s="57" t="s">
        <v>1288</v>
      </c>
      <c r="BP192" s="57" t="s">
        <v>1288</v>
      </c>
      <c r="BQ192" s="57" t="s">
        <v>1288</v>
      </c>
      <c r="BR192" s="57" t="s">
        <v>1288</v>
      </c>
      <c r="BS192" s="57" t="s">
        <v>1288</v>
      </c>
      <c r="BT192" s="57" t="s">
        <v>1288</v>
      </c>
      <c r="BU192" s="57" t="s">
        <v>1288</v>
      </c>
      <c r="BV192" s="70">
        <f t="shared" si="980"/>
        <v>47</v>
      </c>
      <c r="BW192" s="71">
        <f t="shared" si="981"/>
        <v>78</v>
      </c>
      <c r="BX192" s="72">
        <f t="shared" si="982"/>
        <v>82</v>
      </c>
      <c r="BY192" s="71">
        <f t="shared" si="983"/>
        <v>110</v>
      </c>
      <c r="BZ192" s="72">
        <f t="shared" si="984"/>
        <v>117</v>
      </c>
      <c r="CA192" s="71">
        <f t="shared" si="985"/>
        <v>153</v>
      </c>
      <c r="CB192" s="72">
        <f t="shared" si="986"/>
        <v>160</v>
      </c>
      <c r="CC192" s="71" t="str">
        <f t="shared" si="987"/>
        <v>-</v>
      </c>
      <c r="CD192" s="72">
        <f t="shared" si="988"/>
        <v>203</v>
      </c>
      <c r="CE192" s="71">
        <f t="shared" si="989"/>
        <v>245</v>
      </c>
      <c r="CF192" s="72">
        <f t="shared" si="990"/>
        <v>288</v>
      </c>
      <c r="CG192" s="71">
        <f t="shared" si="991"/>
        <v>315</v>
      </c>
      <c r="CH192" s="70">
        <f t="shared" si="992"/>
        <v>77</v>
      </c>
      <c r="CI192" s="71">
        <f t="shared" si="993"/>
        <v>81</v>
      </c>
      <c r="CJ192" s="72">
        <f t="shared" si="994"/>
        <v>108</v>
      </c>
      <c r="CK192" s="72">
        <f t="shared" si="995"/>
        <v>116</v>
      </c>
      <c r="CL192" s="72">
        <f t="shared" si="996"/>
        <v>152</v>
      </c>
      <c r="CM192" s="72">
        <f t="shared" si="997"/>
        <v>159</v>
      </c>
      <c r="CN192" s="72">
        <f t="shared" si="998"/>
        <v>185</v>
      </c>
      <c r="CO192" s="72" t="str">
        <f t="shared" si="999"/>
        <v>-</v>
      </c>
      <c r="CP192" s="72">
        <f t="shared" si="1000"/>
        <v>240</v>
      </c>
      <c r="CQ192" s="72">
        <f t="shared" si="1001"/>
        <v>284</v>
      </c>
      <c r="CR192" s="72">
        <f t="shared" si="1002"/>
        <v>314</v>
      </c>
      <c r="CS192" s="72">
        <f t="shared" si="1003"/>
        <v>327</v>
      </c>
      <c r="CT192" s="23">
        <f t="shared" si="1004"/>
        <v>1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29" x14ac:dyDescent="0.2">
      <c r="A193" s="3" t="str">
        <f t="shared" si="1005"/>
        <v>lpar1_human_4Z34</v>
      </c>
      <c r="B193" s="3" t="s">
        <v>103</v>
      </c>
      <c r="C193" s="3" t="s">
        <v>1057</v>
      </c>
      <c r="D193" s="3" t="str">
        <f>IFERROR(MID(VLOOKUP($B193,Seqs!$A:$B,2,0),E193,1),"")</f>
        <v>T</v>
      </c>
      <c r="E193" s="3">
        <v>47</v>
      </c>
      <c r="F193" s="3" t="str">
        <f>IFERROR(MID(VLOOKUP($B193,Seqs!$A:$B,2,0),G193,1),"")</f>
        <v>N</v>
      </c>
      <c r="G193" s="3">
        <v>77</v>
      </c>
      <c r="H193" s="3" t="str">
        <f>IFERROR(MID(VLOOKUP($B193,Seqs!$A:$B,2,0),I193,1),"")</f>
        <v>R</v>
      </c>
      <c r="I193" s="23">
        <v>78</v>
      </c>
      <c r="J193" s="3" t="str">
        <f>IFERROR(MID(VLOOKUP($B193,Seqs!$A:$B,2,0),K193,1),"")</f>
        <v>H</v>
      </c>
      <c r="K193" s="23">
        <v>81</v>
      </c>
      <c r="L193" s="3" t="str">
        <f>IFERROR(MID(VLOOKUP($B193,Seqs!$A:$B,2,0),M193,1),"")</f>
        <v>F</v>
      </c>
      <c r="M193" s="3">
        <v>82</v>
      </c>
      <c r="N193" s="3" t="str">
        <f>IFERROR(MID(VLOOKUP($B193,Seqs!$A:$B,2,0),O193,1),"")</f>
        <v>N</v>
      </c>
      <c r="O193" s="3">
        <v>108</v>
      </c>
      <c r="P193" s="3" t="str">
        <f>IFERROR(MID(VLOOKUP($B193,Seqs!$A:$B,2,0),Q193,1),"")</f>
        <v>G</v>
      </c>
      <c r="Q193" s="3">
        <v>110</v>
      </c>
      <c r="R193" s="3" t="str">
        <f>IFERROR(MID(VLOOKUP($B193,Seqs!$A:$B,2,0),S193,1),"")</f>
        <v>L</v>
      </c>
      <c r="S193" s="3">
        <v>116</v>
      </c>
      <c r="T193" s="3" t="str">
        <f>IFERROR(MID(VLOOKUP($B193,Seqs!$A:$B,2,0),U193,1),"")</f>
        <v>T</v>
      </c>
      <c r="U193" s="3">
        <v>117</v>
      </c>
      <c r="V193" s="3" t="str">
        <f>IFERROR(MID(VLOOKUP($B193,Seqs!$A:$B,2,0),W193,1),"")</f>
        <v>R</v>
      </c>
      <c r="W193" s="3">
        <v>152</v>
      </c>
      <c r="X193" s="3" t="str">
        <f>IFERROR(MID(VLOOKUP($B193,Seqs!$A:$B,2,0),Y193,1),"")</f>
        <v/>
      </c>
      <c r="Y193" s="3" t="s">
        <v>23</v>
      </c>
      <c r="Z193" s="3" t="str">
        <f>IFERROR(MID(VLOOKUP($B193,Seqs!$A:$B,2,0),AA193,1),"")</f>
        <v/>
      </c>
      <c r="AA193" s="3" t="s">
        <v>23</v>
      </c>
      <c r="AB193" s="3" t="str">
        <f>IFERROR(MID(VLOOKUP($B193,Seqs!$A:$B,2,0),AC193,1),"")</f>
        <v>T</v>
      </c>
      <c r="AC193" s="9">
        <v>157</v>
      </c>
      <c r="AD193" s="3" t="str">
        <f>IFERROR(MID(VLOOKUP($B193,Seqs!$A:$B,2,0),AE193,1),"")</f>
        <v>G</v>
      </c>
      <c r="AE193" s="3">
        <v>185</v>
      </c>
      <c r="AF193" s="3" t="str">
        <f>IFERROR(MID(VLOOKUP($B193,Seqs!$A:$B,2,0),AG193,1),"")</f>
        <v/>
      </c>
      <c r="AG193" s="3" t="s">
        <v>23</v>
      </c>
      <c r="AH193" s="3" t="str">
        <f>IFERROR(MID(VLOOKUP($B193,Seqs!$A:$B,2,0),AI193,1),"")</f>
        <v/>
      </c>
      <c r="AI193" s="3" t="s">
        <v>23</v>
      </c>
      <c r="AJ193" s="3" t="str">
        <f>IFERROR(MID(VLOOKUP($B193,Seqs!$A:$B,2,0),AK193,1),"")</f>
        <v>S</v>
      </c>
      <c r="AK193" s="3">
        <v>203</v>
      </c>
      <c r="AL193" s="3" t="str">
        <f>IFERROR(MID(VLOOKUP($B193,Seqs!$A:$B,2,0),AM193,1),"")</f>
        <v>R</v>
      </c>
      <c r="AM193" s="3">
        <v>235</v>
      </c>
      <c r="AN193" s="3" t="str">
        <f>IFERROR(MID(VLOOKUP($B193,Seqs!$A:$B,2,0),AO193,1),"")</f>
        <v>G</v>
      </c>
      <c r="AO193" s="3">
        <v>245</v>
      </c>
      <c r="AP193" s="3" t="str">
        <f>IFERROR(MID(VLOOKUP($B193,Seqs!$A:$B,2,0),AQ193,1),"")</f>
        <v>C</v>
      </c>
      <c r="AQ193" s="3">
        <v>284</v>
      </c>
      <c r="AR193" s="3" t="str">
        <f>IFERROR(MID(VLOOKUP($B193,Seqs!$A:$B,2,0),AS193,1),"")</f>
        <v>E</v>
      </c>
      <c r="AS193" s="3">
        <v>293</v>
      </c>
      <c r="AT193" s="3" t="str">
        <f>IFERROR(MID(VLOOKUP($B193,Seqs!$A:$B,2,0),AU193,1),"")</f>
        <v>R</v>
      </c>
      <c r="AU193" s="3">
        <v>314</v>
      </c>
      <c r="AV193" s="3" t="str">
        <f>IFERROR(MID(VLOOKUP($B193,Seqs!$A:$B,2,0),AW193,1),"")</f>
        <v>D</v>
      </c>
      <c r="AW193" s="3">
        <v>315</v>
      </c>
      <c r="AX193" s="3" t="str">
        <f>IFERROR(MID(VLOOKUP($B193,Seqs!$A:$B,2,0),AY193,1),"")</f>
        <v>C</v>
      </c>
      <c r="AY193" s="3">
        <v>327</v>
      </c>
      <c r="AZ193" s="77" t="str">
        <f>VLOOKUP(B193,Classification!A:D,2,0)</f>
        <v>A</v>
      </c>
      <c r="BA193" s="94" t="str">
        <f>VLOOKUP(B193,Classification!A:D,4,0)</f>
        <v>Lysophospholipid(LPA)</v>
      </c>
      <c r="BB193" s="27" t="b">
        <f t="shared" si="1006"/>
        <v>1</v>
      </c>
      <c r="BC193" s="23">
        <f t="shared" si="979"/>
        <v>244</v>
      </c>
      <c r="BD193" s="16" t="s">
        <v>23</v>
      </c>
      <c r="BE193" s="3" t="s">
        <v>1375</v>
      </c>
      <c r="BF193" s="119">
        <v>3</v>
      </c>
      <c r="BG193" s="49" t="s">
        <v>1378</v>
      </c>
      <c r="BH193" s="49" t="s">
        <v>1378</v>
      </c>
      <c r="BI193" s="1"/>
      <c r="BJ193" s="70" t="s">
        <v>1288</v>
      </c>
      <c r="BK193" s="57" t="s">
        <v>1288</v>
      </c>
      <c r="BL193" s="57" t="s">
        <v>1288</v>
      </c>
      <c r="BM193" s="57" t="s">
        <v>1288</v>
      </c>
      <c r="BN193" s="57" t="s">
        <v>1288</v>
      </c>
      <c r="BO193" s="57" t="s">
        <v>1288</v>
      </c>
      <c r="BP193" s="57" t="s">
        <v>1288</v>
      </c>
      <c r="BQ193" s="57" t="s">
        <v>1288</v>
      </c>
      <c r="BR193" s="57" t="s">
        <v>1288</v>
      </c>
      <c r="BS193" s="57" t="s">
        <v>1288</v>
      </c>
      <c r="BT193" s="57" t="s">
        <v>1288</v>
      </c>
      <c r="BU193" s="57" t="s">
        <v>1288</v>
      </c>
      <c r="BV193" s="70">
        <f t="shared" si="980"/>
        <v>47</v>
      </c>
      <c r="BW193" s="71">
        <f t="shared" si="981"/>
        <v>78</v>
      </c>
      <c r="BX193" s="72">
        <f t="shared" si="982"/>
        <v>82</v>
      </c>
      <c r="BY193" s="71">
        <f t="shared" si="983"/>
        <v>110</v>
      </c>
      <c r="BZ193" s="72">
        <f t="shared" si="984"/>
        <v>117</v>
      </c>
      <c r="CA193" s="71" t="str">
        <f t="shared" si="985"/>
        <v>-</v>
      </c>
      <c r="CB193" s="72">
        <f t="shared" si="986"/>
        <v>157</v>
      </c>
      <c r="CC193" s="71" t="str">
        <f t="shared" si="987"/>
        <v>-</v>
      </c>
      <c r="CD193" s="72">
        <f t="shared" si="988"/>
        <v>203</v>
      </c>
      <c r="CE193" s="71">
        <f t="shared" si="989"/>
        <v>245</v>
      </c>
      <c r="CF193" s="72">
        <f t="shared" si="990"/>
        <v>293</v>
      </c>
      <c r="CG193" s="71">
        <f t="shared" si="991"/>
        <v>315</v>
      </c>
      <c r="CH193" s="70">
        <f t="shared" si="992"/>
        <v>77</v>
      </c>
      <c r="CI193" s="71">
        <f t="shared" si="993"/>
        <v>81</v>
      </c>
      <c r="CJ193" s="72">
        <f t="shared" si="994"/>
        <v>108</v>
      </c>
      <c r="CK193" s="72">
        <f t="shared" si="995"/>
        <v>116</v>
      </c>
      <c r="CL193" s="72">
        <f t="shared" si="996"/>
        <v>152</v>
      </c>
      <c r="CM193" s="72" t="str">
        <f t="shared" si="997"/>
        <v>-</v>
      </c>
      <c r="CN193" s="72">
        <f t="shared" si="998"/>
        <v>185</v>
      </c>
      <c r="CO193" s="72" t="str">
        <f t="shared" si="999"/>
        <v>-</v>
      </c>
      <c r="CP193" s="72">
        <f t="shared" si="1000"/>
        <v>235</v>
      </c>
      <c r="CQ193" s="72">
        <f t="shared" si="1001"/>
        <v>284</v>
      </c>
      <c r="CR193" s="72">
        <f t="shared" si="1002"/>
        <v>314</v>
      </c>
      <c r="CS193" s="72">
        <f t="shared" si="1003"/>
        <v>327</v>
      </c>
      <c r="CT193" s="23">
        <f t="shared" si="1004"/>
        <v>1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29" x14ac:dyDescent="0.2">
      <c r="A194" s="3" t="str">
        <f t="shared" si="1005"/>
        <v>lpar1_human_4Z35</v>
      </c>
      <c r="B194" s="3" t="s">
        <v>103</v>
      </c>
      <c r="C194" s="3" t="s">
        <v>89</v>
      </c>
      <c r="D194" s="3" t="str">
        <f>IFERROR(MID(VLOOKUP($B194,Seqs!$A:$B,2,0),E194,1),"")</f>
        <v>T</v>
      </c>
      <c r="E194" s="3">
        <v>47</v>
      </c>
      <c r="F194" s="3" t="str">
        <f>IFERROR(MID(VLOOKUP($B194,Seqs!$A:$B,2,0),G194,1),"")</f>
        <v>N</v>
      </c>
      <c r="G194" s="3">
        <v>77</v>
      </c>
      <c r="H194" s="3" t="str">
        <f>IFERROR(MID(VLOOKUP($B194,Seqs!$A:$B,2,0),I194,1),"")</f>
        <v>R</v>
      </c>
      <c r="I194" s="23">
        <v>78</v>
      </c>
      <c r="J194" s="3" t="str">
        <f>IFERROR(MID(VLOOKUP($B194,Seqs!$A:$B,2,0),K194,1),"")</f>
        <v>H</v>
      </c>
      <c r="K194" s="23">
        <v>81</v>
      </c>
      <c r="L194" s="3" t="str">
        <f>IFERROR(MID(VLOOKUP($B194,Seqs!$A:$B,2,0),M194,1),"")</f>
        <v>F</v>
      </c>
      <c r="M194" s="3">
        <v>82</v>
      </c>
      <c r="N194" s="3" t="str">
        <f>IFERROR(MID(VLOOKUP($B194,Seqs!$A:$B,2,0),O194,1),"")</f>
        <v>N</v>
      </c>
      <c r="O194" s="3">
        <v>108</v>
      </c>
      <c r="P194" s="3" t="str">
        <f>IFERROR(MID(VLOOKUP($B194,Seqs!$A:$B,2,0),Q194,1),"")</f>
        <v>G</v>
      </c>
      <c r="Q194" s="3">
        <v>110</v>
      </c>
      <c r="R194" s="3" t="str">
        <f>IFERROR(MID(VLOOKUP($B194,Seqs!$A:$B,2,0),S194,1),"")</f>
        <v>L</v>
      </c>
      <c r="S194" s="3">
        <v>116</v>
      </c>
      <c r="T194" s="3" t="str">
        <f>IFERROR(MID(VLOOKUP($B194,Seqs!$A:$B,2,0),U194,1),"")</f>
        <v>T</v>
      </c>
      <c r="U194" s="3">
        <v>117</v>
      </c>
      <c r="V194" s="3" t="str">
        <f>IFERROR(MID(VLOOKUP($B194,Seqs!$A:$B,2,0),W194,1),"")</f>
        <v>R</v>
      </c>
      <c r="W194" s="3">
        <v>152</v>
      </c>
      <c r="X194" s="3" t="str">
        <f>IFERROR(MID(VLOOKUP($B194,Seqs!$A:$B,2,0),Y194,1),"")</f>
        <v/>
      </c>
      <c r="Y194" s="3" t="s">
        <v>23</v>
      </c>
      <c r="Z194" s="3" t="str">
        <f>IFERROR(MID(VLOOKUP($B194,Seqs!$A:$B,2,0),AA194,1),"")</f>
        <v/>
      </c>
      <c r="AA194" s="3" t="s">
        <v>23</v>
      </c>
      <c r="AB194" s="3" t="str">
        <f>IFERROR(MID(VLOOKUP($B194,Seqs!$A:$B,2,0),AC194,1),"")</f>
        <v>T</v>
      </c>
      <c r="AC194" s="9">
        <v>157</v>
      </c>
      <c r="AD194" s="3" t="str">
        <f>IFERROR(MID(VLOOKUP($B194,Seqs!$A:$B,2,0),AE194,1),"")</f>
        <v>G</v>
      </c>
      <c r="AE194" s="3">
        <v>185</v>
      </c>
      <c r="AF194" s="3" t="str">
        <f>IFERROR(MID(VLOOKUP($B194,Seqs!$A:$B,2,0),AG194,1),"")</f>
        <v/>
      </c>
      <c r="AG194" s="3" t="s">
        <v>23</v>
      </c>
      <c r="AH194" s="3" t="str">
        <f>IFERROR(MID(VLOOKUP($B194,Seqs!$A:$B,2,0),AI194,1),"")</f>
        <v/>
      </c>
      <c r="AI194" s="3" t="s">
        <v>23</v>
      </c>
      <c r="AJ194" s="3" t="str">
        <f>IFERROR(MID(VLOOKUP($B194,Seqs!$A:$B,2,0),AK194,1),"")</f>
        <v>S</v>
      </c>
      <c r="AK194" s="3">
        <v>203</v>
      </c>
      <c r="AL194" s="3" t="str">
        <f>IFERROR(MID(VLOOKUP($B194,Seqs!$A:$B,2,0),AM194,1),"")</f>
        <v>R</v>
      </c>
      <c r="AM194" s="3">
        <v>235</v>
      </c>
      <c r="AN194" s="3" t="str">
        <f>IFERROR(MID(VLOOKUP($B194,Seqs!$A:$B,2,0),AO194,1),"")</f>
        <v>G</v>
      </c>
      <c r="AO194" s="3">
        <v>245</v>
      </c>
      <c r="AP194" s="3" t="str">
        <f>IFERROR(MID(VLOOKUP($B194,Seqs!$A:$B,2,0),AQ194,1),"")</f>
        <v>C</v>
      </c>
      <c r="AQ194" s="3">
        <v>284</v>
      </c>
      <c r="AR194" s="3" t="str">
        <f>IFERROR(MID(VLOOKUP($B194,Seqs!$A:$B,2,0),AS194,1),"")</f>
        <v>E</v>
      </c>
      <c r="AS194" s="3">
        <v>293</v>
      </c>
      <c r="AT194" s="3" t="str">
        <f>IFERROR(MID(VLOOKUP($B194,Seqs!$A:$B,2,0),AU194,1),"")</f>
        <v>R</v>
      </c>
      <c r="AU194" s="3">
        <v>314</v>
      </c>
      <c r="AV194" s="3" t="str">
        <f>IFERROR(MID(VLOOKUP($B194,Seqs!$A:$B,2,0),AW194,1),"")</f>
        <v>D</v>
      </c>
      <c r="AW194" s="3">
        <v>315</v>
      </c>
      <c r="AX194" s="3" t="str">
        <f>IFERROR(MID(VLOOKUP($B194,Seqs!$A:$B,2,0),AY194,1),"")</f>
        <v>C</v>
      </c>
      <c r="AY194" s="3">
        <v>327</v>
      </c>
      <c r="AZ194" s="77" t="str">
        <f>VLOOKUP(B194,Classification!A:D,2,0)</f>
        <v>A</v>
      </c>
      <c r="BA194" s="94" t="str">
        <f>VLOOKUP(B194,Classification!A:D,4,0)</f>
        <v>Lysophospholipid(LPA)</v>
      </c>
      <c r="BB194" s="27" t="b">
        <f t="shared" si="1006"/>
        <v>1</v>
      </c>
      <c r="BC194" s="23">
        <f t="shared" si="979"/>
        <v>244</v>
      </c>
      <c r="BD194" s="5" t="s">
        <v>1377</v>
      </c>
      <c r="BE194" s="3" t="s">
        <v>1375</v>
      </c>
      <c r="BF194" s="119">
        <v>2.9</v>
      </c>
      <c r="BG194" s="49" t="s">
        <v>1378</v>
      </c>
      <c r="BH194" s="49" t="s">
        <v>1378</v>
      </c>
      <c r="BI194" s="1"/>
      <c r="BJ194" s="70" t="s">
        <v>1288</v>
      </c>
      <c r="BK194" s="57" t="s">
        <v>1288</v>
      </c>
      <c r="BL194" s="57" t="s">
        <v>1288</v>
      </c>
      <c r="BM194" s="57" t="s">
        <v>1288</v>
      </c>
      <c r="BN194" s="57" t="s">
        <v>1288</v>
      </c>
      <c r="BO194" s="57" t="s">
        <v>1288</v>
      </c>
      <c r="BP194" s="57" t="s">
        <v>1288</v>
      </c>
      <c r="BQ194" s="57" t="s">
        <v>1288</v>
      </c>
      <c r="BR194" s="57" t="s">
        <v>1288</v>
      </c>
      <c r="BS194" s="57" t="s">
        <v>1288</v>
      </c>
      <c r="BT194" s="57" t="s">
        <v>1288</v>
      </c>
      <c r="BU194" s="57" t="s">
        <v>1288</v>
      </c>
      <c r="BV194" s="70">
        <f t="shared" si="980"/>
        <v>47</v>
      </c>
      <c r="BW194" s="71">
        <f t="shared" si="981"/>
        <v>78</v>
      </c>
      <c r="BX194" s="72">
        <f t="shared" si="982"/>
        <v>82</v>
      </c>
      <c r="BY194" s="71">
        <f t="shared" si="983"/>
        <v>110</v>
      </c>
      <c r="BZ194" s="72">
        <f t="shared" si="984"/>
        <v>117</v>
      </c>
      <c r="CA194" s="71" t="str">
        <f t="shared" si="985"/>
        <v>-</v>
      </c>
      <c r="CB194" s="72">
        <f t="shared" si="986"/>
        <v>157</v>
      </c>
      <c r="CC194" s="71" t="str">
        <f t="shared" si="987"/>
        <v>-</v>
      </c>
      <c r="CD194" s="72">
        <f t="shared" si="988"/>
        <v>203</v>
      </c>
      <c r="CE194" s="71">
        <f t="shared" si="989"/>
        <v>245</v>
      </c>
      <c r="CF194" s="72">
        <f t="shared" si="990"/>
        <v>293</v>
      </c>
      <c r="CG194" s="71">
        <f t="shared" si="991"/>
        <v>315</v>
      </c>
      <c r="CH194" s="70">
        <f t="shared" si="992"/>
        <v>77</v>
      </c>
      <c r="CI194" s="71">
        <f t="shared" si="993"/>
        <v>81</v>
      </c>
      <c r="CJ194" s="72">
        <f t="shared" si="994"/>
        <v>108</v>
      </c>
      <c r="CK194" s="72">
        <f t="shared" si="995"/>
        <v>116</v>
      </c>
      <c r="CL194" s="72">
        <f t="shared" si="996"/>
        <v>152</v>
      </c>
      <c r="CM194" s="72" t="str">
        <f t="shared" si="997"/>
        <v>-</v>
      </c>
      <c r="CN194" s="72">
        <f t="shared" si="998"/>
        <v>185</v>
      </c>
      <c r="CO194" s="72" t="str">
        <f t="shared" si="999"/>
        <v>-</v>
      </c>
      <c r="CP194" s="72">
        <f t="shared" si="1000"/>
        <v>235</v>
      </c>
      <c r="CQ194" s="72">
        <f t="shared" si="1001"/>
        <v>284</v>
      </c>
      <c r="CR194" s="72">
        <f t="shared" si="1002"/>
        <v>314</v>
      </c>
      <c r="CS194" s="72">
        <f t="shared" si="1003"/>
        <v>327</v>
      </c>
      <c r="CT194" s="23">
        <f t="shared" si="1004"/>
        <v>1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29" x14ac:dyDescent="0.2">
      <c r="A195" s="3" t="str">
        <f t="shared" si="1005"/>
        <v>lpar1_human_4Z36</v>
      </c>
      <c r="B195" s="3" t="s">
        <v>103</v>
      </c>
      <c r="C195" s="3" t="s">
        <v>1058</v>
      </c>
      <c r="D195" s="3" t="str">
        <f>IFERROR(MID(VLOOKUP($B195,Seqs!$A:$B,2,0),E195,1),"")</f>
        <v>T</v>
      </c>
      <c r="E195" s="3">
        <v>47</v>
      </c>
      <c r="F195" s="3" t="str">
        <f>IFERROR(MID(VLOOKUP($B195,Seqs!$A:$B,2,0),G195,1),"")</f>
        <v>N</v>
      </c>
      <c r="G195" s="3">
        <v>77</v>
      </c>
      <c r="H195" s="3" t="str">
        <f>IFERROR(MID(VLOOKUP($B195,Seqs!$A:$B,2,0),I195,1),"")</f>
        <v>R</v>
      </c>
      <c r="I195" s="23">
        <v>78</v>
      </c>
      <c r="J195" s="3" t="str">
        <f>IFERROR(MID(VLOOKUP($B195,Seqs!$A:$B,2,0),K195,1),"")</f>
        <v>H</v>
      </c>
      <c r="K195" s="23">
        <v>81</v>
      </c>
      <c r="L195" s="3" t="str">
        <f>IFERROR(MID(VLOOKUP($B195,Seqs!$A:$B,2,0),M195,1),"")</f>
        <v>F</v>
      </c>
      <c r="M195" s="3">
        <v>82</v>
      </c>
      <c r="N195" s="3" t="str">
        <f>IFERROR(MID(VLOOKUP($B195,Seqs!$A:$B,2,0),O195,1),"")</f>
        <v>N</v>
      </c>
      <c r="O195" s="3">
        <v>108</v>
      </c>
      <c r="P195" s="3" t="str">
        <f>IFERROR(MID(VLOOKUP($B195,Seqs!$A:$B,2,0),Q195,1),"")</f>
        <v>G</v>
      </c>
      <c r="Q195" s="3">
        <v>110</v>
      </c>
      <c r="R195" s="3" t="str">
        <f>IFERROR(MID(VLOOKUP($B195,Seqs!$A:$B,2,0),S195,1),"")</f>
        <v>L</v>
      </c>
      <c r="S195" s="3">
        <v>116</v>
      </c>
      <c r="T195" s="3" t="str">
        <f>IFERROR(MID(VLOOKUP($B195,Seqs!$A:$B,2,0),U195,1),"")</f>
        <v>T</v>
      </c>
      <c r="U195" s="3">
        <v>117</v>
      </c>
      <c r="V195" s="3" t="str">
        <f>IFERROR(MID(VLOOKUP($B195,Seqs!$A:$B,2,0),W195,1),"")</f>
        <v>R</v>
      </c>
      <c r="W195" s="3">
        <v>152</v>
      </c>
      <c r="X195" s="3" t="str">
        <f>IFERROR(MID(VLOOKUP($B195,Seqs!$A:$B,2,0),Y195,1),"")</f>
        <v/>
      </c>
      <c r="Y195" s="3" t="s">
        <v>23</v>
      </c>
      <c r="Z195" s="3" t="str">
        <f>IFERROR(MID(VLOOKUP($B195,Seqs!$A:$B,2,0),AA195,1),"")</f>
        <v/>
      </c>
      <c r="AA195" s="3" t="s">
        <v>23</v>
      </c>
      <c r="AB195" s="3" t="str">
        <f>IFERROR(MID(VLOOKUP($B195,Seqs!$A:$B,2,0),AC195,1),"")</f>
        <v>T</v>
      </c>
      <c r="AC195" s="9">
        <v>157</v>
      </c>
      <c r="AD195" s="3" t="str">
        <f>IFERROR(MID(VLOOKUP($B195,Seqs!$A:$B,2,0),AE195,1),"")</f>
        <v>G</v>
      </c>
      <c r="AE195" s="3">
        <v>185</v>
      </c>
      <c r="AF195" s="3" t="str">
        <f>IFERROR(MID(VLOOKUP($B195,Seqs!$A:$B,2,0),AG195,1),"")</f>
        <v/>
      </c>
      <c r="AG195" s="3" t="s">
        <v>23</v>
      </c>
      <c r="AH195" s="3" t="str">
        <f>IFERROR(MID(VLOOKUP($B195,Seqs!$A:$B,2,0),AI195,1),"")</f>
        <v/>
      </c>
      <c r="AI195" s="3" t="s">
        <v>23</v>
      </c>
      <c r="AJ195" s="3" t="str">
        <f>IFERROR(MID(VLOOKUP($B195,Seqs!$A:$B,2,0),AK195,1),"")</f>
        <v>S</v>
      </c>
      <c r="AK195" s="3">
        <v>203</v>
      </c>
      <c r="AL195" s="3" t="str">
        <f>IFERROR(MID(VLOOKUP($B195,Seqs!$A:$B,2,0),AM195,1),"")</f>
        <v>R</v>
      </c>
      <c r="AM195" s="3">
        <v>235</v>
      </c>
      <c r="AN195" s="3" t="str">
        <f>IFERROR(MID(VLOOKUP($B195,Seqs!$A:$B,2,0),AO195,1),"")</f>
        <v>G</v>
      </c>
      <c r="AO195" s="3">
        <v>245</v>
      </c>
      <c r="AP195" s="3" t="str">
        <f>IFERROR(MID(VLOOKUP($B195,Seqs!$A:$B,2,0),AQ195,1),"")</f>
        <v>C</v>
      </c>
      <c r="AQ195" s="3">
        <v>284</v>
      </c>
      <c r="AR195" s="3" t="str">
        <f>IFERROR(MID(VLOOKUP($B195,Seqs!$A:$B,2,0),AS195,1),"")</f>
        <v>E</v>
      </c>
      <c r="AS195" s="3">
        <v>293</v>
      </c>
      <c r="AT195" s="3" t="str">
        <f>IFERROR(MID(VLOOKUP($B195,Seqs!$A:$B,2,0),AU195,1),"")</f>
        <v>R</v>
      </c>
      <c r="AU195" s="3">
        <v>314</v>
      </c>
      <c r="AV195" s="3" t="str">
        <f>IFERROR(MID(VLOOKUP($B195,Seqs!$A:$B,2,0),AW195,1),"")</f>
        <v>D</v>
      </c>
      <c r="AW195" s="3">
        <v>315</v>
      </c>
      <c r="AX195" s="3" t="str">
        <f>IFERROR(MID(VLOOKUP($B195,Seqs!$A:$B,2,0),AY195,1),"")</f>
        <v>C</v>
      </c>
      <c r="AY195" s="3">
        <v>327</v>
      </c>
      <c r="AZ195" s="77" t="str">
        <f>VLOOKUP(B195,Classification!A:D,2,0)</f>
        <v>A</v>
      </c>
      <c r="BA195" s="94" t="str">
        <f>VLOOKUP(B195,Classification!A:D,4,0)</f>
        <v>Lysophospholipid(LPA)</v>
      </c>
      <c r="BB195" s="27" t="b">
        <f t="shared" si="1006"/>
        <v>1</v>
      </c>
      <c r="BC195" s="23">
        <f t="shared" si="979"/>
        <v>244</v>
      </c>
      <c r="BD195" s="5" t="s">
        <v>23</v>
      </c>
      <c r="BE195" s="3" t="s">
        <v>1375</v>
      </c>
      <c r="BF195" s="119">
        <v>2.9</v>
      </c>
      <c r="BG195" s="49" t="s">
        <v>1378</v>
      </c>
      <c r="BH195" s="49" t="s">
        <v>1378</v>
      </c>
      <c r="BI195" s="1"/>
      <c r="BJ195" s="70" t="s">
        <v>1288</v>
      </c>
      <c r="BK195" s="57" t="s">
        <v>1288</v>
      </c>
      <c r="BL195" s="57" t="s">
        <v>1288</v>
      </c>
      <c r="BM195" s="57" t="s">
        <v>1288</v>
      </c>
      <c r="BN195" s="57" t="s">
        <v>1288</v>
      </c>
      <c r="BO195" s="57" t="s">
        <v>1288</v>
      </c>
      <c r="BP195" s="57" t="s">
        <v>1288</v>
      </c>
      <c r="BQ195" s="57" t="s">
        <v>1288</v>
      </c>
      <c r="BR195" s="57" t="s">
        <v>1288</v>
      </c>
      <c r="BS195" s="57" t="s">
        <v>1288</v>
      </c>
      <c r="BT195" s="57" t="s">
        <v>1288</v>
      </c>
      <c r="BU195" s="57" t="s">
        <v>1288</v>
      </c>
      <c r="BV195" s="70">
        <f t="shared" si="980"/>
        <v>47</v>
      </c>
      <c r="BW195" s="71">
        <f t="shared" si="981"/>
        <v>78</v>
      </c>
      <c r="BX195" s="72">
        <f t="shared" si="982"/>
        <v>82</v>
      </c>
      <c r="BY195" s="71">
        <f t="shared" si="983"/>
        <v>110</v>
      </c>
      <c r="BZ195" s="72">
        <f t="shared" si="984"/>
        <v>117</v>
      </c>
      <c r="CA195" s="71" t="str">
        <f t="shared" si="985"/>
        <v>-</v>
      </c>
      <c r="CB195" s="72">
        <f t="shared" si="986"/>
        <v>157</v>
      </c>
      <c r="CC195" s="71" t="str">
        <f t="shared" si="987"/>
        <v>-</v>
      </c>
      <c r="CD195" s="72">
        <f t="shared" si="988"/>
        <v>203</v>
      </c>
      <c r="CE195" s="71">
        <f t="shared" si="989"/>
        <v>245</v>
      </c>
      <c r="CF195" s="72">
        <f t="shared" si="990"/>
        <v>293</v>
      </c>
      <c r="CG195" s="71">
        <f t="shared" si="991"/>
        <v>315</v>
      </c>
      <c r="CH195" s="70">
        <f t="shared" si="992"/>
        <v>77</v>
      </c>
      <c r="CI195" s="71">
        <f t="shared" si="993"/>
        <v>81</v>
      </c>
      <c r="CJ195" s="72">
        <f t="shared" si="994"/>
        <v>108</v>
      </c>
      <c r="CK195" s="72">
        <f t="shared" si="995"/>
        <v>116</v>
      </c>
      <c r="CL195" s="72">
        <f t="shared" si="996"/>
        <v>152</v>
      </c>
      <c r="CM195" s="72" t="str">
        <f t="shared" si="997"/>
        <v>-</v>
      </c>
      <c r="CN195" s="72">
        <f t="shared" si="998"/>
        <v>185</v>
      </c>
      <c r="CO195" s="72" t="str">
        <f t="shared" si="999"/>
        <v>-</v>
      </c>
      <c r="CP195" s="72">
        <f t="shared" si="1000"/>
        <v>235</v>
      </c>
      <c r="CQ195" s="72">
        <f t="shared" si="1001"/>
        <v>284</v>
      </c>
      <c r="CR195" s="72">
        <f t="shared" si="1002"/>
        <v>314</v>
      </c>
      <c r="CS195" s="72">
        <f t="shared" si="1003"/>
        <v>327</v>
      </c>
      <c r="CT195" s="23">
        <f t="shared" si="1004"/>
        <v>1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29" s="12" customFormat="1" x14ac:dyDescent="0.2">
      <c r="A196" s="9" t="str">
        <f t="shared" ref="A196:A197" si="1007">CONCATENATE(B196,"_",C196)</f>
        <v>mtr1a_human__wt</v>
      </c>
      <c r="B196" s="9" t="s">
        <v>311</v>
      </c>
      <c r="C196" s="9" t="s">
        <v>100</v>
      </c>
      <c r="D196" s="9" t="str">
        <f>IFERROR(MID(VLOOKUP($B196,Seqs!$A:$B,2,0),E196,1),"")</f>
        <v>P</v>
      </c>
      <c r="E196" s="9">
        <v>23</v>
      </c>
      <c r="F196" s="9" t="str">
        <f>IFERROR(MID(VLOOKUP($B196,Seqs!$A:$B,2,0),G196,1),"")</f>
        <v>N</v>
      </c>
      <c r="G196" s="9">
        <v>55</v>
      </c>
      <c r="H196" s="9" t="str">
        <f>IFERROR(MID(VLOOKUP($B196,Seqs!$A:$B,2,0),I196,1),"")</f>
        <v>K</v>
      </c>
      <c r="I196" s="109">
        <v>56</v>
      </c>
      <c r="J196" s="9" t="str">
        <f>IFERROR(MID(VLOOKUP($B196,Seqs!$A:$B,2,0),K196,1),"")</f>
        <v>R</v>
      </c>
      <c r="K196" s="109">
        <v>59</v>
      </c>
      <c r="L196" s="9" t="str">
        <f>IFERROR(MID(VLOOKUP($B196,Seqs!$A:$B,2,0),M196,1),"")</f>
        <v>N</v>
      </c>
      <c r="M196" s="9">
        <v>60</v>
      </c>
      <c r="N196" s="9" t="str">
        <f>IFERROR(MID(VLOOKUP($B196,Seqs!$A:$B,2,0),O196,1),"")</f>
        <v>N</v>
      </c>
      <c r="O196" s="9">
        <v>91</v>
      </c>
      <c r="P196" s="9" t="str">
        <f>IFERROR(MID(VLOOKUP($B196,Seqs!$A:$B,2,0),Q196,1),"")</f>
        <v>G</v>
      </c>
      <c r="Q196" s="9">
        <v>92</v>
      </c>
      <c r="R196" s="9" t="str">
        <f>IFERROR(MID(VLOOKUP($B196,Seqs!$A:$B,2,0),S196,1),"")</f>
        <v>L</v>
      </c>
      <c r="S196" s="9">
        <v>95</v>
      </c>
      <c r="T196" s="9" t="str">
        <f>IFERROR(MID(VLOOKUP($B196,Seqs!$A:$B,2,0),U196,1),"")</f>
        <v>G</v>
      </c>
      <c r="U196" s="9">
        <v>96</v>
      </c>
      <c r="V196" s="9" t="str">
        <f>IFERROR(MID(VLOOKUP($B196,Seqs!$A:$B,2,0),W196,1),"")</f>
        <v>H</v>
      </c>
      <c r="W196" s="9">
        <v>131</v>
      </c>
      <c r="X196" s="9" t="str">
        <f>IFERROR(MID(VLOOKUP($B196,Seqs!$A:$B,2,0),Y196,1),"")</f>
        <v>S</v>
      </c>
      <c r="Y196" s="9">
        <v>132</v>
      </c>
      <c r="Z196" s="9" t="str">
        <f>IFERROR(MID(VLOOKUP($B196,Seqs!$A:$B,2,0),AA196,1),"")</f>
        <v>Y</v>
      </c>
      <c r="AA196" s="9">
        <v>139</v>
      </c>
      <c r="AB196" s="9" t="str">
        <f>IFERROR(MID(VLOOKUP($B196,Seqs!$A:$B,2,0),AC196,1),"")</f>
        <v>S</v>
      </c>
      <c r="AC196" s="9">
        <v>140</v>
      </c>
      <c r="AD196" s="9" t="str">
        <f>IFERROR(MID(VLOOKUP($B196,Seqs!$A:$B,2,0),AE196,1),"")</f>
        <v>G</v>
      </c>
      <c r="AE196" s="9">
        <v>166</v>
      </c>
      <c r="AF196" s="9" t="str">
        <f>IFERROR(MID(VLOOKUP($B196,Seqs!$A:$B,2,0),AG196,1),"")</f>
        <v>C</v>
      </c>
      <c r="AG196" s="9">
        <v>177</v>
      </c>
      <c r="AH196" s="3" t="str">
        <f>IFERROR(MID(VLOOKUP($B196,Seqs!$A:$B,2,0),AI196,1),"")</f>
        <v>F</v>
      </c>
      <c r="AI196" s="9">
        <v>179</v>
      </c>
      <c r="AJ196" s="9" t="str">
        <f>IFERROR(MID(VLOOKUP($B196,Seqs!$A:$B,2,0),AK196,1),"")</f>
        <v>S</v>
      </c>
      <c r="AK196" s="9">
        <v>184</v>
      </c>
      <c r="AL196" s="9" t="str">
        <f>IFERROR(MID(VLOOKUP($B196,Seqs!$A:$B,2,0),AM196,1),"")</f>
        <v>V</v>
      </c>
      <c r="AM196" s="9">
        <v>221</v>
      </c>
      <c r="AN196" s="9" t="str">
        <f>IFERROR(MID(VLOOKUP($B196,Seqs!$A:$B,2,0),AO196,1),"")</f>
        <v>P</v>
      </c>
      <c r="AO196" s="9">
        <v>227</v>
      </c>
      <c r="AP196" s="9" t="str">
        <f>IFERROR(MID(VLOOKUP($B196,Seqs!$A:$B,2,0),AQ196,1),"")</f>
        <v>D</v>
      </c>
      <c r="AQ196" s="9">
        <v>264</v>
      </c>
      <c r="AR196" s="9" t="str">
        <f>IFERROR(MID(VLOOKUP($B196,Seqs!$A:$B,2,0),AS196,1),"")</f>
        <v>P</v>
      </c>
      <c r="AS196" s="9">
        <v>273</v>
      </c>
      <c r="AT196" s="9" t="str">
        <f>IFERROR(MID(VLOOKUP($B196,Seqs!$A:$B,2,0),AU196,1),"")</f>
        <v>L</v>
      </c>
      <c r="AU196" s="9">
        <v>298</v>
      </c>
      <c r="AV196" s="9" t="str">
        <f>IFERROR(MID(VLOOKUP($B196,Seqs!$A:$B,2,0),AW196,1),"")</f>
        <v>N</v>
      </c>
      <c r="AW196" s="9">
        <v>299</v>
      </c>
      <c r="AX196" s="9" t="str">
        <f>IFERROR(MID(VLOOKUP($B196,Seqs!$A:$B,2,0),AY196,1),"")</f>
        <v>T</v>
      </c>
      <c r="AY196" s="9">
        <v>315</v>
      </c>
      <c r="AZ196" s="110" t="str">
        <f>VLOOKUP(B196,Classification!A:D,2,0)</f>
        <v>A</v>
      </c>
      <c r="BA196" s="98" t="str">
        <f>VLOOKUP(B196,Classification!A:D,4,0)</f>
        <v>Melatonin</v>
      </c>
      <c r="BB196" s="36" t="b">
        <f t="shared" ref="BB196:BB197" si="1008">AND(E196&lt;G196,OR(G196&lt;I196,I196="-"),OR(I196&lt;K196,I196="-"),OR(K196&lt;M196,K196="-"),M196&lt;O196,OR(O196&lt;Q196,Q196="-"),OR(Q196&lt;S196,Q196="-"),OR(S196&lt;U196,S196="-"),U196&lt;W196,OR(W196&lt;Y196,Y196="-"),OR(Y196&lt;AA196,Y196="-"),OR(AA196&lt;AC196,AA196="-"),AC196&lt;AE196,OR(AE196&lt;AG196,AG196="-"),OR(AG196&lt;AI196,AG196="-"),OR(AI196&lt;AK196,AI196="-"),AK196&lt;AM196,AM196&lt;AO196,AO196&lt;AQ196,AQ196&lt;AS196,AS196&lt;AU196,OR(AU196&lt;AW196,AW196="-"),OR(AW196&lt;AY196,AW196="-"))</f>
        <v>1</v>
      </c>
      <c r="BC196" s="109">
        <f t="shared" ref="BC196:BC198" si="1009">_xlfn.AGGREGATE(9,6,CH196:CS196)-_xlfn.AGGREGATE(9,6,BV196:CG196)+12</f>
        <v>266</v>
      </c>
      <c r="BD196" s="13" t="s">
        <v>23</v>
      </c>
      <c r="BE196" s="9" t="s">
        <v>23</v>
      </c>
      <c r="BF196" s="120" t="s">
        <v>23</v>
      </c>
      <c r="BG196" s="51" t="s">
        <v>1378</v>
      </c>
      <c r="BH196" s="51" t="s">
        <v>1378</v>
      </c>
      <c r="BJ196" s="111" t="s">
        <v>1288</v>
      </c>
      <c r="BK196" s="112" t="s">
        <v>1288</v>
      </c>
      <c r="BL196" s="112" t="s">
        <v>1288</v>
      </c>
      <c r="BM196" s="112" t="s">
        <v>1288</v>
      </c>
      <c r="BN196" s="112" t="s">
        <v>1288</v>
      </c>
      <c r="BO196" s="112" t="s">
        <v>1288</v>
      </c>
      <c r="BP196" s="112" t="s">
        <v>1288</v>
      </c>
      <c r="BQ196" s="112" t="s">
        <v>1288</v>
      </c>
      <c r="BR196" s="112" t="s">
        <v>1288</v>
      </c>
      <c r="BS196" s="112" t="s">
        <v>1288</v>
      </c>
      <c r="BT196" s="112" t="s">
        <v>1288</v>
      </c>
      <c r="BU196" s="112" t="s">
        <v>1288</v>
      </c>
      <c r="BV196" s="111">
        <f t="shared" ref="BV196:BV197" si="1010">E196</f>
        <v>23</v>
      </c>
      <c r="BW196" s="113">
        <f t="shared" ref="BW196:BW197" si="1011">I196</f>
        <v>56</v>
      </c>
      <c r="BX196" s="114">
        <f t="shared" ref="BX196:BX197" si="1012">M196</f>
        <v>60</v>
      </c>
      <c r="BY196" s="113">
        <f t="shared" ref="BY196:BY197" si="1013">Q196</f>
        <v>92</v>
      </c>
      <c r="BZ196" s="114">
        <f t="shared" ref="BZ196:BZ197" si="1014">U196</f>
        <v>96</v>
      </c>
      <c r="CA196" s="113">
        <f t="shared" ref="CA196:CA197" si="1015">Y196</f>
        <v>132</v>
      </c>
      <c r="CB196" s="114">
        <f t="shared" ref="CB196:CB197" si="1016">AC196</f>
        <v>140</v>
      </c>
      <c r="CC196" s="113">
        <f t="shared" ref="CC196:CC197" si="1017">AG196</f>
        <v>177</v>
      </c>
      <c r="CD196" s="114">
        <f t="shared" ref="CD196:CD197" si="1018">AK196</f>
        <v>184</v>
      </c>
      <c r="CE196" s="113">
        <f t="shared" ref="CE196:CE197" si="1019">AO196</f>
        <v>227</v>
      </c>
      <c r="CF196" s="114">
        <f t="shared" ref="CF196:CF197" si="1020">AS196</f>
        <v>273</v>
      </c>
      <c r="CG196" s="113">
        <f t="shared" ref="CG196:CG197" si="1021">AW196</f>
        <v>299</v>
      </c>
      <c r="CH196" s="111">
        <f t="shared" ref="CH196:CH197" si="1022">G196</f>
        <v>55</v>
      </c>
      <c r="CI196" s="113">
        <f t="shared" ref="CI196:CI197" si="1023">K196</f>
        <v>59</v>
      </c>
      <c r="CJ196" s="114">
        <f t="shared" ref="CJ196:CJ197" si="1024">O196</f>
        <v>91</v>
      </c>
      <c r="CK196" s="114">
        <f t="shared" ref="CK196:CK197" si="1025">S196</f>
        <v>95</v>
      </c>
      <c r="CL196" s="114">
        <f t="shared" ref="CL196:CL197" si="1026">W196</f>
        <v>131</v>
      </c>
      <c r="CM196" s="114">
        <f t="shared" ref="CM196:CM197" si="1027">AA196</f>
        <v>139</v>
      </c>
      <c r="CN196" s="114">
        <f t="shared" ref="CN196:CN197" si="1028">AE196</f>
        <v>166</v>
      </c>
      <c r="CO196" s="114">
        <f t="shared" ref="CO196:CO197" si="1029">AI196</f>
        <v>179</v>
      </c>
      <c r="CP196" s="114">
        <f t="shared" ref="CP196:CP197" si="1030">AM196</f>
        <v>221</v>
      </c>
      <c r="CQ196" s="114">
        <f t="shared" ref="CQ196:CQ197" si="1031">AQ196</f>
        <v>264</v>
      </c>
      <c r="CR196" s="114">
        <f t="shared" ref="CR196:CR197" si="1032">AU196</f>
        <v>298</v>
      </c>
      <c r="CS196" s="114">
        <f t="shared" ref="CS196:CS197" si="1033">AY196</f>
        <v>315</v>
      </c>
      <c r="CT196" s="109">
        <f t="shared" ref="CT196:CT197" si="1034">M196-K196</f>
        <v>1</v>
      </c>
    </row>
    <row r="197" spans="1:1029" s="12" customFormat="1" x14ac:dyDescent="0.2">
      <c r="A197" s="9" t="str">
        <f t="shared" si="1007"/>
        <v>mtr1a_human_6ME2</v>
      </c>
      <c r="B197" s="9" t="s">
        <v>311</v>
      </c>
      <c r="C197" s="9" t="s">
        <v>1565</v>
      </c>
      <c r="D197" s="9" t="str">
        <f>IFERROR(MID(VLOOKUP($B197,Seqs!$A:$B,2,0),E197,1),"")</f>
        <v>P</v>
      </c>
      <c r="E197" s="9">
        <v>23</v>
      </c>
      <c r="F197" s="9" t="str">
        <f>IFERROR(MID(VLOOKUP($B197,Seqs!$A:$B,2,0),G197,1),"")</f>
        <v>N</v>
      </c>
      <c r="G197" s="9">
        <v>55</v>
      </c>
      <c r="H197" s="9" t="str">
        <f>IFERROR(MID(VLOOKUP($B197,Seqs!$A:$B,2,0),I197,1),"")</f>
        <v>K</v>
      </c>
      <c r="I197" s="109">
        <v>56</v>
      </c>
      <c r="J197" s="9" t="str">
        <f>IFERROR(MID(VLOOKUP($B197,Seqs!$A:$B,2,0),K197,1),"")</f>
        <v>R</v>
      </c>
      <c r="K197" s="109">
        <v>59</v>
      </c>
      <c r="L197" s="9" t="str">
        <f>IFERROR(MID(VLOOKUP($B197,Seqs!$A:$B,2,0),M197,1),"")</f>
        <v>N</v>
      </c>
      <c r="M197" s="9">
        <v>60</v>
      </c>
      <c r="N197" s="9" t="str">
        <f>IFERROR(MID(VLOOKUP($B197,Seqs!$A:$B,2,0),O197,1),"")</f>
        <v>N</v>
      </c>
      <c r="O197" s="9">
        <v>91</v>
      </c>
      <c r="P197" s="9" t="str">
        <f>IFERROR(MID(VLOOKUP($B197,Seqs!$A:$B,2,0),Q197,1),"")</f>
        <v>G</v>
      </c>
      <c r="Q197" s="9">
        <v>92</v>
      </c>
      <c r="R197" s="9" t="str">
        <f>IFERROR(MID(VLOOKUP($B197,Seqs!$A:$B,2,0),S197,1),"")</f>
        <v>L</v>
      </c>
      <c r="S197" s="9">
        <v>95</v>
      </c>
      <c r="T197" s="9" t="str">
        <f>IFERROR(MID(VLOOKUP($B197,Seqs!$A:$B,2,0),U197,1),"")</f>
        <v>G</v>
      </c>
      <c r="U197" s="9">
        <v>96</v>
      </c>
      <c r="V197" s="9" t="str">
        <f>IFERROR(MID(VLOOKUP($B197,Seqs!$A:$B,2,0),W197,1),"")</f>
        <v>Y</v>
      </c>
      <c r="W197" s="9">
        <v>135</v>
      </c>
      <c r="X197" s="9" t="str">
        <f>IFERROR(MID(VLOOKUP($B197,Seqs!$A:$B,2,0),Y197,1),"")</f>
        <v/>
      </c>
      <c r="Y197" s="9" t="s">
        <v>23</v>
      </c>
      <c r="Z197" s="9" t="str">
        <f>IFERROR(MID(VLOOKUP($B197,Seqs!$A:$B,2,0),AA197,1),"")</f>
        <v/>
      </c>
      <c r="AA197" s="9" t="s">
        <v>23</v>
      </c>
      <c r="AB197" s="9" t="str">
        <f>IFERROR(MID(VLOOKUP($B197,Seqs!$A:$B,2,0),AC197,1),"")</f>
        <v>N</v>
      </c>
      <c r="AC197" s="9">
        <v>143</v>
      </c>
      <c r="AD197" s="9" t="str">
        <f>IFERROR(MID(VLOOKUP($B197,Seqs!$A:$B,2,0),AE197,1),"")</f>
        <v>G</v>
      </c>
      <c r="AE197" s="9">
        <v>166</v>
      </c>
      <c r="AF197" s="9" t="str">
        <f>IFERROR(MID(VLOOKUP($B197,Seqs!$A:$B,2,0),AG197,1),"")</f>
        <v>C</v>
      </c>
      <c r="AG197" s="9">
        <v>177</v>
      </c>
      <c r="AH197" s="9" t="str">
        <f>IFERROR(MID(VLOOKUP($B197,Seqs!$A:$B,2,0),AI197,1),"")</f>
        <v>F</v>
      </c>
      <c r="AI197" s="9">
        <v>179</v>
      </c>
      <c r="AJ197" s="9" t="str">
        <f>IFERROR(MID(VLOOKUP($B197,Seqs!$A:$B,2,0),AK197,1),"")</f>
        <v>S</v>
      </c>
      <c r="AK197" s="9">
        <v>184</v>
      </c>
      <c r="AL197" s="9" t="str">
        <f>IFERROR(MID(VLOOKUP($B197,Seqs!$A:$B,2,0),AM197,1),"")</f>
        <v>R</v>
      </c>
      <c r="AM197" s="9">
        <v>218</v>
      </c>
      <c r="AN197" s="9" t="str">
        <f>IFERROR(MID(VLOOKUP($B197,Seqs!$A:$B,2,0),AO197,1),"")</f>
        <v>R</v>
      </c>
      <c r="AO197" s="9">
        <v>235</v>
      </c>
      <c r="AP197" s="9" t="str">
        <f>IFERROR(MID(VLOOKUP($B197,Seqs!$A:$B,2,0),AQ197,1),"")</f>
        <v>D</v>
      </c>
      <c r="AQ197" s="9">
        <v>264</v>
      </c>
      <c r="AR197" s="9" t="str">
        <f>IFERROR(MID(VLOOKUP($B197,Seqs!$A:$B,2,0),AS197,1),"")</f>
        <v>P</v>
      </c>
      <c r="AS197" s="9">
        <v>273</v>
      </c>
      <c r="AT197" s="9" t="str">
        <f>IFERROR(MID(VLOOKUP($B197,Seqs!$A:$B,2,0),AU197,1),"")</f>
        <v>L</v>
      </c>
      <c r="AU197" s="9">
        <v>298</v>
      </c>
      <c r="AV197" s="9" t="str">
        <f>IFERROR(MID(VLOOKUP($B197,Seqs!$A:$B,2,0),AW197,1),"")</f>
        <v>N</v>
      </c>
      <c r="AW197" s="9">
        <v>299</v>
      </c>
      <c r="AX197" s="9" t="str">
        <f>IFERROR(MID(VLOOKUP($B197,Seqs!$A:$B,2,0),AY197,1),"")</f>
        <v>T</v>
      </c>
      <c r="AY197" s="9">
        <v>315</v>
      </c>
      <c r="AZ197" s="110" t="str">
        <f>VLOOKUP(B197,Classification!A:D,2,0)</f>
        <v>A</v>
      </c>
      <c r="BA197" s="98" t="str">
        <f>VLOOKUP(B197,Classification!A:D,4,0)</f>
        <v>Melatonin</v>
      </c>
      <c r="BB197" s="36" t="b">
        <f t="shared" si="1008"/>
        <v>1</v>
      </c>
      <c r="BC197" s="109">
        <f t="shared" si="1009"/>
        <v>249</v>
      </c>
      <c r="BD197" s="13" t="s">
        <v>1377</v>
      </c>
      <c r="BE197" s="9" t="s">
        <v>1375</v>
      </c>
      <c r="BF197" s="120">
        <v>2.8</v>
      </c>
      <c r="BG197" s="51" t="s">
        <v>1</v>
      </c>
      <c r="BH197" s="51" t="s">
        <v>1</v>
      </c>
      <c r="BJ197" s="111" t="s">
        <v>1288</v>
      </c>
      <c r="BK197" s="112" t="s">
        <v>1288</v>
      </c>
      <c r="BL197" s="112" t="s">
        <v>1288</v>
      </c>
      <c r="BM197" s="112" t="s">
        <v>1288</v>
      </c>
      <c r="BN197" s="112" t="s">
        <v>1288</v>
      </c>
      <c r="BO197" s="112" t="s">
        <v>1288</v>
      </c>
      <c r="BP197" s="112" t="s">
        <v>1288</v>
      </c>
      <c r="BQ197" s="112" t="s">
        <v>1288</v>
      </c>
      <c r="BR197" s="112" t="s">
        <v>1288</v>
      </c>
      <c r="BS197" s="112" t="s">
        <v>1288</v>
      </c>
      <c r="BT197" s="112" t="s">
        <v>1288</v>
      </c>
      <c r="BU197" s="112" t="s">
        <v>1288</v>
      </c>
      <c r="BV197" s="111">
        <f t="shared" si="1010"/>
        <v>23</v>
      </c>
      <c r="BW197" s="113">
        <f t="shared" si="1011"/>
        <v>56</v>
      </c>
      <c r="BX197" s="114">
        <f t="shared" si="1012"/>
        <v>60</v>
      </c>
      <c r="BY197" s="113">
        <f t="shared" si="1013"/>
        <v>92</v>
      </c>
      <c r="BZ197" s="114">
        <f t="shared" si="1014"/>
        <v>96</v>
      </c>
      <c r="CA197" s="113" t="str">
        <f t="shared" si="1015"/>
        <v>-</v>
      </c>
      <c r="CB197" s="114">
        <f t="shared" si="1016"/>
        <v>143</v>
      </c>
      <c r="CC197" s="113">
        <f t="shared" si="1017"/>
        <v>177</v>
      </c>
      <c r="CD197" s="114">
        <f t="shared" si="1018"/>
        <v>184</v>
      </c>
      <c r="CE197" s="113">
        <f t="shared" si="1019"/>
        <v>235</v>
      </c>
      <c r="CF197" s="114">
        <f t="shared" si="1020"/>
        <v>273</v>
      </c>
      <c r="CG197" s="113">
        <f t="shared" si="1021"/>
        <v>299</v>
      </c>
      <c r="CH197" s="111">
        <f t="shared" si="1022"/>
        <v>55</v>
      </c>
      <c r="CI197" s="113">
        <f t="shared" si="1023"/>
        <v>59</v>
      </c>
      <c r="CJ197" s="114">
        <f t="shared" si="1024"/>
        <v>91</v>
      </c>
      <c r="CK197" s="114">
        <f t="shared" si="1025"/>
        <v>95</v>
      </c>
      <c r="CL197" s="114">
        <f t="shared" si="1026"/>
        <v>135</v>
      </c>
      <c r="CM197" s="114" t="str">
        <f t="shared" si="1027"/>
        <v>-</v>
      </c>
      <c r="CN197" s="114">
        <f t="shared" si="1028"/>
        <v>166</v>
      </c>
      <c r="CO197" s="114">
        <f t="shared" si="1029"/>
        <v>179</v>
      </c>
      <c r="CP197" s="114">
        <f t="shared" si="1030"/>
        <v>218</v>
      </c>
      <c r="CQ197" s="114">
        <f t="shared" si="1031"/>
        <v>264</v>
      </c>
      <c r="CR197" s="114">
        <f t="shared" si="1032"/>
        <v>298</v>
      </c>
      <c r="CS197" s="114">
        <f t="shared" si="1033"/>
        <v>315</v>
      </c>
      <c r="CT197" s="109">
        <f t="shared" si="1034"/>
        <v>1</v>
      </c>
    </row>
    <row r="198" spans="1:1029" s="12" customFormat="1" x14ac:dyDescent="0.2">
      <c r="A198" s="9" t="str">
        <f t="shared" ref="A198" si="1035">CONCATENATE(B198,"_",C198)</f>
        <v>mtr1a_human_6ME3</v>
      </c>
      <c r="B198" s="9" t="s">
        <v>311</v>
      </c>
      <c r="C198" s="9" t="s">
        <v>1566</v>
      </c>
      <c r="D198" s="9" t="str">
        <f>IFERROR(MID(VLOOKUP($B198,Seqs!$A:$B,2,0),E198,1),"")</f>
        <v>P</v>
      </c>
      <c r="E198" s="9">
        <v>23</v>
      </c>
      <c r="F198" s="9" t="str">
        <f>IFERROR(MID(VLOOKUP($B198,Seqs!$A:$B,2,0),G198,1),"")</f>
        <v>N</v>
      </c>
      <c r="G198" s="9">
        <v>55</v>
      </c>
      <c r="H198" s="9" t="str">
        <f>IFERROR(MID(VLOOKUP($B198,Seqs!$A:$B,2,0),I198,1),"")</f>
        <v>K</v>
      </c>
      <c r="I198" s="109">
        <v>56</v>
      </c>
      <c r="J198" s="9" t="str">
        <f>IFERROR(MID(VLOOKUP($B198,Seqs!$A:$B,2,0),K198,1),"")</f>
        <v>R</v>
      </c>
      <c r="K198" s="109">
        <v>59</v>
      </c>
      <c r="L198" s="9" t="str">
        <f>IFERROR(MID(VLOOKUP($B198,Seqs!$A:$B,2,0),M198,1),"")</f>
        <v>N</v>
      </c>
      <c r="M198" s="9">
        <v>60</v>
      </c>
      <c r="N198" s="9" t="str">
        <f>IFERROR(MID(VLOOKUP($B198,Seqs!$A:$B,2,0),O198,1),"")</f>
        <v>N</v>
      </c>
      <c r="O198" s="9">
        <v>91</v>
      </c>
      <c r="P198" s="9" t="str">
        <f>IFERROR(MID(VLOOKUP($B198,Seqs!$A:$B,2,0),Q198,1),"")</f>
        <v>G</v>
      </c>
      <c r="Q198" s="9">
        <v>92</v>
      </c>
      <c r="R198" s="9" t="str">
        <f>IFERROR(MID(VLOOKUP($B198,Seqs!$A:$B,2,0),S198,1),"")</f>
        <v>L</v>
      </c>
      <c r="S198" s="9">
        <v>95</v>
      </c>
      <c r="T198" s="9" t="str">
        <f>IFERROR(MID(VLOOKUP($B198,Seqs!$A:$B,2,0),U198,1),"")</f>
        <v>G</v>
      </c>
      <c r="U198" s="9">
        <v>96</v>
      </c>
      <c r="V198" s="9" t="str">
        <f>IFERROR(MID(VLOOKUP($B198,Seqs!$A:$B,2,0),W198,1),"")</f>
        <v>Y</v>
      </c>
      <c r="W198" s="9">
        <v>135</v>
      </c>
      <c r="X198" s="9" t="str">
        <f>IFERROR(MID(VLOOKUP($B198,Seqs!$A:$B,2,0),Y198,1),"")</f>
        <v/>
      </c>
      <c r="Y198" s="9" t="s">
        <v>23</v>
      </c>
      <c r="Z198" s="9" t="str">
        <f>IFERROR(MID(VLOOKUP($B198,Seqs!$A:$B,2,0),AA198,1),"")</f>
        <v/>
      </c>
      <c r="AA198" s="9" t="s">
        <v>23</v>
      </c>
      <c r="AB198" s="9" t="str">
        <f>IFERROR(MID(VLOOKUP($B198,Seqs!$A:$B,2,0),AC198,1),"")</f>
        <v>N</v>
      </c>
      <c r="AC198" s="9">
        <v>143</v>
      </c>
      <c r="AD198" s="9" t="str">
        <f>IFERROR(MID(VLOOKUP($B198,Seqs!$A:$B,2,0),AE198,1),"")</f>
        <v>G</v>
      </c>
      <c r="AE198" s="9">
        <v>166</v>
      </c>
      <c r="AF198" s="9" t="str">
        <f>IFERROR(MID(VLOOKUP($B198,Seqs!$A:$B,2,0),AG198,1),"")</f>
        <v>C</v>
      </c>
      <c r="AG198" s="9">
        <v>177</v>
      </c>
      <c r="AH198" s="9" t="str">
        <f>IFERROR(MID(VLOOKUP($B198,Seqs!$A:$B,2,0),AI198,1),"")</f>
        <v>F</v>
      </c>
      <c r="AI198" s="9">
        <v>179</v>
      </c>
      <c r="AJ198" s="9" t="str">
        <f>IFERROR(MID(VLOOKUP($B198,Seqs!$A:$B,2,0),AK198,1),"")</f>
        <v>S</v>
      </c>
      <c r="AK198" s="9">
        <v>184</v>
      </c>
      <c r="AL198" s="9" t="str">
        <f>IFERROR(MID(VLOOKUP($B198,Seqs!$A:$B,2,0),AM198,1),"")</f>
        <v>R</v>
      </c>
      <c r="AM198" s="9">
        <v>218</v>
      </c>
      <c r="AN198" s="9" t="str">
        <f>IFERROR(MID(VLOOKUP($B198,Seqs!$A:$B,2,0),AO198,1),"")</f>
        <v>R</v>
      </c>
      <c r="AO198" s="9">
        <v>235</v>
      </c>
      <c r="AP198" s="9" t="str">
        <f>IFERROR(MID(VLOOKUP($B198,Seqs!$A:$B,2,0),AQ198,1),"")</f>
        <v>D</v>
      </c>
      <c r="AQ198" s="9">
        <v>264</v>
      </c>
      <c r="AR198" s="9" t="str">
        <f>IFERROR(MID(VLOOKUP($B198,Seqs!$A:$B,2,0),AS198,1),"")</f>
        <v>P</v>
      </c>
      <c r="AS198" s="9">
        <v>273</v>
      </c>
      <c r="AT198" s="9" t="str">
        <f>IFERROR(MID(VLOOKUP($B198,Seqs!$A:$B,2,0),AU198,1),"")</f>
        <v>L</v>
      </c>
      <c r="AU198" s="9">
        <v>298</v>
      </c>
      <c r="AV198" s="9" t="str">
        <f>IFERROR(MID(VLOOKUP($B198,Seqs!$A:$B,2,0),AW198,1),"")</f>
        <v>N</v>
      </c>
      <c r="AW198" s="9">
        <v>299</v>
      </c>
      <c r="AX198" s="9" t="str">
        <f>IFERROR(MID(VLOOKUP($B198,Seqs!$A:$B,2,0),AY198,1),"")</f>
        <v>T</v>
      </c>
      <c r="AY198" s="9">
        <v>315</v>
      </c>
      <c r="AZ198" s="110" t="str">
        <f>VLOOKUP(B198,Classification!A:D,2,0)</f>
        <v>A</v>
      </c>
      <c r="BA198" s="98" t="str">
        <f>VLOOKUP(B198,Classification!A:D,4,0)</f>
        <v>Melatonin</v>
      </c>
      <c r="BB198" s="36" t="b">
        <f t="shared" ref="BB198" si="1036">AND(E198&lt;G198,OR(G198&lt;I198,I198="-"),OR(I198&lt;K198,I198="-"),OR(K198&lt;M198,K198="-"),M198&lt;O198,OR(O198&lt;Q198,Q198="-"),OR(Q198&lt;S198,Q198="-"),OR(S198&lt;U198,S198="-"),U198&lt;W198,OR(W198&lt;Y198,Y198="-"),OR(Y198&lt;AA198,Y198="-"),OR(AA198&lt;AC198,AA198="-"),AC198&lt;AE198,OR(AE198&lt;AG198,AG198="-"),OR(AG198&lt;AI198,AG198="-"),OR(AI198&lt;AK198,AI198="-"),AK198&lt;AM198,AM198&lt;AO198,AO198&lt;AQ198,AQ198&lt;AS198,AS198&lt;AU198,OR(AU198&lt;AW198,AW198="-"),OR(AW198&lt;AY198,AW198="-"))</f>
        <v>1</v>
      </c>
      <c r="BC198" s="109">
        <f t="shared" si="1009"/>
        <v>249</v>
      </c>
      <c r="BD198" s="13" t="s">
        <v>23</v>
      </c>
      <c r="BE198" s="9" t="s">
        <v>1375</v>
      </c>
      <c r="BF198" s="120">
        <v>2.9</v>
      </c>
      <c r="BG198" s="51" t="s">
        <v>1</v>
      </c>
      <c r="BH198" s="51" t="s">
        <v>1</v>
      </c>
      <c r="BJ198" s="111" t="s">
        <v>1288</v>
      </c>
      <c r="BK198" s="112" t="s">
        <v>1288</v>
      </c>
      <c r="BL198" s="112" t="s">
        <v>1288</v>
      </c>
      <c r="BM198" s="112" t="s">
        <v>1288</v>
      </c>
      <c r="BN198" s="112" t="s">
        <v>1288</v>
      </c>
      <c r="BO198" s="112" t="s">
        <v>1288</v>
      </c>
      <c r="BP198" s="112" t="s">
        <v>1288</v>
      </c>
      <c r="BQ198" s="112" t="s">
        <v>1288</v>
      </c>
      <c r="BR198" s="112" t="s">
        <v>1288</v>
      </c>
      <c r="BS198" s="112" t="s">
        <v>1288</v>
      </c>
      <c r="BT198" s="112" t="s">
        <v>1288</v>
      </c>
      <c r="BU198" s="112" t="s">
        <v>1288</v>
      </c>
      <c r="BV198" s="111">
        <f t="shared" ref="BV198" si="1037">E198</f>
        <v>23</v>
      </c>
      <c r="BW198" s="113">
        <f t="shared" ref="BW198" si="1038">I198</f>
        <v>56</v>
      </c>
      <c r="BX198" s="114">
        <f t="shared" ref="BX198" si="1039">M198</f>
        <v>60</v>
      </c>
      <c r="BY198" s="113">
        <f t="shared" ref="BY198" si="1040">Q198</f>
        <v>92</v>
      </c>
      <c r="BZ198" s="114">
        <f t="shared" ref="BZ198" si="1041">U198</f>
        <v>96</v>
      </c>
      <c r="CA198" s="113" t="str">
        <f t="shared" ref="CA198" si="1042">Y198</f>
        <v>-</v>
      </c>
      <c r="CB198" s="114">
        <f t="shared" ref="CB198" si="1043">AC198</f>
        <v>143</v>
      </c>
      <c r="CC198" s="113">
        <f t="shared" ref="CC198" si="1044">AG198</f>
        <v>177</v>
      </c>
      <c r="CD198" s="114">
        <f t="shared" ref="CD198" si="1045">AK198</f>
        <v>184</v>
      </c>
      <c r="CE198" s="113">
        <f t="shared" ref="CE198" si="1046">AO198</f>
        <v>235</v>
      </c>
      <c r="CF198" s="114">
        <f t="shared" ref="CF198" si="1047">AS198</f>
        <v>273</v>
      </c>
      <c r="CG198" s="113">
        <f t="shared" ref="CG198" si="1048">AW198</f>
        <v>299</v>
      </c>
      <c r="CH198" s="111">
        <f t="shared" ref="CH198" si="1049">G198</f>
        <v>55</v>
      </c>
      <c r="CI198" s="113">
        <f t="shared" ref="CI198" si="1050">K198</f>
        <v>59</v>
      </c>
      <c r="CJ198" s="114">
        <f t="shared" ref="CJ198" si="1051">O198</f>
        <v>91</v>
      </c>
      <c r="CK198" s="114">
        <f t="shared" ref="CK198" si="1052">S198</f>
        <v>95</v>
      </c>
      <c r="CL198" s="114">
        <f t="shared" ref="CL198" si="1053">W198</f>
        <v>135</v>
      </c>
      <c r="CM198" s="114" t="str">
        <f t="shared" ref="CM198" si="1054">AA198</f>
        <v>-</v>
      </c>
      <c r="CN198" s="114">
        <f t="shared" ref="CN198" si="1055">AE198</f>
        <v>166</v>
      </c>
      <c r="CO198" s="114">
        <f t="shared" ref="CO198" si="1056">AI198</f>
        <v>179</v>
      </c>
      <c r="CP198" s="114">
        <f t="shared" ref="CP198" si="1057">AM198</f>
        <v>218</v>
      </c>
      <c r="CQ198" s="114">
        <f t="shared" ref="CQ198" si="1058">AQ198</f>
        <v>264</v>
      </c>
      <c r="CR198" s="114">
        <f t="shared" ref="CR198" si="1059">AU198</f>
        <v>298</v>
      </c>
      <c r="CS198" s="114">
        <f t="shared" ref="CS198" si="1060">AY198</f>
        <v>315</v>
      </c>
      <c r="CT198" s="109">
        <f t="shared" ref="CT198" si="1061">M198-K198</f>
        <v>1</v>
      </c>
    </row>
    <row r="199" spans="1:1029" s="12" customFormat="1" x14ac:dyDescent="0.2">
      <c r="A199" s="9" t="str">
        <f t="shared" ref="A199" si="1062">CONCATENATE(B199,"_",C199)</f>
        <v>mtr1a_human_6ME4</v>
      </c>
      <c r="B199" s="9" t="s">
        <v>311</v>
      </c>
      <c r="C199" s="9" t="s">
        <v>1567</v>
      </c>
      <c r="D199" s="9" t="str">
        <f>IFERROR(MID(VLOOKUP($B199,Seqs!$A:$B,2,0),E199,1),"")</f>
        <v>P</v>
      </c>
      <c r="E199" s="9">
        <v>23</v>
      </c>
      <c r="F199" s="9" t="str">
        <f>IFERROR(MID(VLOOKUP($B199,Seqs!$A:$B,2,0),G199,1),"")</f>
        <v>N</v>
      </c>
      <c r="G199" s="9">
        <v>55</v>
      </c>
      <c r="H199" s="9" t="str">
        <f>IFERROR(MID(VLOOKUP($B199,Seqs!$A:$B,2,0),I199,1),"")</f>
        <v>K</v>
      </c>
      <c r="I199" s="109">
        <v>56</v>
      </c>
      <c r="J199" s="9" t="str">
        <f>IFERROR(MID(VLOOKUP($B199,Seqs!$A:$B,2,0),K199,1),"")</f>
        <v>R</v>
      </c>
      <c r="K199" s="109">
        <v>59</v>
      </c>
      <c r="L199" s="9" t="str">
        <f>IFERROR(MID(VLOOKUP($B199,Seqs!$A:$B,2,0),M199,1),"")</f>
        <v>N</v>
      </c>
      <c r="M199" s="9">
        <v>60</v>
      </c>
      <c r="N199" s="9" t="str">
        <f>IFERROR(MID(VLOOKUP($B199,Seqs!$A:$B,2,0),O199,1),"")</f>
        <v>N</v>
      </c>
      <c r="O199" s="9">
        <v>91</v>
      </c>
      <c r="P199" s="9" t="str">
        <f>IFERROR(MID(VLOOKUP($B199,Seqs!$A:$B,2,0),Q199,1),"")</f>
        <v>G</v>
      </c>
      <c r="Q199" s="9">
        <v>92</v>
      </c>
      <c r="R199" s="9" t="str">
        <f>IFERROR(MID(VLOOKUP($B199,Seqs!$A:$B,2,0),S199,1),"")</f>
        <v>L</v>
      </c>
      <c r="S199" s="9">
        <v>95</v>
      </c>
      <c r="T199" s="9" t="str">
        <f>IFERROR(MID(VLOOKUP($B199,Seqs!$A:$B,2,0),U199,1),"")</f>
        <v>G</v>
      </c>
      <c r="U199" s="9">
        <v>96</v>
      </c>
      <c r="V199" s="9" t="str">
        <f>IFERROR(MID(VLOOKUP($B199,Seqs!$A:$B,2,0),W199,1),"")</f>
        <v>Y</v>
      </c>
      <c r="W199" s="9">
        <v>135</v>
      </c>
      <c r="X199" s="9" t="str">
        <f>IFERROR(MID(VLOOKUP($B199,Seqs!$A:$B,2,0),Y199,1),"")</f>
        <v/>
      </c>
      <c r="Y199" s="9" t="s">
        <v>23</v>
      </c>
      <c r="Z199" s="9" t="str">
        <f>IFERROR(MID(VLOOKUP($B199,Seqs!$A:$B,2,0),AA199,1),"")</f>
        <v/>
      </c>
      <c r="AA199" s="9" t="s">
        <v>23</v>
      </c>
      <c r="AB199" s="9" t="str">
        <f>IFERROR(MID(VLOOKUP($B199,Seqs!$A:$B,2,0),AC199,1),"")</f>
        <v>N</v>
      </c>
      <c r="AC199" s="9">
        <v>143</v>
      </c>
      <c r="AD199" s="9" t="str">
        <f>IFERROR(MID(VLOOKUP($B199,Seqs!$A:$B,2,0),AE199,1),"")</f>
        <v>G</v>
      </c>
      <c r="AE199" s="9">
        <v>166</v>
      </c>
      <c r="AF199" s="9" t="str">
        <f>IFERROR(MID(VLOOKUP($B199,Seqs!$A:$B,2,0),AG199,1),"")</f>
        <v>C</v>
      </c>
      <c r="AG199" s="9">
        <v>177</v>
      </c>
      <c r="AH199" s="9" t="str">
        <f>IFERROR(MID(VLOOKUP($B199,Seqs!$A:$B,2,0),AI199,1),"")</f>
        <v>F</v>
      </c>
      <c r="AI199" s="9">
        <v>179</v>
      </c>
      <c r="AJ199" s="9" t="str">
        <f>IFERROR(MID(VLOOKUP($B199,Seqs!$A:$B,2,0),AK199,1),"")</f>
        <v>S</v>
      </c>
      <c r="AK199" s="9">
        <v>184</v>
      </c>
      <c r="AL199" s="9" t="str">
        <f>IFERROR(MID(VLOOKUP($B199,Seqs!$A:$B,2,0),AM199,1),"")</f>
        <v>R</v>
      </c>
      <c r="AM199" s="9">
        <v>218</v>
      </c>
      <c r="AN199" s="9" t="str">
        <f>IFERROR(MID(VLOOKUP($B199,Seqs!$A:$B,2,0),AO199,1),"")</f>
        <v>R</v>
      </c>
      <c r="AO199" s="9">
        <v>235</v>
      </c>
      <c r="AP199" s="9" t="str">
        <f>IFERROR(MID(VLOOKUP($B199,Seqs!$A:$B,2,0),AQ199,1),"")</f>
        <v>D</v>
      </c>
      <c r="AQ199" s="9">
        <v>264</v>
      </c>
      <c r="AR199" s="9" t="str">
        <f>IFERROR(MID(VLOOKUP($B199,Seqs!$A:$B,2,0),AS199,1),"")</f>
        <v>P</v>
      </c>
      <c r="AS199" s="9">
        <v>273</v>
      </c>
      <c r="AT199" s="9" t="str">
        <f>IFERROR(MID(VLOOKUP($B199,Seqs!$A:$B,2,0),AU199,1),"")</f>
        <v>L</v>
      </c>
      <c r="AU199" s="9">
        <v>298</v>
      </c>
      <c r="AV199" s="9" t="str">
        <f>IFERROR(MID(VLOOKUP($B199,Seqs!$A:$B,2,0),AW199,1),"")</f>
        <v>N</v>
      </c>
      <c r="AW199" s="9">
        <v>299</v>
      </c>
      <c r="AX199" s="9" t="str">
        <f>IFERROR(MID(VLOOKUP($B199,Seqs!$A:$B,2,0),AY199,1),"")</f>
        <v>T</v>
      </c>
      <c r="AY199" s="9">
        <v>315</v>
      </c>
      <c r="AZ199" s="110" t="str">
        <f>VLOOKUP(B199,Classification!A:D,2,0)</f>
        <v>A</v>
      </c>
      <c r="BA199" s="98" t="str">
        <f>VLOOKUP(B199,Classification!A:D,4,0)</f>
        <v>Melatonin</v>
      </c>
      <c r="BB199" s="36" t="b">
        <f t="shared" ref="BB199" si="1063">AND(E199&lt;G199,OR(G199&lt;I199,I199="-"),OR(I199&lt;K199,I199="-"),OR(K199&lt;M199,K199="-"),M199&lt;O199,OR(O199&lt;Q199,Q199="-"),OR(Q199&lt;S199,Q199="-"),OR(S199&lt;U199,S199="-"),U199&lt;W199,OR(W199&lt;Y199,Y199="-"),OR(Y199&lt;AA199,Y199="-"),OR(AA199&lt;AC199,AA199="-"),AC199&lt;AE199,OR(AE199&lt;AG199,AG199="-"),OR(AG199&lt;AI199,AG199="-"),OR(AI199&lt;AK199,AI199="-"),AK199&lt;AM199,AM199&lt;AO199,AO199&lt;AQ199,AQ199&lt;AS199,AS199&lt;AU199,OR(AU199&lt;AW199,AW199="-"),OR(AW199&lt;AY199,AW199="-"))</f>
        <v>1</v>
      </c>
      <c r="BC199" s="109">
        <f t="shared" ref="BC199" si="1064">_xlfn.AGGREGATE(9,6,CH199:CS199)-_xlfn.AGGREGATE(9,6,BV199:CG199)+12</f>
        <v>249</v>
      </c>
      <c r="BD199" s="13" t="s">
        <v>23</v>
      </c>
      <c r="BE199" s="9" t="s">
        <v>1375</v>
      </c>
      <c r="BF199" s="120">
        <v>3.2</v>
      </c>
      <c r="BG199" s="51" t="s">
        <v>1</v>
      </c>
      <c r="BH199" s="51" t="s">
        <v>1</v>
      </c>
      <c r="BJ199" s="111" t="s">
        <v>1288</v>
      </c>
      <c r="BK199" s="112" t="s">
        <v>1288</v>
      </c>
      <c r="BL199" s="112" t="s">
        <v>1288</v>
      </c>
      <c r="BM199" s="112" t="s">
        <v>1288</v>
      </c>
      <c r="BN199" s="112" t="s">
        <v>1288</v>
      </c>
      <c r="BO199" s="112" t="s">
        <v>1288</v>
      </c>
      <c r="BP199" s="112" t="s">
        <v>1288</v>
      </c>
      <c r="BQ199" s="112" t="s">
        <v>1288</v>
      </c>
      <c r="BR199" s="112" t="s">
        <v>1288</v>
      </c>
      <c r="BS199" s="112" t="s">
        <v>1288</v>
      </c>
      <c r="BT199" s="112" t="s">
        <v>1288</v>
      </c>
      <c r="BU199" s="112" t="s">
        <v>1288</v>
      </c>
      <c r="BV199" s="111">
        <f t="shared" ref="BV199" si="1065">E199</f>
        <v>23</v>
      </c>
      <c r="BW199" s="113">
        <f t="shared" ref="BW199" si="1066">I199</f>
        <v>56</v>
      </c>
      <c r="BX199" s="114">
        <f t="shared" ref="BX199" si="1067">M199</f>
        <v>60</v>
      </c>
      <c r="BY199" s="113">
        <f t="shared" ref="BY199" si="1068">Q199</f>
        <v>92</v>
      </c>
      <c r="BZ199" s="114">
        <f t="shared" ref="BZ199" si="1069">U199</f>
        <v>96</v>
      </c>
      <c r="CA199" s="113" t="str">
        <f t="shared" ref="CA199" si="1070">Y199</f>
        <v>-</v>
      </c>
      <c r="CB199" s="114">
        <f t="shared" ref="CB199" si="1071">AC199</f>
        <v>143</v>
      </c>
      <c r="CC199" s="113">
        <f t="shared" ref="CC199" si="1072">AG199</f>
        <v>177</v>
      </c>
      <c r="CD199" s="114">
        <f t="shared" ref="CD199" si="1073">AK199</f>
        <v>184</v>
      </c>
      <c r="CE199" s="113">
        <f t="shared" ref="CE199" si="1074">AO199</f>
        <v>235</v>
      </c>
      <c r="CF199" s="114">
        <f t="shared" ref="CF199" si="1075">AS199</f>
        <v>273</v>
      </c>
      <c r="CG199" s="113">
        <f t="shared" ref="CG199" si="1076">AW199</f>
        <v>299</v>
      </c>
      <c r="CH199" s="111">
        <f t="shared" ref="CH199" si="1077">G199</f>
        <v>55</v>
      </c>
      <c r="CI199" s="113">
        <f t="shared" ref="CI199" si="1078">K199</f>
        <v>59</v>
      </c>
      <c r="CJ199" s="114">
        <f t="shared" ref="CJ199" si="1079">O199</f>
        <v>91</v>
      </c>
      <c r="CK199" s="114">
        <f t="shared" ref="CK199" si="1080">S199</f>
        <v>95</v>
      </c>
      <c r="CL199" s="114">
        <f t="shared" ref="CL199" si="1081">W199</f>
        <v>135</v>
      </c>
      <c r="CM199" s="114" t="str">
        <f t="shared" ref="CM199" si="1082">AA199</f>
        <v>-</v>
      </c>
      <c r="CN199" s="114">
        <f t="shared" ref="CN199" si="1083">AE199</f>
        <v>166</v>
      </c>
      <c r="CO199" s="114">
        <f t="shared" ref="CO199" si="1084">AI199</f>
        <v>179</v>
      </c>
      <c r="CP199" s="114">
        <f t="shared" ref="CP199" si="1085">AM199</f>
        <v>218</v>
      </c>
      <c r="CQ199" s="114">
        <f t="shared" ref="CQ199" si="1086">AQ199</f>
        <v>264</v>
      </c>
      <c r="CR199" s="114">
        <f t="shared" ref="CR199" si="1087">AU199</f>
        <v>298</v>
      </c>
      <c r="CS199" s="114">
        <f t="shared" ref="CS199" si="1088">AY199</f>
        <v>315</v>
      </c>
      <c r="CT199" s="109">
        <f t="shared" ref="CT199" si="1089">M199-K199</f>
        <v>1</v>
      </c>
    </row>
    <row r="200" spans="1:1029" s="12" customFormat="1" x14ac:dyDescent="0.2">
      <c r="A200" s="9" t="str">
        <f t="shared" ref="A200" si="1090">CONCATENATE(B200,"_",C200)</f>
        <v>mtr1a_human_6ME5</v>
      </c>
      <c r="B200" s="9" t="s">
        <v>311</v>
      </c>
      <c r="C200" s="9" t="s">
        <v>1568</v>
      </c>
      <c r="D200" s="9" t="str">
        <f>IFERROR(MID(VLOOKUP($B200,Seqs!$A:$B,2,0),E200,1),"")</f>
        <v>P</v>
      </c>
      <c r="E200" s="9">
        <v>23</v>
      </c>
      <c r="F200" s="9" t="str">
        <f>IFERROR(MID(VLOOKUP($B200,Seqs!$A:$B,2,0),G200,1),"")</f>
        <v>N</v>
      </c>
      <c r="G200" s="9">
        <v>55</v>
      </c>
      <c r="H200" s="9" t="str">
        <f>IFERROR(MID(VLOOKUP($B200,Seqs!$A:$B,2,0),I200,1),"")</f>
        <v>K</v>
      </c>
      <c r="I200" s="109">
        <v>56</v>
      </c>
      <c r="J200" s="9" t="str">
        <f>IFERROR(MID(VLOOKUP($B200,Seqs!$A:$B,2,0),K200,1),"")</f>
        <v>R</v>
      </c>
      <c r="K200" s="109">
        <v>59</v>
      </c>
      <c r="L200" s="9" t="str">
        <f>IFERROR(MID(VLOOKUP($B200,Seqs!$A:$B,2,0),M200,1),"")</f>
        <v>N</v>
      </c>
      <c r="M200" s="9">
        <v>60</v>
      </c>
      <c r="N200" s="9" t="str">
        <f>IFERROR(MID(VLOOKUP($B200,Seqs!$A:$B,2,0),O200,1),"")</f>
        <v>N</v>
      </c>
      <c r="O200" s="9">
        <v>91</v>
      </c>
      <c r="P200" s="9" t="str">
        <f>IFERROR(MID(VLOOKUP($B200,Seqs!$A:$B,2,0),Q200,1),"")</f>
        <v>G</v>
      </c>
      <c r="Q200" s="9">
        <v>92</v>
      </c>
      <c r="R200" s="9" t="str">
        <f>IFERROR(MID(VLOOKUP($B200,Seqs!$A:$B,2,0),S200,1),"")</f>
        <v>L</v>
      </c>
      <c r="S200" s="9">
        <v>95</v>
      </c>
      <c r="T200" s="9" t="str">
        <f>IFERROR(MID(VLOOKUP($B200,Seqs!$A:$B,2,0),U200,1),"")</f>
        <v>G</v>
      </c>
      <c r="U200" s="9">
        <v>96</v>
      </c>
      <c r="V200" s="9" t="str">
        <f>IFERROR(MID(VLOOKUP($B200,Seqs!$A:$B,2,0),W200,1),"")</f>
        <v>Y</v>
      </c>
      <c r="W200" s="9">
        <v>135</v>
      </c>
      <c r="X200" s="9" t="str">
        <f>IFERROR(MID(VLOOKUP($B200,Seqs!$A:$B,2,0),Y200,1),"")</f>
        <v/>
      </c>
      <c r="Y200" s="9" t="s">
        <v>23</v>
      </c>
      <c r="Z200" s="9" t="str">
        <f>IFERROR(MID(VLOOKUP($B200,Seqs!$A:$B,2,0),AA200,1),"")</f>
        <v/>
      </c>
      <c r="AA200" s="9" t="s">
        <v>23</v>
      </c>
      <c r="AB200" s="9" t="str">
        <f>IFERROR(MID(VLOOKUP($B200,Seqs!$A:$B,2,0),AC200,1),"")</f>
        <v>N</v>
      </c>
      <c r="AC200" s="9">
        <v>143</v>
      </c>
      <c r="AD200" s="9" t="str">
        <f>IFERROR(MID(VLOOKUP($B200,Seqs!$A:$B,2,0),AE200,1),"")</f>
        <v>G</v>
      </c>
      <c r="AE200" s="9">
        <v>166</v>
      </c>
      <c r="AF200" s="9" t="str">
        <f>IFERROR(MID(VLOOKUP($B200,Seqs!$A:$B,2,0),AG200,1),"")</f>
        <v>C</v>
      </c>
      <c r="AG200" s="9">
        <v>177</v>
      </c>
      <c r="AH200" s="9" t="str">
        <f>IFERROR(MID(VLOOKUP($B200,Seqs!$A:$B,2,0),AI200,1),"")</f>
        <v>F</v>
      </c>
      <c r="AI200" s="9">
        <v>179</v>
      </c>
      <c r="AJ200" s="9" t="str">
        <f>IFERROR(MID(VLOOKUP($B200,Seqs!$A:$B,2,0),AK200,1),"")</f>
        <v>S</v>
      </c>
      <c r="AK200" s="9">
        <v>184</v>
      </c>
      <c r="AL200" s="9" t="str">
        <f>IFERROR(MID(VLOOKUP($B200,Seqs!$A:$B,2,0),AM200,1),"")</f>
        <v>R</v>
      </c>
      <c r="AM200" s="9">
        <v>218</v>
      </c>
      <c r="AN200" s="9" t="str">
        <f>IFERROR(MID(VLOOKUP($B200,Seqs!$A:$B,2,0),AO200,1),"")</f>
        <v>R</v>
      </c>
      <c r="AO200" s="9">
        <v>235</v>
      </c>
      <c r="AP200" s="9" t="str">
        <f>IFERROR(MID(VLOOKUP($B200,Seqs!$A:$B,2,0),AQ200,1),"")</f>
        <v>D</v>
      </c>
      <c r="AQ200" s="9">
        <v>264</v>
      </c>
      <c r="AR200" s="9" t="str">
        <f>IFERROR(MID(VLOOKUP($B200,Seqs!$A:$B,2,0),AS200,1),"")</f>
        <v>P</v>
      </c>
      <c r="AS200" s="9">
        <v>273</v>
      </c>
      <c r="AT200" s="9" t="str">
        <f>IFERROR(MID(VLOOKUP($B200,Seqs!$A:$B,2,0),AU200,1),"")</f>
        <v>L</v>
      </c>
      <c r="AU200" s="9">
        <v>298</v>
      </c>
      <c r="AV200" s="9" t="str">
        <f>IFERROR(MID(VLOOKUP($B200,Seqs!$A:$B,2,0),AW200,1),"")</f>
        <v>N</v>
      </c>
      <c r="AW200" s="9">
        <v>299</v>
      </c>
      <c r="AX200" s="9" t="str">
        <f>IFERROR(MID(VLOOKUP($B200,Seqs!$A:$B,2,0),AY200,1),"")</f>
        <v>T</v>
      </c>
      <c r="AY200" s="9">
        <v>315</v>
      </c>
      <c r="AZ200" s="110" t="str">
        <f>VLOOKUP(B200,Classification!A:D,2,0)</f>
        <v>A</v>
      </c>
      <c r="BA200" s="98" t="str">
        <f>VLOOKUP(B200,Classification!A:D,4,0)</f>
        <v>Melatonin</v>
      </c>
      <c r="BB200" s="36" t="b">
        <f t="shared" ref="BB200" si="1091">AND(E200&lt;G200,OR(G200&lt;I200,I200="-"),OR(I200&lt;K200,I200="-"),OR(K200&lt;M200,K200="-"),M200&lt;O200,OR(O200&lt;Q200,Q200="-"),OR(Q200&lt;S200,Q200="-"),OR(S200&lt;U200,S200="-"),U200&lt;W200,OR(W200&lt;Y200,Y200="-"),OR(Y200&lt;AA200,Y200="-"),OR(AA200&lt;AC200,AA200="-"),AC200&lt;AE200,OR(AE200&lt;AG200,AG200="-"),OR(AG200&lt;AI200,AG200="-"),OR(AI200&lt;AK200,AI200="-"),AK200&lt;AM200,AM200&lt;AO200,AO200&lt;AQ200,AQ200&lt;AS200,AS200&lt;AU200,OR(AU200&lt;AW200,AW200="-"),OR(AW200&lt;AY200,AW200="-"))</f>
        <v>1</v>
      </c>
      <c r="BC200" s="109">
        <f t="shared" ref="BC200" si="1092">_xlfn.AGGREGATE(9,6,CH200:CS200)-_xlfn.AGGREGATE(9,6,BV200:CG200)+12</f>
        <v>249</v>
      </c>
      <c r="BD200" s="13" t="s">
        <v>23</v>
      </c>
      <c r="BE200" s="9" t="s">
        <v>1375</v>
      </c>
      <c r="BF200" s="120">
        <v>3.2</v>
      </c>
      <c r="BG200" s="51" t="s">
        <v>1</v>
      </c>
      <c r="BH200" s="51" t="s">
        <v>1</v>
      </c>
      <c r="BJ200" s="111" t="s">
        <v>1288</v>
      </c>
      <c r="BK200" s="112" t="s">
        <v>1288</v>
      </c>
      <c r="BL200" s="112" t="s">
        <v>1288</v>
      </c>
      <c r="BM200" s="112" t="s">
        <v>1288</v>
      </c>
      <c r="BN200" s="112" t="s">
        <v>1288</v>
      </c>
      <c r="BO200" s="112" t="s">
        <v>1288</v>
      </c>
      <c r="BP200" s="112" t="s">
        <v>1288</v>
      </c>
      <c r="BQ200" s="112" t="s">
        <v>1288</v>
      </c>
      <c r="BR200" s="112" t="s">
        <v>1288</v>
      </c>
      <c r="BS200" s="112" t="s">
        <v>1288</v>
      </c>
      <c r="BT200" s="112" t="s">
        <v>1288</v>
      </c>
      <c r="BU200" s="112" t="s">
        <v>1288</v>
      </c>
      <c r="BV200" s="111">
        <f t="shared" ref="BV200" si="1093">E200</f>
        <v>23</v>
      </c>
      <c r="BW200" s="113">
        <f t="shared" ref="BW200" si="1094">I200</f>
        <v>56</v>
      </c>
      <c r="BX200" s="114">
        <f t="shared" ref="BX200" si="1095">M200</f>
        <v>60</v>
      </c>
      <c r="BY200" s="113">
        <f t="shared" ref="BY200" si="1096">Q200</f>
        <v>92</v>
      </c>
      <c r="BZ200" s="114">
        <f t="shared" ref="BZ200" si="1097">U200</f>
        <v>96</v>
      </c>
      <c r="CA200" s="113" t="str">
        <f t="shared" ref="CA200" si="1098">Y200</f>
        <v>-</v>
      </c>
      <c r="CB200" s="114">
        <f t="shared" ref="CB200" si="1099">AC200</f>
        <v>143</v>
      </c>
      <c r="CC200" s="113">
        <f t="shared" ref="CC200" si="1100">AG200</f>
        <v>177</v>
      </c>
      <c r="CD200" s="114">
        <f t="shared" ref="CD200" si="1101">AK200</f>
        <v>184</v>
      </c>
      <c r="CE200" s="113">
        <f t="shared" ref="CE200" si="1102">AO200</f>
        <v>235</v>
      </c>
      <c r="CF200" s="114">
        <f t="shared" ref="CF200" si="1103">AS200</f>
        <v>273</v>
      </c>
      <c r="CG200" s="113">
        <f t="shared" ref="CG200" si="1104">AW200</f>
        <v>299</v>
      </c>
      <c r="CH200" s="111">
        <f t="shared" ref="CH200" si="1105">G200</f>
        <v>55</v>
      </c>
      <c r="CI200" s="113">
        <f t="shared" ref="CI200" si="1106">K200</f>
        <v>59</v>
      </c>
      <c r="CJ200" s="114">
        <f t="shared" ref="CJ200" si="1107">O200</f>
        <v>91</v>
      </c>
      <c r="CK200" s="114">
        <f t="shared" ref="CK200" si="1108">S200</f>
        <v>95</v>
      </c>
      <c r="CL200" s="114">
        <f t="shared" ref="CL200" si="1109">W200</f>
        <v>135</v>
      </c>
      <c r="CM200" s="114" t="str">
        <f t="shared" ref="CM200" si="1110">AA200</f>
        <v>-</v>
      </c>
      <c r="CN200" s="114">
        <f t="shared" ref="CN200" si="1111">AE200</f>
        <v>166</v>
      </c>
      <c r="CO200" s="114">
        <f t="shared" ref="CO200" si="1112">AI200</f>
        <v>179</v>
      </c>
      <c r="CP200" s="114">
        <f t="shared" ref="CP200" si="1113">AM200</f>
        <v>218</v>
      </c>
      <c r="CQ200" s="114">
        <f t="shared" ref="CQ200" si="1114">AQ200</f>
        <v>264</v>
      </c>
      <c r="CR200" s="114">
        <f t="shared" ref="CR200" si="1115">AU200</f>
        <v>298</v>
      </c>
      <c r="CS200" s="114">
        <f t="shared" ref="CS200" si="1116">AY200</f>
        <v>315</v>
      </c>
      <c r="CT200" s="109">
        <f t="shared" ref="CT200" si="1117">M200-K200</f>
        <v>1</v>
      </c>
    </row>
    <row r="201" spans="1:1029" s="12" customFormat="1" x14ac:dyDescent="0.2">
      <c r="A201" s="9" t="str">
        <f t="shared" ref="A201:A202" si="1118">CONCATENATE(B201,"_",C201)</f>
        <v>mtr1b_human__wt</v>
      </c>
      <c r="B201" s="9" t="s">
        <v>312</v>
      </c>
      <c r="C201" s="9" t="s">
        <v>100</v>
      </c>
      <c r="D201" s="9" t="str">
        <f>IFERROR(MID(VLOOKUP($B201,Seqs!$A:$B,2,0),E201,1),"")</f>
        <v>W</v>
      </c>
      <c r="E201" s="9">
        <v>38</v>
      </c>
      <c r="F201" s="9" t="str">
        <f>IFERROR(MID(VLOOKUP($B201,Seqs!$A:$B,2,0),G201,1),"")</f>
        <v>N</v>
      </c>
      <c r="G201" s="9">
        <v>68</v>
      </c>
      <c r="H201" s="9" t="str">
        <f>IFERROR(MID(VLOOKUP($B201,Seqs!$A:$B,2,0),I201,1),"")</f>
        <v>R</v>
      </c>
      <c r="I201" s="109">
        <v>69</v>
      </c>
      <c r="J201" s="9" t="str">
        <f>IFERROR(MID(VLOOKUP($B201,Seqs!$A:$B,2,0),K201,1),"")</f>
        <v>R</v>
      </c>
      <c r="K201" s="109">
        <v>72</v>
      </c>
      <c r="L201" s="9" t="str">
        <f>IFERROR(MID(VLOOKUP($B201,Seqs!$A:$B,2,0),M201,1),"")</f>
        <v>N</v>
      </c>
      <c r="M201" s="9">
        <v>73</v>
      </c>
      <c r="N201" s="9" t="str">
        <f>IFERROR(MID(VLOOKUP($B201,Seqs!$A:$B,2,0),O201,1),"")</f>
        <v>D</v>
      </c>
      <c r="O201" s="9">
        <v>104</v>
      </c>
      <c r="P201" s="9" t="str">
        <f>IFERROR(MID(VLOOKUP($B201,Seqs!$A:$B,2,0),Q201,1),"")</f>
        <v>G</v>
      </c>
      <c r="Q201" s="9">
        <v>105</v>
      </c>
      <c r="R201" s="9" t="str">
        <f>IFERROR(MID(VLOOKUP($B201,Seqs!$A:$B,2,0),S201,1),"")</f>
        <v>L</v>
      </c>
      <c r="S201" s="9">
        <v>108</v>
      </c>
      <c r="T201" s="9" t="str">
        <f>IFERROR(MID(VLOOKUP($B201,Seqs!$A:$B,2,0),U201,1),"")</f>
        <v>G</v>
      </c>
      <c r="U201" s="9">
        <v>109</v>
      </c>
      <c r="V201" s="9" t="str">
        <f>IFERROR(MID(VLOOKUP($B201,Seqs!$A:$B,2,0),W201,1),"")</f>
        <v>H</v>
      </c>
      <c r="W201" s="9">
        <v>144</v>
      </c>
      <c r="X201" s="9" t="str">
        <f>IFERROR(MID(VLOOKUP($B201,Seqs!$A:$B,2,0),Y201,1),"")</f>
        <v>S</v>
      </c>
      <c r="Y201" s="9">
        <v>145</v>
      </c>
      <c r="Z201" s="9" t="str">
        <f>IFERROR(MID(VLOOKUP($B201,Seqs!$A:$B,2,0),AA201,1),"")</f>
        <v>Y</v>
      </c>
      <c r="AA201" s="9">
        <v>152</v>
      </c>
      <c r="AB201" s="9" t="str">
        <f>IFERROR(MID(VLOOKUP($B201,Seqs!$A:$B,2,0),AC201,1),"")</f>
        <v>R</v>
      </c>
      <c r="AC201" s="9">
        <v>153</v>
      </c>
      <c r="AD201" s="9" t="str">
        <f>IFERROR(MID(VLOOKUP($B201,Seqs!$A:$B,2,0),AE201,1),"")</f>
        <v>G</v>
      </c>
      <c r="AE201" s="9">
        <v>179</v>
      </c>
      <c r="AF201" s="9" t="str">
        <f>IFERROR(MID(VLOOKUP($B201,Seqs!$A:$B,2,0),AG201,1),"")</f>
        <v>C</v>
      </c>
      <c r="AG201" s="9">
        <v>190</v>
      </c>
      <c r="AH201" s="9" t="str">
        <f>IFERROR(MID(VLOOKUP($B201,Seqs!$A:$B,2,0),AI201,1),"")</f>
        <v>F</v>
      </c>
      <c r="AI201" s="9">
        <v>192</v>
      </c>
      <c r="AJ201" s="9" t="str">
        <f>IFERROR(MID(VLOOKUP($B201,Seqs!$A:$B,2,0),AK201,1),"")</f>
        <v>S</v>
      </c>
      <c r="AK201" s="9">
        <v>197</v>
      </c>
      <c r="AL201" s="9" t="str">
        <f>IFERROR(MID(VLOOKUP($B201,Seqs!$A:$B,2,0),AM201,1),"")</f>
        <v>A</v>
      </c>
      <c r="AM201" s="9">
        <v>234</v>
      </c>
      <c r="AN201" s="9" t="str">
        <f>IFERROR(MID(VLOOKUP($B201,Seqs!$A:$B,2,0),AO201,1),"")</f>
        <v>L</v>
      </c>
      <c r="AO201" s="9">
        <v>240</v>
      </c>
      <c r="AP201" s="9" t="str">
        <f>IFERROR(MID(VLOOKUP($B201,Seqs!$A:$B,2,0),AQ201,1),"")</f>
        <v>N</v>
      </c>
      <c r="AQ201" s="9">
        <v>277</v>
      </c>
      <c r="AR201" s="9" t="str">
        <f>IFERROR(MID(VLOOKUP($B201,Seqs!$A:$B,2,0),AS201,1),"")</f>
        <v>P</v>
      </c>
      <c r="AS201" s="9">
        <v>286</v>
      </c>
      <c r="AT201" s="9" t="str">
        <f>IFERROR(MID(VLOOKUP($B201,Seqs!$A:$B,2,0),AU201,1),"")</f>
        <v>L</v>
      </c>
      <c r="AU201" s="9">
        <v>311</v>
      </c>
      <c r="AV201" s="9" t="str">
        <f>IFERROR(MID(VLOOKUP($B201,Seqs!$A:$B,2,0),AW201,1),"")</f>
        <v>N</v>
      </c>
      <c r="AW201" s="9">
        <v>312</v>
      </c>
      <c r="AX201" s="9" t="str">
        <f>IFERROR(MID(VLOOKUP($B201,Seqs!$A:$B,2,0),AY201,1),"")</f>
        <v>N</v>
      </c>
      <c r="AY201" s="9">
        <v>328</v>
      </c>
      <c r="AZ201" s="110" t="str">
        <f>VLOOKUP(B201,Classification!A:D,2,0)</f>
        <v>A</v>
      </c>
      <c r="BA201" s="98" t="str">
        <f>VLOOKUP(B201,Classification!A:D,4,0)</f>
        <v>Melatonin</v>
      </c>
      <c r="BB201" s="36" t="b">
        <f t="shared" ref="BB201:BB202" si="1119">AND(E201&lt;G201,OR(G201&lt;I201,I201="-"),OR(I201&lt;K201,I201="-"),OR(K201&lt;M201,K201="-"),M201&lt;O201,OR(O201&lt;Q201,Q201="-"),OR(Q201&lt;S201,Q201="-"),OR(S201&lt;U201,S201="-"),U201&lt;W201,OR(W201&lt;Y201,Y201="-"),OR(Y201&lt;AA201,Y201="-"),OR(AA201&lt;AC201,AA201="-"),AC201&lt;AE201,OR(AE201&lt;AG201,AG201="-"),OR(AG201&lt;AI201,AG201="-"),OR(AI201&lt;AK201,AI201="-"),AK201&lt;AM201,AM201&lt;AO201,AO201&lt;AQ201,AQ201&lt;AS201,AS201&lt;AU201,OR(AU201&lt;AW201,AW201="-"),OR(AW201&lt;AY201,AW201="-"))</f>
        <v>1</v>
      </c>
      <c r="BC201" s="109">
        <f t="shared" ref="BC201:BC202" si="1120">_xlfn.AGGREGATE(9,6,CH201:CS201)-_xlfn.AGGREGATE(9,6,BV201:CG201)+12</f>
        <v>264</v>
      </c>
      <c r="BD201" s="13" t="s">
        <v>23</v>
      </c>
      <c r="BE201" s="9" t="s">
        <v>23</v>
      </c>
      <c r="BF201" s="120" t="s">
        <v>23</v>
      </c>
      <c r="BG201" s="51"/>
      <c r="BH201" s="51"/>
      <c r="BJ201" s="111" t="s">
        <v>1288</v>
      </c>
      <c r="BK201" s="112" t="s">
        <v>1288</v>
      </c>
      <c r="BL201" s="112" t="s">
        <v>1288</v>
      </c>
      <c r="BM201" s="112" t="s">
        <v>1288</v>
      </c>
      <c r="BN201" s="112" t="s">
        <v>1288</v>
      </c>
      <c r="BO201" s="112" t="s">
        <v>1288</v>
      </c>
      <c r="BP201" s="112" t="s">
        <v>1288</v>
      </c>
      <c r="BQ201" s="112" t="s">
        <v>1288</v>
      </c>
      <c r="BR201" s="112" t="s">
        <v>1288</v>
      </c>
      <c r="BS201" s="112" t="s">
        <v>1288</v>
      </c>
      <c r="BT201" s="112" t="s">
        <v>1288</v>
      </c>
      <c r="BU201" s="112" t="s">
        <v>1288</v>
      </c>
      <c r="BV201" s="111">
        <f t="shared" ref="BV201:BV202" si="1121">E201</f>
        <v>38</v>
      </c>
      <c r="BW201" s="113">
        <f t="shared" ref="BW201:BW202" si="1122">I201</f>
        <v>69</v>
      </c>
      <c r="BX201" s="114">
        <f t="shared" ref="BX201:BX202" si="1123">M201</f>
        <v>73</v>
      </c>
      <c r="BY201" s="113">
        <f t="shared" ref="BY201:BY202" si="1124">Q201</f>
        <v>105</v>
      </c>
      <c r="BZ201" s="114">
        <f t="shared" ref="BZ201:BZ202" si="1125">U201</f>
        <v>109</v>
      </c>
      <c r="CA201" s="113">
        <f t="shared" ref="CA201:CA202" si="1126">Y201</f>
        <v>145</v>
      </c>
      <c r="CB201" s="114">
        <f t="shared" ref="CB201:CB202" si="1127">AC201</f>
        <v>153</v>
      </c>
      <c r="CC201" s="113">
        <f t="shared" ref="CC201:CC202" si="1128">AG201</f>
        <v>190</v>
      </c>
      <c r="CD201" s="114">
        <f t="shared" ref="CD201:CD202" si="1129">AK201</f>
        <v>197</v>
      </c>
      <c r="CE201" s="113">
        <f t="shared" ref="CE201:CE202" si="1130">AO201</f>
        <v>240</v>
      </c>
      <c r="CF201" s="114">
        <f t="shared" ref="CF201:CF202" si="1131">AS201</f>
        <v>286</v>
      </c>
      <c r="CG201" s="113">
        <f t="shared" ref="CG201:CG202" si="1132">AW201</f>
        <v>312</v>
      </c>
      <c r="CH201" s="111">
        <f t="shared" ref="CH201:CH202" si="1133">G201</f>
        <v>68</v>
      </c>
      <c r="CI201" s="113">
        <f t="shared" ref="CI201:CI202" si="1134">K201</f>
        <v>72</v>
      </c>
      <c r="CJ201" s="114">
        <f t="shared" ref="CJ201:CJ202" si="1135">O201</f>
        <v>104</v>
      </c>
      <c r="CK201" s="114">
        <f t="shared" ref="CK201:CK202" si="1136">S201</f>
        <v>108</v>
      </c>
      <c r="CL201" s="114">
        <f t="shared" ref="CL201:CL202" si="1137">W201</f>
        <v>144</v>
      </c>
      <c r="CM201" s="114">
        <f t="shared" ref="CM201:CM202" si="1138">AA201</f>
        <v>152</v>
      </c>
      <c r="CN201" s="114">
        <f t="shared" ref="CN201:CN202" si="1139">AE201</f>
        <v>179</v>
      </c>
      <c r="CO201" s="114">
        <f t="shared" ref="CO201:CO202" si="1140">AI201</f>
        <v>192</v>
      </c>
      <c r="CP201" s="114">
        <f t="shared" ref="CP201:CP202" si="1141">AM201</f>
        <v>234</v>
      </c>
      <c r="CQ201" s="114">
        <f t="shared" ref="CQ201:CQ202" si="1142">AQ201</f>
        <v>277</v>
      </c>
      <c r="CR201" s="114">
        <f t="shared" ref="CR201:CR202" si="1143">AU201</f>
        <v>311</v>
      </c>
      <c r="CS201" s="114">
        <f t="shared" ref="CS201:CS202" si="1144">AY201</f>
        <v>328</v>
      </c>
      <c r="CT201" s="109">
        <f t="shared" ref="CT201:CT202" si="1145">M201-K201</f>
        <v>1</v>
      </c>
    </row>
    <row r="202" spans="1:1029" s="12" customFormat="1" x14ac:dyDescent="0.2">
      <c r="A202" s="9" t="str">
        <f t="shared" si="1118"/>
        <v>mtr1b_human_6ME6</v>
      </c>
      <c r="B202" s="9" t="s">
        <v>312</v>
      </c>
      <c r="C202" s="9" t="s">
        <v>1569</v>
      </c>
      <c r="D202" s="9" t="str">
        <f>IFERROR(MID(VLOOKUP($B202,Seqs!$A:$B,2,0),E202,1),"")</f>
        <v>W</v>
      </c>
      <c r="E202" s="9">
        <v>38</v>
      </c>
      <c r="F202" s="9" t="str">
        <f>IFERROR(MID(VLOOKUP($B202,Seqs!$A:$B,2,0),G202,1),"")</f>
        <v>R</v>
      </c>
      <c r="G202" s="9">
        <v>67</v>
      </c>
      <c r="H202" s="9" t="str">
        <f>IFERROR(MID(VLOOKUP($B202,Seqs!$A:$B,2,0),I202,1),"")</f>
        <v>R</v>
      </c>
      <c r="I202" s="109">
        <v>69</v>
      </c>
      <c r="J202" s="9" t="str">
        <f>IFERROR(MID(VLOOKUP($B202,Seqs!$A:$B,2,0),K202,1),"")</f>
        <v>R</v>
      </c>
      <c r="K202" s="109">
        <v>72</v>
      </c>
      <c r="L202" s="9" t="str">
        <f>IFERROR(MID(VLOOKUP($B202,Seqs!$A:$B,2,0),M202,1),"")</f>
        <v>N</v>
      </c>
      <c r="M202" s="9">
        <v>73</v>
      </c>
      <c r="N202" s="9" t="str">
        <f>IFERROR(MID(VLOOKUP($B202,Seqs!$A:$B,2,0),O202,1),"")</f>
        <v>D</v>
      </c>
      <c r="O202" s="9">
        <v>104</v>
      </c>
      <c r="P202" s="9" t="str">
        <f>IFERROR(MID(VLOOKUP($B202,Seqs!$A:$B,2,0),Q202,1),"")</f>
        <v>G</v>
      </c>
      <c r="Q202" s="9">
        <v>105</v>
      </c>
      <c r="R202" s="9" t="str">
        <f>IFERROR(MID(VLOOKUP($B202,Seqs!$A:$B,2,0),S202,1),"")</f>
        <v>L</v>
      </c>
      <c r="S202" s="9">
        <v>108</v>
      </c>
      <c r="T202" s="9" t="str">
        <f>IFERROR(MID(VLOOKUP($B202,Seqs!$A:$B,2,0),U202,1),"")</f>
        <v>E</v>
      </c>
      <c r="U202" s="9">
        <v>110</v>
      </c>
      <c r="V202" s="9" t="str">
        <f>IFERROR(MID(VLOOKUP($B202,Seqs!$A:$B,2,0),W202,1),"")</f>
        <v>H</v>
      </c>
      <c r="W202" s="9">
        <v>144</v>
      </c>
      <c r="X202" s="9" t="str">
        <f>IFERROR(MID(VLOOKUP($B202,Seqs!$A:$B,2,0),Y202,1),"")</f>
        <v>S</v>
      </c>
      <c r="Y202" s="9">
        <v>145</v>
      </c>
      <c r="Z202" s="9" t="str">
        <f>IFERROR(MID(VLOOKUP($B202,Seqs!$A:$B,2,0),AA202,1),"")</f>
        <v>Y</v>
      </c>
      <c r="AA202" s="9">
        <v>152</v>
      </c>
      <c r="AB202" s="9" t="str">
        <f>IFERROR(MID(VLOOKUP($B202,Seqs!$A:$B,2,0),AC202,1),"")</f>
        <v>R</v>
      </c>
      <c r="AC202" s="9">
        <v>153</v>
      </c>
      <c r="AD202" s="9" t="str">
        <f>IFERROR(MID(VLOOKUP($B202,Seqs!$A:$B,2,0),AE202,1),"")</f>
        <v>V</v>
      </c>
      <c r="AE202" s="9">
        <v>178</v>
      </c>
      <c r="AF202" s="9" t="str">
        <f>IFERROR(MID(VLOOKUP($B202,Seqs!$A:$B,2,0),AG202,1),"")</f>
        <v>C</v>
      </c>
      <c r="AG202" s="9">
        <v>190</v>
      </c>
      <c r="AH202" s="9" t="str">
        <f>IFERROR(MID(VLOOKUP($B202,Seqs!$A:$B,2,0),AI202,1),"")</f>
        <v>F</v>
      </c>
      <c r="AI202" s="9">
        <v>192</v>
      </c>
      <c r="AJ202" s="9" t="str">
        <f>IFERROR(MID(VLOOKUP($B202,Seqs!$A:$B,2,0),AK202,1),"")</f>
        <v>S</v>
      </c>
      <c r="AK202" s="9">
        <v>197</v>
      </c>
      <c r="AL202" s="9" t="str">
        <f>IFERROR(MID(VLOOKUP($B202,Seqs!$A:$B,2,0),AM202,1),"")</f>
        <v>R</v>
      </c>
      <c r="AM202" s="9">
        <v>231</v>
      </c>
      <c r="AN202" s="9" t="str">
        <f>IFERROR(MID(VLOOKUP($B202,Seqs!$A:$B,2,0),AO202,1),"")</f>
        <v>F</v>
      </c>
      <c r="AO202" s="9">
        <v>250</v>
      </c>
      <c r="AP202" s="9" t="str">
        <f>IFERROR(MID(VLOOKUP($B202,Seqs!$A:$B,2,0),AQ202,1),"")</f>
        <v>N</v>
      </c>
      <c r="AQ202" s="9">
        <v>277</v>
      </c>
      <c r="AR202" s="9" t="str">
        <f>IFERROR(MID(VLOOKUP($B202,Seqs!$A:$B,2,0),AS202,1),"")</f>
        <v>P</v>
      </c>
      <c r="AS202" s="9">
        <v>286</v>
      </c>
      <c r="AT202" s="9" t="str">
        <f>IFERROR(MID(VLOOKUP($B202,Seqs!$A:$B,2,0),AU202,1),"")</f>
        <v>L</v>
      </c>
      <c r="AU202" s="9">
        <v>311</v>
      </c>
      <c r="AV202" s="9" t="str">
        <f>IFERROR(MID(VLOOKUP($B202,Seqs!$A:$B,2,0),AW202,1),"")</f>
        <v>N</v>
      </c>
      <c r="AW202" s="9">
        <v>312</v>
      </c>
      <c r="AX202" s="9" t="str">
        <f>IFERROR(MID(VLOOKUP($B202,Seqs!$A:$B,2,0),AY202,1),"")</f>
        <v>N</v>
      </c>
      <c r="AY202" s="9">
        <v>328</v>
      </c>
      <c r="AZ202" s="110" t="str">
        <f>VLOOKUP(B202,Classification!A:D,2,0)</f>
        <v>A</v>
      </c>
      <c r="BA202" s="98" t="str">
        <f>VLOOKUP(B202,Classification!A:D,4,0)</f>
        <v>Melatonin</v>
      </c>
      <c r="BB202" s="36" t="b">
        <f t="shared" si="1119"/>
        <v>1</v>
      </c>
      <c r="BC202" s="109">
        <f t="shared" si="1120"/>
        <v>248</v>
      </c>
      <c r="BD202" s="13" t="s">
        <v>23</v>
      </c>
      <c r="BE202" s="9" t="s">
        <v>1375</v>
      </c>
      <c r="BF202" s="120">
        <v>2.8</v>
      </c>
      <c r="BG202" s="51" t="s">
        <v>1282</v>
      </c>
      <c r="BH202" s="51" t="s">
        <v>1282</v>
      </c>
      <c r="BJ202" s="111" t="s">
        <v>1288</v>
      </c>
      <c r="BK202" s="112" t="s">
        <v>1288</v>
      </c>
      <c r="BL202" s="112" t="s">
        <v>1288</v>
      </c>
      <c r="BM202" s="112" t="s">
        <v>1288</v>
      </c>
      <c r="BN202" s="112" t="s">
        <v>1288</v>
      </c>
      <c r="BO202" s="112" t="s">
        <v>1288</v>
      </c>
      <c r="BP202" s="112" t="s">
        <v>1288</v>
      </c>
      <c r="BQ202" s="112" t="s">
        <v>1288</v>
      </c>
      <c r="BR202" s="112" t="s">
        <v>1288</v>
      </c>
      <c r="BS202" s="112" t="s">
        <v>1288</v>
      </c>
      <c r="BT202" s="112" t="s">
        <v>1288</v>
      </c>
      <c r="BU202" s="112" t="s">
        <v>1288</v>
      </c>
      <c r="BV202" s="111">
        <f t="shared" si="1121"/>
        <v>38</v>
      </c>
      <c r="BW202" s="113">
        <f t="shared" si="1122"/>
        <v>69</v>
      </c>
      <c r="BX202" s="114">
        <f t="shared" si="1123"/>
        <v>73</v>
      </c>
      <c r="BY202" s="113">
        <f t="shared" si="1124"/>
        <v>105</v>
      </c>
      <c r="BZ202" s="114">
        <f t="shared" si="1125"/>
        <v>110</v>
      </c>
      <c r="CA202" s="113">
        <f t="shared" si="1126"/>
        <v>145</v>
      </c>
      <c r="CB202" s="114">
        <f t="shared" si="1127"/>
        <v>153</v>
      </c>
      <c r="CC202" s="113">
        <f t="shared" si="1128"/>
        <v>190</v>
      </c>
      <c r="CD202" s="114">
        <f t="shared" si="1129"/>
        <v>197</v>
      </c>
      <c r="CE202" s="113">
        <f t="shared" si="1130"/>
        <v>250</v>
      </c>
      <c r="CF202" s="114">
        <f t="shared" si="1131"/>
        <v>286</v>
      </c>
      <c r="CG202" s="113">
        <f t="shared" si="1132"/>
        <v>312</v>
      </c>
      <c r="CH202" s="111">
        <f t="shared" si="1133"/>
        <v>67</v>
      </c>
      <c r="CI202" s="113">
        <f t="shared" si="1134"/>
        <v>72</v>
      </c>
      <c r="CJ202" s="114">
        <f t="shared" si="1135"/>
        <v>104</v>
      </c>
      <c r="CK202" s="114">
        <f t="shared" si="1136"/>
        <v>108</v>
      </c>
      <c r="CL202" s="114">
        <f t="shared" si="1137"/>
        <v>144</v>
      </c>
      <c r="CM202" s="114">
        <f t="shared" si="1138"/>
        <v>152</v>
      </c>
      <c r="CN202" s="114">
        <f t="shared" si="1139"/>
        <v>178</v>
      </c>
      <c r="CO202" s="114">
        <f t="shared" si="1140"/>
        <v>192</v>
      </c>
      <c r="CP202" s="114">
        <f t="shared" si="1141"/>
        <v>231</v>
      </c>
      <c r="CQ202" s="114">
        <f t="shared" si="1142"/>
        <v>277</v>
      </c>
      <c r="CR202" s="114">
        <f t="shared" si="1143"/>
        <v>311</v>
      </c>
      <c r="CS202" s="114">
        <f t="shared" si="1144"/>
        <v>328</v>
      </c>
      <c r="CT202" s="109">
        <f t="shared" si="1145"/>
        <v>1</v>
      </c>
    </row>
    <row r="203" spans="1:1029" s="12" customFormat="1" x14ac:dyDescent="0.2">
      <c r="A203" s="9" t="str">
        <f t="shared" ref="A203" si="1146">CONCATENATE(B203,"_",C203)</f>
        <v>mtr1b_human_6ME7</v>
      </c>
      <c r="B203" s="9" t="s">
        <v>312</v>
      </c>
      <c r="C203" s="9" t="s">
        <v>1570</v>
      </c>
      <c r="D203" s="9" t="str">
        <f>IFERROR(MID(VLOOKUP($B203,Seqs!$A:$B,2,0),E203,1),"")</f>
        <v>W</v>
      </c>
      <c r="E203" s="9">
        <v>38</v>
      </c>
      <c r="F203" s="9" t="str">
        <f>IFERROR(MID(VLOOKUP($B203,Seqs!$A:$B,2,0),G203,1),"")</f>
        <v>N</v>
      </c>
      <c r="G203" s="9">
        <v>68</v>
      </c>
      <c r="H203" s="9" t="str">
        <f>IFERROR(MID(VLOOKUP($B203,Seqs!$A:$B,2,0),I203,1),"")</f>
        <v>R</v>
      </c>
      <c r="I203" s="109">
        <v>69</v>
      </c>
      <c r="J203" s="9" t="str">
        <f>IFERROR(MID(VLOOKUP($B203,Seqs!$A:$B,2,0),K203,1),"")</f>
        <v>R</v>
      </c>
      <c r="K203" s="109">
        <v>72</v>
      </c>
      <c r="L203" s="9" t="str">
        <f>IFERROR(MID(VLOOKUP($B203,Seqs!$A:$B,2,0),M203,1),"")</f>
        <v>G</v>
      </c>
      <c r="M203" s="9">
        <v>75</v>
      </c>
      <c r="N203" s="9" t="str">
        <f>IFERROR(MID(VLOOKUP($B203,Seqs!$A:$B,2,0),O203,1),"")</f>
        <v>D</v>
      </c>
      <c r="O203" s="9">
        <v>104</v>
      </c>
      <c r="P203" s="9" t="str">
        <f>IFERROR(MID(VLOOKUP($B203,Seqs!$A:$B,2,0),Q203,1),"")</f>
        <v>G</v>
      </c>
      <c r="Q203" s="9">
        <v>105</v>
      </c>
      <c r="R203" s="9" t="str">
        <f>IFERROR(MID(VLOOKUP($B203,Seqs!$A:$B,2,0),S203,1),"")</f>
        <v>L</v>
      </c>
      <c r="S203" s="9">
        <v>108</v>
      </c>
      <c r="T203" s="9" t="str">
        <f>IFERROR(MID(VLOOKUP($B203,Seqs!$A:$B,2,0),U203,1),"")</f>
        <v>G</v>
      </c>
      <c r="U203" s="9">
        <v>109</v>
      </c>
      <c r="V203" s="9" t="str">
        <f>IFERROR(MID(VLOOKUP($B203,Seqs!$A:$B,2,0),W203,1),"")</f>
        <v>H</v>
      </c>
      <c r="W203" s="9">
        <v>144</v>
      </c>
      <c r="X203" s="9" t="str">
        <f>IFERROR(MID(VLOOKUP($B203,Seqs!$A:$B,2,0),Y203,1),"")</f>
        <v>S</v>
      </c>
      <c r="Y203" s="9">
        <v>145</v>
      </c>
      <c r="Z203" s="9" t="str">
        <f>IFERROR(MID(VLOOKUP($B203,Seqs!$A:$B,2,0),AA203,1),"")</f>
        <v>Y</v>
      </c>
      <c r="AA203" s="9">
        <v>152</v>
      </c>
      <c r="AB203" s="9" t="str">
        <f>IFERROR(MID(VLOOKUP($B203,Seqs!$A:$B,2,0),AC203,1),"")</f>
        <v>R</v>
      </c>
      <c r="AC203" s="9">
        <v>153</v>
      </c>
      <c r="AD203" s="9" t="str">
        <f>IFERROR(MID(VLOOKUP($B203,Seqs!$A:$B,2,0),AE203,1),"")</f>
        <v>G</v>
      </c>
      <c r="AE203" s="9">
        <v>179</v>
      </c>
      <c r="AF203" s="9" t="str">
        <f>IFERROR(MID(VLOOKUP($B203,Seqs!$A:$B,2,0),AG203,1),"")</f>
        <v>C</v>
      </c>
      <c r="AG203" s="9">
        <v>190</v>
      </c>
      <c r="AH203" s="9" t="str">
        <f>IFERROR(MID(VLOOKUP($B203,Seqs!$A:$B,2,0),AI203,1),"")</f>
        <v>F</v>
      </c>
      <c r="AI203" s="9">
        <v>192</v>
      </c>
      <c r="AJ203" s="9" t="str">
        <f>IFERROR(MID(VLOOKUP($B203,Seqs!$A:$B,2,0),AK203,1),"")</f>
        <v>S</v>
      </c>
      <c r="AK203" s="9">
        <v>197</v>
      </c>
      <c r="AL203" s="9" t="str">
        <f>IFERROR(MID(VLOOKUP($B203,Seqs!$A:$B,2,0),AM203,1),"")</f>
        <v>A</v>
      </c>
      <c r="AM203" s="9">
        <v>230</v>
      </c>
      <c r="AN203" s="9" t="str">
        <f>IFERROR(MID(VLOOKUP($B203,Seqs!$A:$B,2,0),AO203,1),"")</f>
        <v>S</v>
      </c>
      <c r="AO203" s="9">
        <v>249</v>
      </c>
      <c r="AP203" s="9" t="str">
        <f>IFERROR(MID(VLOOKUP($B203,Seqs!$A:$B,2,0),AQ203,1),"")</f>
        <v>N</v>
      </c>
      <c r="AQ203" s="9">
        <v>277</v>
      </c>
      <c r="AR203" s="9" t="str">
        <f>IFERROR(MID(VLOOKUP($B203,Seqs!$A:$B,2,0),AS203,1),"")</f>
        <v>P</v>
      </c>
      <c r="AS203" s="9">
        <v>286</v>
      </c>
      <c r="AT203" s="9" t="str">
        <f>IFERROR(MID(VLOOKUP($B203,Seqs!$A:$B,2,0),AU203,1),"")</f>
        <v>L</v>
      </c>
      <c r="AU203" s="9">
        <v>311</v>
      </c>
      <c r="AV203" s="9" t="str">
        <f>IFERROR(MID(VLOOKUP($B203,Seqs!$A:$B,2,0),AW203,1),"")</f>
        <v>N</v>
      </c>
      <c r="AW203" s="9">
        <v>312</v>
      </c>
      <c r="AX203" s="9" t="str">
        <f>IFERROR(MID(VLOOKUP($B203,Seqs!$A:$B,2,0),AY203,1),"")</f>
        <v>N</v>
      </c>
      <c r="AY203" s="9">
        <v>328</v>
      </c>
      <c r="AZ203" s="110" t="str">
        <f>VLOOKUP(B203,Classification!A:D,2,0)</f>
        <v>A</v>
      </c>
      <c r="BA203" s="98" t="str">
        <f>VLOOKUP(B203,Classification!A:D,4,0)</f>
        <v>Melatonin</v>
      </c>
      <c r="BB203" s="36" t="b">
        <f t="shared" ref="BB203" si="1147">AND(E203&lt;G203,OR(G203&lt;I203,I203="-"),OR(I203&lt;K203,I203="-"),OR(K203&lt;M203,K203="-"),M203&lt;O203,OR(O203&lt;Q203,Q203="-"),OR(Q203&lt;S203,Q203="-"),OR(S203&lt;U203,S203="-"),U203&lt;W203,OR(W203&lt;Y203,Y203="-"),OR(Y203&lt;AA203,Y203="-"),OR(AA203&lt;AC203,AA203="-"),AC203&lt;AE203,OR(AE203&lt;AG203,AG203="-"),OR(AG203&lt;AI203,AG203="-"),OR(AI203&lt;AK203,AI203="-"),AK203&lt;AM203,AM203&lt;AO203,AO203&lt;AQ203,AQ203&lt;AS203,AS203&lt;AU203,OR(AU203&lt;AW203,AW203="-"),OR(AW203&lt;AY203,AW203="-"))</f>
        <v>1</v>
      </c>
      <c r="BC203" s="109">
        <f t="shared" ref="BC203" si="1148">_xlfn.AGGREGATE(9,6,CH203:CS203)-_xlfn.AGGREGATE(9,6,BV203:CG203)+12</f>
        <v>249</v>
      </c>
      <c r="BD203" s="13" t="s">
        <v>1377</v>
      </c>
      <c r="BE203" s="9" t="s">
        <v>1375</v>
      </c>
      <c r="BF203" s="120">
        <v>3.2</v>
      </c>
      <c r="BG203" s="51" t="s">
        <v>1</v>
      </c>
      <c r="BH203" s="51" t="s">
        <v>1</v>
      </c>
      <c r="BJ203" s="111" t="s">
        <v>1288</v>
      </c>
      <c r="BK203" s="112" t="s">
        <v>1288</v>
      </c>
      <c r="BL203" s="112" t="s">
        <v>1288</v>
      </c>
      <c r="BM203" s="112" t="s">
        <v>1288</v>
      </c>
      <c r="BN203" s="112" t="s">
        <v>1288</v>
      </c>
      <c r="BO203" s="112" t="s">
        <v>1288</v>
      </c>
      <c r="BP203" s="112" t="s">
        <v>1288</v>
      </c>
      <c r="BQ203" s="112" t="s">
        <v>1288</v>
      </c>
      <c r="BR203" s="112" t="s">
        <v>1288</v>
      </c>
      <c r="BS203" s="112" t="s">
        <v>1288</v>
      </c>
      <c r="BT203" s="112" t="s">
        <v>1288</v>
      </c>
      <c r="BU203" s="112" t="s">
        <v>1288</v>
      </c>
      <c r="BV203" s="111">
        <f t="shared" ref="BV203" si="1149">E203</f>
        <v>38</v>
      </c>
      <c r="BW203" s="113">
        <f t="shared" ref="BW203" si="1150">I203</f>
        <v>69</v>
      </c>
      <c r="BX203" s="114">
        <f t="shared" ref="BX203" si="1151">M203</f>
        <v>75</v>
      </c>
      <c r="BY203" s="113">
        <f t="shared" ref="BY203" si="1152">Q203</f>
        <v>105</v>
      </c>
      <c r="BZ203" s="114">
        <f t="shared" ref="BZ203" si="1153">U203</f>
        <v>109</v>
      </c>
      <c r="CA203" s="113">
        <f t="shared" ref="CA203" si="1154">Y203</f>
        <v>145</v>
      </c>
      <c r="CB203" s="114">
        <f t="shared" ref="CB203" si="1155">AC203</f>
        <v>153</v>
      </c>
      <c r="CC203" s="113">
        <f t="shared" ref="CC203" si="1156">AG203</f>
        <v>190</v>
      </c>
      <c r="CD203" s="114">
        <f t="shared" ref="CD203" si="1157">AK203</f>
        <v>197</v>
      </c>
      <c r="CE203" s="113">
        <f t="shared" ref="CE203" si="1158">AO203</f>
        <v>249</v>
      </c>
      <c r="CF203" s="114">
        <f t="shared" ref="CF203" si="1159">AS203</f>
        <v>286</v>
      </c>
      <c r="CG203" s="113">
        <f t="shared" ref="CG203" si="1160">AW203</f>
        <v>312</v>
      </c>
      <c r="CH203" s="111">
        <f t="shared" ref="CH203" si="1161">G203</f>
        <v>68</v>
      </c>
      <c r="CI203" s="113">
        <f t="shared" ref="CI203" si="1162">K203</f>
        <v>72</v>
      </c>
      <c r="CJ203" s="114">
        <f t="shared" ref="CJ203" si="1163">O203</f>
        <v>104</v>
      </c>
      <c r="CK203" s="114">
        <f t="shared" ref="CK203" si="1164">S203</f>
        <v>108</v>
      </c>
      <c r="CL203" s="114">
        <f t="shared" ref="CL203" si="1165">W203</f>
        <v>144</v>
      </c>
      <c r="CM203" s="114">
        <f t="shared" ref="CM203" si="1166">AA203</f>
        <v>152</v>
      </c>
      <c r="CN203" s="114">
        <f t="shared" ref="CN203" si="1167">AE203</f>
        <v>179</v>
      </c>
      <c r="CO203" s="114">
        <f t="shared" ref="CO203" si="1168">AI203</f>
        <v>192</v>
      </c>
      <c r="CP203" s="114">
        <f t="shared" ref="CP203" si="1169">AM203</f>
        <v>230</v>
      </c>
      <c r="CQ203" s="114">
        <f t="shared" ref="CQ203" si="1170">AQ203</f>
        <v>277</v>
      </c>
      <c r="CR203" s="114">
        <f t="shared" ref="CR203" si="1171">AU203</f>
        <v>311</v>
      </c>
      <c r="CS203" s="114">
        <f t="shared" ref="CS203" si="1172">AY203</f>
        <v>328</v>
      </c>
      <c r="CT203" s="109">
        <f t="shared" ref="CT203" si="1173">M203-K203</f>
        <v>3</v>
      </c>
    </row>
    <row r="204" spans="1:1029" s="12" customFormat="1" x14ac:dyDescent="0.2">
      <c r="A204" s="9" t="str">
        <f t="shared" ref="A204" si="1174">CONCATENATE(B204,"_",C204)</f>
        <v>mtr1b_human_6ME8</v>
      </c>
      <c r="B204" s="9" t="s">
        <v>312</v>
      </c>
      <c r="C204" s="9" t="s">
        <v>1571</v>
      </c>
      <c r="D204" s="9" t="str">
        <f>IFERROR(MID(VLOOKUP($B204,Seqs!$A:$B,2,0),E204,1),"")</f>
        <v>W</v>
      </c>
      <c r="E204" s="9">
        <v>38</v>
      </c>
      <c r="F204" s="9" t="str">
        <f>IFERROR(MID(VLOOKUP($B204,Seqs!$A:$B,2,0),G204,1),"")</f>
        <v>R</v>
      </c>
      <c r="G204" s="9">
        <v>67</v>
      </c>
      <c r="H204" s="9" t="str">
        <f>IFERROR(MID(VLOOKUP($B204,Seqs!$A:$B,2,0),I204,1),"")</f>
        <v>R</v>
      </c>
      <c r="I204" s="109">
        <v>69</v>
      </c>
      <c r="J204" s="9" t="str">
        <f>IFERROR(MID(VLOOKUP($B204,Seqs!$A:$B,2,0),K204,1),"")</f>
        <v>R</v>
      </c>
      <c r="K204" s="109">
        <v>72</v>
      </c>
      <c r="L204" s="9" t="str">
        <f>IFERROR(MID(VLOOKUP($B204,Seqs!$A:$B,2,0),M204,1),"")</f>
        <v>N</v>
      </c>
      <c r="M204" s="9">
        <v>73</v>
      </c>
      <c r="N204" s="9" t="str">
        <f>IFERROR(MID(VLOOKUP($B204,Seqs!$A:$B,2,0),O204,1),"")</f>
        <v>D</v>
      </c>
      <c r="O204" s="9">
        <v>104</v>
      </c>
      <c r="P204" s="9" t="str">
        <f>IFERROR(MID(VLOOKUP($B204,Seqs!$A:$B,2,0),Q204,1),"")</f>
        <v>G</v>
      </c>
      <c r="Q204" s="9">
        <v>105</v>
      </c>
      <c r="R204" s="9" t="str">
        <f>IFERROR(MID(VLOOKUP($B204,Seqs!$A:$B,2,0),S204,1),"")</f>
        <v>L</v>
      </c>
      <c r="S204" s="9">
        <v>108</v>
      </c>
      <c r="T204" s="9" t="str">
        <f>IFERROR(MID(VLOOKUP($B204,Seqs!$A:$B,2,0),U204,1),"")</f>
        <v>G</v>
      </c>
      <c r="U204" s="9">
        <v>109</v>
      </c>
      <c r="V204" s="9" t="str">
        <f>IFERROR(MID(VLOOKUP($B204,Seqs!$A:$B,2,0),W204,1),"")</f>
        <v>C</v>
      </c>
      <c r="W204" s="9">
        <v>143</v>
      </c>
      <c r="X204" s="9" t="str">
        <f>IFERROR(MID(VLOOKUP($B204,Seqs!$A:$B,2,0),Y204,1),"")</f>
        <v>S</v>
      </c>
      <c r="Y204" s="9">
        <v>145</v>
      </c>
      <c r="Z204" s="9" t="str">
        <f>IFERROR(MID(VLOOKUP($B204,Seqs!$A:$B,2,0),AA204,1),"")</f>
        <v>Y</v>
      </c>
      <c r="AA204" s="9">
        <v>152</v>
      </c>
      <c r="AB204" s="9" t="str">
        <f>IFERROR(MID(VLOOKUP($B204,Seqs!$A:$B,2,0),AC204,1),"")</f>
        <v>H</v>
      </c>
      <c r="AC204" s="9">
        <v>156</v>
      </c>
      <c r="AD204" s="9" t="str">
        <f>IFERROR(MID(VLOOKUP($B204,Seqs!$A:$B,2,0),AE204,1),"")</f>
        <v>G</v>
      </c>
      <c r="AE204" s="9">
        <v>179</v>
      </c>
      <c r="AF204" s="9" t="str">
        <f>IFERROR(MID(VLOOKUP($B204,Seqs!$A:$B,2,0),AG204,1),"")</f>
        <v>C</v>
      </c>
      <c r="AG204" s="9">
        <v>190</v>
      </c>
      <c r="AH204" s="9" t="str">
        <f>IFERROR(MID(VLOOKUP($B204,Seqs!$A:$B,2,0),AI204,1),"")</f>
        <v>F</v>
      </c>
      <c r="AI204" s="9">
        <v>192</v>
      </c>
      <c r="AJ204" s="9" t="str">
        <f>IFERROR(MID(VLOOKUP($B204,Seqs!$A:$B,2,0),AK204,1),"")</f>
        <v>S</v>
      </c>
      <c r="AK204" s="9">
        <v>197</v>
      </c>
      <c r="AL204" s="9" t="str">
        <f>IFERROR(MID(VLOOKUP($B204,Seqs!$A:$B,2,0),AM204,1),"")</f>
        <v>A</v>
      </c>
      <c r="AM204" s="9">
        <v>230</v>
      </c>
      <c r="AN204" s="9" t="str">
        <f>IFERROR(MID(VLOOKUP($B204,Seqs!$A:$B,2,0),AO204,1),"")</f>
        <v>F</v>
      </c>
      <c r="AO204" s="9">
        <v>250</v>
      </c>
      <c r="AP204" s="9" t="str">
        <f>IFERROR(MID(VLOOKUP($B204,Seqs!$A:$B,2,0),AQ204,1),"")</f>
        <v>N</v>
      </c>
      <c r="AQ204" s="9">
        <v>277</v>
      </c>
      <c r="AR204" s="9" t="str">
        <f>IFERROR(MID(VLOOKUP($B204,Seqs!$A:$B,2,0),AS204,1),"")</f>
        <v>P</v>
      </c>
      <c r="AS204" s="9">
        <v>286</v>
      </c>
      <c r="AT204" s="9" t="str">
        <f>IFERROR(MID(VLOOKUP($B204,Seqs!$A:$B,2,0),AU204,1),"")</f>
        <v>L</v>
      </c>
      <c r="AU204" s="9">
        <v>311</v>
      </c>
      <c r="AV204" s="9" t="str">
        <f>IFERROR(MID(VLOOKUP($B204,Seqs!$A:$B,2,0),AW204,1),"")</f>
        <v>N</v>
      </c>
      <c r="AW204" s="9">
        <v>312</v>
      </c>
      <c r="AX204" s="9" t="str">
        <f>IFERROR(MID(VLOOKUP($B204,Seqs!$A:$B,2,0),AY204,1),"")</f>
        <v>N</v>
      </c>
      <c r="AY204" s="9">
        <v>328</v>
      </c>
      <c r="AZ204" s="110" t="str">
        <f>VLOOKUP(B204,Classification!A:D,2,0)</f>
        <v>A</v>
      </c>
      <c r="BA204" s="98" t="str">
        <f>VLOOKUP(B204,Classification!A:D,4,0)</f>
        <v>Melatonin</v>
      </c>
      <c r="BB204" s="36" t="b">
        <f t="shared" ref="BB204" si="1175">AND(E204&lt;G204,OR(G204&lt;I204,I204="-"),OR(I204&lt;K204,I204="-"),OR(K204&lt;M204,K204="-"),M204&lt;O204,OR(O204&lt;Q204,Q204="-"),OR(Q204&lt;S204,Q204="-"),OR(S204&lt;U204,S204="-"),U204&lt;W204,OR(W204&lt;Y204,Y204="-"),OR(Y204&lt;AA204,Y204="-"),OR(AA204&lt;AC204,AA204="-"),AC204&lt;AE204,OR(AE204&lt;AG204,AG204="-"),OR(AG204&lt;AI204,AG204="-"),OR(AI204&lt;AK204,AI204="-"),AK204&lt;AM204,AM204&lt;AO204,AO204&lt;AQ204,AQ204&lt;AS204,AS204&lt;AU204,OR(AU204&lt;AW204,AW204="-"),OR(AW204&lt;AY204,AW204="-"))</f>
        <v>1</v>
      </c>
      <c r="BC204" s="109">
        <f t="shared" ref="BC204" si="1176">_xlfn.AGGREGATE(9,6,CH204:CS204)-_xlfn.AGGREGATE(9,6,BV204:CG204)+12</f>
        <v>245</v>
      </c>
      <c r="BD204" s="13" t="s">
        <v>23</v>
      </c>
      <c r="BE204" s="9" t="s">
        <v>1375</v>
      </c>
      <c r="BF204" s="120">
        <v>3.1</v>
      </c>
      <c r="BG204" s="51" t="s">
        <v>1282</v>
      </c>
      <c r="BH204" s="51" t="s">
        <v>1282</v>
      </c>
      <c r="BJ204" s="111" t="s">
        <v>1288</v>
      </c>
      <c r="BK204" s="112" t="s">
        <v>1288</v>
      </c>
      <c r="BL204" s="112" t="s">
        <v>1288</v>
      </c>
      <c r="BM204" s="112" t="s">
        <v>1288</v>
      </c>
      <c r="BN204" s="112" t="s">
        <v>1288</v>
      </c>
      <c r="BO204" s="112" t="s">
        <v>1288</v>
      </c>
      <c r="BP204" s="112" t="s">
        <v>1288</v>
      </c>
      <c r="BQ204" s="112" t="s">
        <v>1288</v>
      </c>
      <c r="BR204" s="112" t="s">
        <v>1288</v>
      </c>
      <c r="BS204" s="112" t="s">
        <v>1288</v>
      </c>
      <c r="BT204" s="112" t="s">
        <v>1288</v>
      </c>
      <c r="BU204" s="112" t="s">
        <v>1288</v>
      </c>
      <c r="BV204" s="111">
        <f t="shared" ref="BV204" si="1177">E204</f>
        <v>38</v>
      </c>
      <c r="BW204" s="113">
        <f t="shared" ref="BW204" si="1178">I204</f>
        <v>69</v>
      </c>
      <c r="BX204" s="114">
        <f t="shared" ref="BX204" si="1179">M204</f>
        <v>73</v>
      </c>
      <c r="BY204" s="113">
        <f t="shared" ref="BY204" si="1180">Q204</f>
        <v>105</v>
      </c>
      <c r="BZ204" s="114">
        <f t="shared" ref="BZ204" si="1181">U204</f>
        <v>109</v>
      </c>
      <c r="CA204" s="113">
        <f t="shared" ref="CA204" si="1182">Y204</f>
        <v>145</v>
      </c>
      <c r="CB204" s="114">
        <f t="shared" ref="CB204" si="1183">AC204</f>
        <v>156</v>
      </c>
      <c r="CC204" s="113">
        <f t="shared" ref="CC204" si="1184">AG204</f>
        <v>190</v>
      </c>
      <c r="CD204" s="114">
        <f t="shared" ref="CD204" si="1185">AK204</f>
        <v>197</v>
      </c>
      <c r="CE204" s="113">
        <f t="shared" ref="CE204" si="1186">AO204</f>
        <v>250</v>
      </c>
      <c r="CF204" s="114">
        <f t="shared" ref="CF204" si="1187">AS204</f>
        <v>286</v>
      </c>
      <c r="CG204" s="113">
        <f t="shared" ref="CG204" si="1188">AW204</f>
        <v>312</v>
      </c>
      <c r="CH204" s="111">
        <f t="shared" ref="CH204" si="1189">G204</f>
        <v>67</v>
      </c>
      <c r="CI204" s="113">
        <f t="shared" ref="CI204" si="1190">K204</f>
        <v>72</v>
      </c>
      <c r="CJ204" s="114">
        <f t="shared" ref="CJ204" si="1191">O204</f>
        <v>104</v>
      </c>
      <c r="CK204" s="114">
        <f t="shared" ref="CK204" si="1192">S204</f>
        <v>108</v>
      </c>
      <c r="CL204" s="114">
        <f t="shared" ref="CL204" si="1193">W204</f>
        <v>143</v>
      </c>
      <c r="CM204" s="114">
        <f t="shared" ref="CM204" si="1194">AA204</f>
        <v>152</v>
      </c>
      <c r="CN204" s="114">
        <f t="shared" ref="CN204" si="1195">AE204</f>
        <v>179</v>
      </c>
      <c r="CO204" s="114">
        <f t="shared" ref="CO204" si="1196">AI204</f>
        <v>192</v>
      </c>
      <c r="CP204" s="114">
        <f t="shared" ref="CP204" si="1197">AM204</f>
        <v>230</v>
      </c>
      <c r="CQ204" s="114">
        <f t="shared" ref="CQ204" si="1198">AQ204</f>
        <v>277</v>
      </c>
      <c r="CR204" s="114">
        <f t="shared" ref="CR204" si="1199">AU204</f>
        <v>311</v>
      </c>
      <c r="CS204" s="114">
        <f t="shared" ref="CS204" si="1200">AY204</f>
        <v>328</v>
      </c>
      <c r="CT204" s="109">
        <f t="shared" ref="CT204" si="1201">M204-K204</f>
        <v>1</v>
      </c>
    </row>
    <row r="205" spans="1:1029" s="12" customFormat="1" x14ac:dyDescent="0.2">
      <c r="A205" s="9" t="str">
        <f t="shared" ref="A205" si="1202">CONCATENATE(B205,"_",C205)</f>
        <v>mtr1b_human_6ME9</v>
      </c>
      <c r="B205" s="9" t="s">
        <v>312</v>
      </c>
      <c r="C205" s="9" t="s">
        <v>1572</v>
      </c>
      <c r="D205" s="9" t="str">
        <f>IFERROR(MID(VLOOKUP($B205,Seqs!$A:$B,2,0),E205,1),"")</f>
        <v>W</v>
      </c>
      <c r="E205" s="9">
        <v>38</v>
      </c>
      <c r="F205" s="9" t="str">
        <f>IFERROR(MID(VLOOKUP($B205,Seqs!$A:$B,2,0),G205,1),"")</f>
        <v>R</v>
      </c>
      <c r="G205" s="9">
        <v>67</v>
      </c>
      <c r="H205" s="9" t="str">
        <f>IFERROR(MID(VLOOKUP($B205,Seqs!$A:$B,2,0),I205,1),"")</f>
        <v>R</v>
      </c>
      <c r="I205" s="109">
        <v>69</v>
      </c>
      <c r="J205" s="9" t="str">
        <f>IFERROR(MID(VLOOKUP($B205,Seqs!$A:$B,2,0),K205,1),"")</f>
        <v>R</v>
      </c>
      <c r="K205" s="109">
        <v>72</v>
      </c>
      <c r="L205" s="9" t="str">
        <f>IFERROR(MID(VLOOKUP($B205,Seqs!$A:$B,2,0),M205,1),"")</f>
        <v>N</v>
      </c>
      <c r="M205" s="9">
        <v>73</v>
      </c>
      <c r="N205" s="9" t="str">
        <f>IFERROR(MID(VLOOKUP($B205,Seqs!$A:$B,2,0),O205,1),"")</f>
        <v>D</v>
      </c>
      <c r="O205" s="9">
        <v>104</v>
      </c>
      <c r="P205" s="9" t="str">
        <f>IFERROR(MID(VLOOKUP($B205,Seqs!$A:$B,2,0),Q205,1),"")</f>
        <v>G</v>
      </c>
      <c r="Q205" s="9">
        <v>105</v>
      </c>
      <c r="R205" s="9" t="str">
        <f>IFERROR(MID(VLOOKUP($B205,Seqs!$A:$B,2,0),S205,1),"")</f>
        <v>L</v>
      </c>
      <c r="S205" s="9">
        <v>108</v>
      </c>
      <c r="T205" s="9" t="str">
        <f>IFERROR(MID(VLOOKUP($B205,Seqs!$A:$B,2,0),U205,1),"")</f>
        <v>G</v>
      </c>
      <c r="U205" s="9">
        <v>109</v>
      </c>
      <c r="V205" s="9" t="str">
        <f>IFERROR(MID(VLOOKUP($B205,Seqs!$A:$B,2,0),W205,1),"")</f>
        <v>C</v>
      </c>
      <c r="W205" s="9">
        <v>143</v>
      </c>
      <c r="X205" s="9" t="str">
        <f>IFERROR(MID(VLOOKUP($B205,Seqs!$A:$B,2,0),Y205,1),"")</f>
        <v>S</v>
      </c>
      <c r="Y205" s="9">
        <v>145</v>
      </c>
      <c r="Z205" s="9" t="str">
        <f>IFERROR(MID(VLOOKUP($B205,Seqs!$A:$B,2,0),AA205,1),"")</f>
        <v>Y</v>
      </c>
      <c r="AA205" s="9">
        <v>152</v>
      </c>
      <c r="AB205" s="9" t="str">
        <f>IFERROR(MID(VLOOKUP($B205,Seqs!$A:$B,2,0),AC205,1),"")</f>
        <v>H</v>
      </c>
      <c r="AC205" s="9">
        <v>156</v>
      </c>
      <c r="AD205" s="9" t="str">
        <f>IFERROR(MID(VLOOKUP($B205,Seqs!$A:$B,2,0),AE205,1),"")</f>
        <v>G</v>
      </c>
      <c r="AE205" s="9">
        <v>179</v>
      </c>
      <c r="AF205" s="9" t="str">
        <f>IFERROR(MID(VLOOKUP($B205,Seqs!$A:$B,2,0),AG205,1),"")</f>
        <v>C</v>
      </c>
      <c r="AG205" s="9">
        <v>190</v>
      </c>
      <c r="AH205" s="9" t="str">
        <f>IFERROR(MID(VLOOKUP($B205,Seqs!$A:$B,2,0),AI205,1),"")</f>
        <v>F</v>
      </c>
      <c r="AI205" s="9">
        <v>192</v>
      </c>
      <c r="AJ205" s="9" t="str">
        <f>IFERROR(MID(VLOOKUP($B205,Seqs!$A:$B,2,0),AK205,1),"")</f>
        <v>S</v>
      </c>
      <c r="AK205" s="9">
        <v>197</v>
      </c>
      <c r="AL205" s="9" t="str">
        <f>IFERROR(MID(VLOOKUP($B205,Seqs!$A:$B,2,0),AM205,1),"")</f>
        <v>A</v>
      </c>
      <c r="AM205" s="9">
        <v>230</v>
      </c>
      <c r="AN205" s="9" t="str">
        <f>IFERROR(MID(VLOOKUP($B205,Seqs!$A:$B,2,0),AO205,1),"")</f>
        <v>F</v>
      </c>
      <c r="AO205" s="9">
        <v>250</v>
      </c>
      <c r="AP205" s="9" t="str">
        <f>IFERROR(MID(VLOOKUP($B205,Seqs!$A:$B,2,0),AQ205,1),"")</f>
        <v>N</v>
      </c>
      <c r="AQ205" s="9">
        <v>277</v>
      </c>
      <c r="AR205" s="9" t="str">
        <f>IFERROR(MID(VLOOKUP($B205,Seqs!$A:$B,2,0),AS205,1),"")</f>
        <v>P</v>
      </c>
      <c r="AS205" s="9">
        <v>286</v>
      </c>
      <c r="AT205" s="9" t="str">
        <f>IFERROR(MID(VLOOKUP($B205,Seqs!$A:$B,2,0),AU205,1),"")</f>
        <v>L</v>
      </c>
      <c r="AU205" s="9">
        <v>311</v>
      </c>
      <c r="AV205" s="9" t="str">
        <f>IFERROR(MID(VLOOKUP($B205,Seqs!$A:$B,2,0),AW205,1),"")</f>
        <v>N</v>
      </c>
      <c r="AW205" s="9">
        <v>312</v>
      </c>
      <c r="AX205" s="9" t="str">
        <f>IFERROR(MID(VLOOKUP($B205,Seqs!$A:$B,2,0),AY205,1),"")</f>
        <v>N</v>
      </c>
      <c r="AY205" s="9">
        <v>328</v>
      </c>
      <c r="AZ205" s="110" t="str">
        <f>VLOOKUP(B205,Classification!A:D,2,0)</f>
        <v>A</v>
      </c>
      <c r="BA205" s="98" t="str">
        <f>VLOOKUP(B205,Classification!A:D,4,0)</f>
        <v>Melatonin</v>
      </c>
      <c r="BB205" s="36" t="b">
        <f t="shared" ref="BB205" si="1203">AND(E205&lt;G205,OR(G205&lt;I205,I205="-"),OR(I205&lt;K205,I205="-"),OR(K205&lt;M205,K205="-"),M205&lt;O205,OR(O205&lt;Q205,Q205="-"),OR(Q205&lt;S205,Q205="-"),OR(S205&lt;U205,S205="-"),U205&lt;W205,OR(W205&lt;Y205,Y205="-"),OR(Y205&lt;AA205,Y205="-"),OR(AA205&lt;AC205,AA205="-"),AC205&lt;AE205,OR(AE205&lt;AG205,AG205="-"),OR(AG205&lt;AI205,AG205="-"),OR(AI205&lt;AK205,AI205="-"),AK205&lt;AM205,AM205&lt;AO205,AO205&lt;AQ205,AQ205&lt;AS205,AS205&lt;AU205,OR(AU205&lt;AW205,AW205="-"),OR(AW205&lt;AY205,AW205="-"))</f>
        <v>1</v>
      </c>
      <c r="BC205" s="109">
        <f t="shared" ref="BC205" si="1204">_xlfn.AGGREGATE(9,6,CH205:CS205)-_xlfn.AGGREGATE(9,6,BV205:CG205)+12</f>
        <v>245</v>
      </c>
      <c r="BD205" s="13" t="s">
        <v>23</v>
      </c>
      <c r="BE205" s="9" t="s">
        <v>1375</v>
      </c>
      <c r="BF205" s="120">
        <v>3.3</v>
      </c>
      <c r="BG205" s="51" t="s">
        <v>1282</v>
      </c>
      <c r="BH205" s="51" t="s">
        <v>1282</v>
      </c>
      <c r="BJ205" s="111" t="s">
        <v>1288</v>
      </c>
      <c r="BK205" s="112" t="s">
        <v>1288</v>
      </c>
      <c r="BL205" s="112" t="s">
        <v>1288</v>
      </c>
      <c r="BM205" s="112" t="s">
        <v>1288</v>
      </c>
      <c r="BN205" s="112" t="s">
        <v>1288</v>
      </c>
      <c r="BO205" s="112" t="s">
        <v>1288</v>
      </c>
      <c r="BP205" s="112" t="s">
        <v>1288</v>
      </c>
      <c r="BQ205" s="112" t="s">
        <v>1288</v>
      </c>
      <c r="BR205" s="112" t="s">
        <v>1288</v>
      </c>
      <c r="BS205" s="112" t="s">
        <v>1288</v>
      </c>
      <c r="BT205" s="112" t="s">
        <v>1288</v>
      </c>
      <c r="BU205" s="112" t="s">
        <v>1288</v>
      </c>
      <c r="BV205" s="111">
        <f t="shared" ref="BV205" si="1205">E205</f>
        <v>38</v>
      </c>
      <c r="BW205" s="113">
        <f t="shared" ref="BW205" si="1206">I205</f>
        <v>69</v>
      </c>
      <c r="BX205" s="114">
        <f t="shared" ref="BX205" si="1207">M205</f>
        <v>73</v>
      </c>
      <c r="BY205" s="113">
        <f t="shared" ref="BY205" si="1208">Q205</f>
        <v>105</v>
      </c>
      <c r="BZ205" s="114">
        <f t="shared" ref="BZ205" si="1209">U205</f>
        <v>109</v>
      </c>
      <c r="CA205" s="113">
        <f t="shared" ref="CA205" si="1210">Y205</f>
        <v>145</v>
      </c>
      <c r="CB205" s="114">
        <f t="shared" ref="CB205" si="1211">AC205</f>
        <v>156</v>
      </c>
      <c r="CC205" s="113">
        <f t="shared" ref="CC205" si="1212">AG205</f>
        <v>190</v>
      </c>
      <c r="CD205" s="114">
        <f t="shared" ref="CD205" si="1213">AK205</f>
        <v>197</v>
      </c>
      <c r="CE205" s="113">
        <f t="shared" ref="CE205" si="1214">AO205</f>
        <v>250</v>
      </c>
      <c r="CF205" s="114">
        <f t="shared" ref="CF205" si="1215">AS205</f>
        <v>286</v>
      </c>
      <c r="CG205" s="113">
        <f t="shared" ref="CG205" si="1216">AW205</f>
        <v>312</v>
      </c>
      <c r="CH205" s="111">
        <f t="shared" ref="CH205" si="1217">G205</f>
        <v>67</v>
      </c>
      <c r="CI205" s="113">
        <f t="shared" ref="CI205" si="1218">K205</f>
        <v>72</v>
      </c>
      <c r="CJ205" s="114">
        <f t="shared" ref="CJ205" si="1219">O205</f>
        <v>104</v>
      </c>
      <c r="CK205" s="114">
        <f t="shared" ref="CK205" si="1220">S205</f>
        <v>108</v>
      </c>
      <c r="CL205" s="114">
        <f t="shared" ref="CL205" si="1221">W205</f>
        <v>143</v>
      </c>
      <c r="CM205" s="114">
        <f t="shared" ref="CM205" si="1222">AA205</f>
        <v>152</v>
      </c>
      <c r="CN205" s="114">
        <f t="shared" ref="CN205" si="1223">AE205</f>
        <v>179</v>
      </c>
      <c r="CO205" s="114">
        <f t="shared" ref="CO205" si="1224">AI205</f>
        <v>192</v>
      </c>
      <c r="CP205" s="114">
        <f t="shared" ref="CP205" si="1225">AM205</f>
        <v>230</v>
      </c>
      <c r="CQ205" s="114">
        <f t="shared" ref="CQ205" si="1226">AQ205</f>
        <v>277</v>
      </c>
      <c r="CR205" s="114">
        <f t="shared" ref="CR205" si="1227">AU205</f>
        <v>311</v>
      </c>
      <c r="CS205" s="114">
        <f t="shared" ref="CS205" si="1228">AY205</f>
        <v>328</v>
      </c>
      <c r="CT205" s="109">
        <f t="shared" ref="CT205" si="1229">M205-K205</f>
        <v>1</v>
      </c>
    </row>
    <row r="206" spans="1:1029" x14ac:dyDescent="0.2">
      <c r="A206" s="3" t="str">
        <f t="shared" ref="A206" si="1230">CONCATENATE(B206,"_",C206)</f>
        <v>nk1r_human__wt</v>
      </c>
      <c r="B206" s="3" t="s">
        <v>314</v>
      </c>
      <c r="C206" s="133" t="s">
        <v>100</v>
      </c>
      <c r="D206" s="3" t="str">
        <f>IFERROR(MID(VLOOKUP($B206,Seqs!$A:$B,2,0),E206,1),"")</f>
        <v>P</v>
      </c>
      <c r="E206" s="3">
        <v>28</v>
      </c>
      <c r="F206" s="3" t="str">
        <f>IFERROR(MID(VLOOKUP($B206,Seqs!$A:$B,2,0),G206,1),"")</f>
        <v>H</v>
      </c>
      <c r="G206" s="3">
        <v>60</v>
      </c>
      <c r="H206" s="3" t="str">
        <f>IFERROR(MID(VLOOKUP($B206,Seqs!$A:$B,2,0),I206,1),"")</f>
        <v>K</v>
      </c>
      <c r="I206" s="23">
        <v>61</v>
      </c>
      <c r="J206" s="3" t="str">
        <f>IFERROR(MID(VLOOKUP($B206,Seqs!$A:$B,2,0),K206,1),"")</f>
        <v>R</v>
      </c>
      <c r="K206" s="23">
        <v>64</v>
      </c>
      <c r="L206" s="3" t="str">
        <f>IFERROR(MID(VLOOKUP($B206,Seqs!$A:$B,2,0),M206,1),"")</f>
        <v>T</v>
      </c>
      <c r="M206" s="3">
        <v>65</v>
      </c>
      <c r="N206" s="3" t="str">
        <f>IFERROR(MID(VLOOKUP($B206,Seqs!$A:$B,2,0),O206,1),"")</f>
        <v>N</v>
      </c>
      <c r="O206" s="3">
        <v>96</v>
      </c>
      <c r="P206" s="3" t="str">
        <f>IFERROR(MID(VLOOKUP($B206,Seqs!$A:$B,2,0),Q206,1),"")</f>
        <v>E</v>
      </c>
      <c r="Q206" s="3">
        <v>97</v>
      </c>
      <c r="R206" s="3" t="str">
        <f>IFERROR(MID(VLOOKUP($B206,Seqs!$A:$B,2,0),S206,1),"")</f>
        <v>Y</v>
      </c>
      <c r="S206" s="3">
        <v>100</v>
      </c>
      <c r="T206" s="3" t="str">
        <f>IFERROR(MID(VLOOKUP($B206,Seqs!$A:$B,2,0),U206,1),"")</f>
        <v>G</v>
      </c>
      <c r="U206" s="3">
        <v>101</v>
      </c>
      <c r="V206" s="3" t="str">
        <f>IFERROR(MID(VLOOKUP($B206,Seqs!$A:$B,2,0),W206,1),"")</f>
        <v>H</v>
      </c>
      <c r="W206" s="3">
        <v>136</v>
      </c>
      <c r="X206" s="3" t="str">
        <f>IFERROR(MID(VLOOKUP($B206,Seqs!$A:$B,2,0),Y206,1),"")</f>
        <v/>
      </c>
      <c r="Y206" s="3" t="s">
        <v>23</v>
      </c>
      <c r="Z206" s="3" t="str">
        <f>IFERROR(MID(VLOOKUP($B206,Seqs!$A:$B,2,0),AA206,1),"")</f>
        <v/>
      </c>
      <c r="AA206" s="3" t="s">
        <v>23</v>
      </c>
      <c r="AB206" s="3" t="str">
        <f>IFERROR(MID(VLOOKUP($B206,Seqs!$A:$B,2,0),AC206,1),"")</f>
        <v>S</v>
      </c>
      <c r="AC206" s="3">
        <v>143</v>
      </c>
      <c r="AD206" s="3" t="str">
        <f>IFERROR(MID(VLOOKUP($B206,Seqs!$A:$B,2,0),AE206,1),"")</f>
        <v>S</v>
      </c>
      <c r="AE206" s="3">
        <v>169</v>
      </c>
      <c r="AF206" s="3" t="str">
        <f>IFERROR(MID(VLOOKUP($B206,Seqs!$A:$B,2,0),AG206,1),"")</f>
        <v>C</v>
      </c>
      <c r="AG206" s="3">
        <v>180</v>
      </c>
      <c r="AH206" s="3" t="str">
        <f>IFERROR(MID(VLOOKUP($B206,Seqs!$A:$B,2,0),AI206,1),"")</f>
        <v>I</v>
      </c>
      <c r="AI206" s="3">
        <v>182</v>
      </c>
      <c r="AJ206" s="3" t="str">
        <f>IFERROR(MID(VLOOKUP($B206,Seqs!$A:$B,2,0),AK206,1),"")</f>
        <v>P</v>
      </c>
      <c r="AK206" s="3">
        <v>188</v>
      </c>
      <c r="AL206" s="3" t="str">
        <f>IFERROR(MID(VLOOKUP($B206,Seqs!$A:$B,2,0),AM206,1),"")</f>
        <v>D</v>
      </c>
      <c r="AM206" s="3">
        <v>231</v>
      </c>
      <c r="AN206" s="3" t="str">
        <f>IFERROR(MID(VLOOKUP($B206,Seqs!$A:$B,2,0),AO206,1),"")</f>
        <v>R</v>
      </c>
      <c r="AO206" s="3">
        <v>235</v>
      </c>
      <c r="AP206" s="3" t="str">
        <f>IFERROR(MID(VLOOKUP($B206,Seqs!$A:$B,2,0),AQ206,1),"")</f>
        <v>N</v>
      </c>
      <c r="AQ206" s="3">
        <v>274</v>
      </c>
      <c r="AR206" s="3" t="str">
        <f>IFERROR(MID(VLOOKUP($B206,Seqs!$A:$B,2,0),AS206,1),"")</f>
        <v>F</v>
      </c>
      <c r="AS206" s="3">
        <v>282</v>
      </c>
      <c r="AT206" s="3" t="str">
        <f>IFERROR(MID(VLOOKUP($B206,Seqs!$A:$B,2,0),AU206,1),"")</f>
        <v>L</v>
      </c>
      <c r="AU206" s="3">
        <v>308</v>
      </c>
      <c r="AV206" s="3" t="str">
        <f>IFERROR(MID(VLOOKUP($B206,Seqs!$A:$B,2,0),AW206,1),"")</f>
        <v>N</v>
      </c>
      <c r="AW206" s="3">
        <v>309</v>
      </c>
      <c r="AX206" s="3" t="str">
        <f>IFERROR(MID(VLOOKUP($B206,Seqs!$A:$B,2,0),AY206,1),"")</f>
        <v>F</v>
      </c>
      <c r="AY206" s="3">
        <v>320</v>
      </c>
      <c r="AZ206" s="77" t="str">
        <f>VLOOKUP(B206,Classification!A:D,2,0)</f>
        <v>A</v>
      </c>
      <c r="BA206" s="94" t="str">
        <f>VLOOKUP(B206,Classification!A:D,4,0)</f>
        <v>Tachykinin</v>
      </c>
      <c r="BB206" s="27" t="b">
        <f t="shared" ref="BB206" si="1231">AND(E206&lt;G206,OR(G206&lt;I206,I206="-"),OR(I206&lt;K206,I206="-"),OR(K206&lt;M206,K206="-"),M206&lt;O206,OR(O206&lt;Q206,Q206="-"),OR(Q206&lt;S206,Q206="-"),OR(S206&lt;U206,S206="-"),U206&lt;W206,OR(W206&lt;Y206,Y206="-"),OR(Y206&lt;AA206,Y206="-"),OR(AA206&lt;AC206,AA206="-"),AC206&lt;AE206,OR(AE206&lt;AG206,AG206="-"),OR(AG206&lt;AI206,AG206="-"),OR(AI206&lt;AK206,AI206="-"),AK206&lt;AM206,AM206&lt;AO206,AO206&lt;AQ206,AQ206&lt;AS206,AS206&lt;AU206,OR(AU206&lt;AW206,AW206="-"),OR(AW206&lt;AY206,AW206="-"))</f>
        <v>1</v>
      </c>
      <c r="BC206" s="23">
        <f t="shared" ref="BC206" si="1232">_xlfn.AGGREGATE(9,6,CH206:CS206)-_xlfn.AGGREGATE(9,6,BV206:CG206)+12</f>
        <v>263</v>
      </c>
      <c r="BD206" s="5" t="s">
        <v>23</v>
      </c>
      <c r="BE206" s="3" t="s">
        <v>23</v>
      </c>
      <c r="BF206" s="119" t="s">
        <v>23</v>
      </c>
      <c r="BG206" s="49" t="s">
        <v>1378</v>
      </c>
      <c r="BH206" s="49" t="s">
        <v>1378</v>
      </c>
      <c r="BI206" s="1"/>
      <c r="BJ206" s="70" t="s">
        <v>1288</v>
      </c>
      <c r="BK206" s="57" t="s">
        <v>1288</v>
      </c>
      <c r="BL206" s="57" t="s">
        <v>1288</v>
      </c>
      <c r="BM206" s="57" t="s">
        <v>1288</v>
      </c>
      <c r="BN206" s="57" t="s">
        <v>1288</v>
      </c>
      <c r="BO206" s="57" t="s">
        <v>1288</v>
      </c>
      <c r="BP206" s="57" t="s">
        <v>1288</v>
      </c>
      <c r="BQ206" s="57" t="s">
        <v>1288</v>
      </c>
      <c r="BR206" s="57" t="s">
        <v>1288</v>
      </c>
      <c r="BS206" s="57" t="s">
        <v>1288</v>
      </c>
      <c r="BT206" s="57" t="s">
        <v>1288</v>
      </c>
      <c r="BU206" s="57" t="s">
        <v>1288</v>
      </c>
      <c r="BV206" s="70">
        <f t="shared" ref="BV206" si="1233">E206</f>
        <v>28</v>
      </c>
      <c r="BW206" s="71">
        <f t="shared" ref="BW206" si="1234">I206</f>
        <v>61</v>
      </c>
      <c r="BX206" s="72">
        <f t="shared" ref="BX206" si="1235">M206</f>
        <v>65</v>
      </c>
      <c r="BY206" s="71">
        <f t="shared" ref="BY206" si="1236">Q206</f>
        <v>97</v>
      </c>
      <c r="BZ206" s="72">
        <f t="shared" ref="BZ206" si="1237">U206</f>
        <v>101</v>
      </c>
      <c r="CA206" s="71" t="str">
        <f t="shared" ref="CA206" si="1238">Y206</f>
        <v>-</v>
      </c>
      <c r="CB206" s="72">
        <f t="shared" ref="CB206" si="1239">AC206</f>
        <v>143</v>
      </c>
      <c r="CC206" s="71">
        <f t="shared" ref="CC206" si="1240">AG206</f>
        <v>180</v>
      </c>
      <c r="CD206" s="72">
        <f t="shared" ref="CD206" si="1241">AK206</f>
        <v>188</v>
      </c>
      <c r="CE206" s="71">
        <f t="shared" ref="CE206" si="1242">AO206</f>
        <v>235</v>
      </c>
      <c r="CF206" s="72">
        <f t="shared" ref="CF206" si="1243">AS206</f>
        <v>282</v>
      </c>
      <c r="CG206" s="71">
        <f t="shared" ref="CG206" si="1244">AW206</f>
        <v>309</v>
      </c>
      <c r="CH206" s="70">
        <f t="shared" ref="CH206" si="1245">G206</f>
        <v>60</v>
      </c>
      <c r="CI206" s="71">
        <f t="shared" ref="CI206" si="1246">K206</f>
        <v>64</v>
      </c>
      <c r="CJ206" s="72">
        <f t="shared" ref="CJ206" si="1247">O206</f>
        <v>96</v>
      </c>
      <c r="CK206" s="72">
        <f t="shared" ref="CK206" si="1248">S206</f>
        <v>100</v>
      </c>
      <c r="CL206" s="72">
        <f t="shared" ref="CL206" si="1249">W206</f>
        <v>136</v>
      </c>
      <c r="CM206" s="72" t="str">
        <f t="shared" ref="CM206" si="1250">AA206</f>
        <v>-</v>
      </c>
      <c r="CN206" s="72">
        <f t="shared" ref="CN206" si="1251">AE206</f>
        <v>169</v>
      </c>
      <c r="CO206" s="72">
        <f t="shared" ref="CO206" si="1252">AI206</f>
        <v>182</v>
      </c>
      <c r="CP206" s="72">
        <f t="shared" ref="CP206" si="1253">AM206</f>
        <v>231</v>
      </c>
      <c r="CQ206" s="72">
        <f t="shared" ref="CQ206" si="1254">AQ206</f>
        <v>274</v>
      </c>
      <c r="CR206" s="72">
        <f t="shared" ref="CR206" si="1255">AU206</f>
        <v>308</v>
      </c>
      <c r="CS206" s="72">
        <f t="shared" ref="CS206" si="1256">AY206</f>
        <v>320</v>
      </c>
      <c r="CT206" s="23">
        <f t="shared" ref="CT206" si="1257">M206-K206</f>
        <v>1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29" x14ac:dyDescent="0.2">
      <c r="A207" s="3" t="str">
        <f t="shared" ref="A207" si="1258">CONCATENATE(B207,"_",C207)</f>
        <v>nk1r_human_6E59</v>
      </c>
      <c r="B207" s="3" t="s">
        <v>314</v>
      </c>
      <c r="C207" s="134" t="s">
        <v>1536</v>
      </c>
      <c r="D207" s="3" t="str">
        <f>IFERROR(MID(VLOOKUP($B207,Seqs!$A:$B,2,0),E207,1),"")</f>
        <v>V</v>
      </c>
      <c r="E207" s="3">
        <v>33</v>
      </c>
      <c r="F207" s="3" t="str">
        <f>IFERROR(MID(VLOOKUP($B207,Seqs!$A:$B,2,0),G207,1),"")</f>
        <v>H</v>
      </c>
      <c r="G207" s="3">
        <v>60</v>
      </c>
      <c r="H207" s="3" t="str">
        <f>IFERROR(MID(VLOOKUP($B207,Seqs!$A:$B,2,0),I207,1),"")</f>
        <v/>
      </c>
      <c r="I207" s="23" t="s">
        <v>23</v>
      </c>
      <c r="J207" s="3" t="str">
        <f>IFERROR(MID(VLOOKUP($B207,Seqs!$A:$B,2,0),K207,1),"")</f>
        <v/>
      </c>
      <c r="K207" s="23" t="s">
        <v>23</v>
      </c>
      <c r="L207" s="3" t="str">
        <f>IFERROR(MID(VLOOKUP($B207,Seqs!$A:$B,2,0),M207,1),"")</f>
        <v>T</v>
      </c>
      <c r="M207" s="3">
        <v>65</v>
      </c>
      <c r="N207" s="3" t="str">
        <f>IFERROR(MID(VLOOKUP($B207,Seqs!$A:$B,2,0),O207,1),"")</f>
        <v>V</v>
      </c>
      <c r="O207" s="3">
        <v>94</v>
      </c>
      <c r="P207" s="3" t="str">
        <f>IFERROR(MID(VLOOKUP($B207,Seqs!$A:$B,2,0),Q207,1),"")</f>
        <v>E</v>
      </c>
      <c r="Q207" s="3">
        <v>97</v>
      </c>
      <c r="R207" s="3" t="str">
        <f>IFERROR(MID(VLOOKUP($B207,Seqs!$A:$B,2,0),S207,1),"")</f>
        <v>Y</v>
      </c>
      <c r="S207" s="3">
        <v>100</v>
      </c>
      <c r="T207" s="3" t="str">
        <f>IFERROR(MID(VLOOKUP($B207,Seqs!$A:$B,2,0),U207,1),"")</f>
        <v>F</v>
      </c>
      <c r="U207" s="3">
        <v>103</v>
      </c>
      <c r="V207" s="3" t="str">
        <f>IFERROR(MID(VLOOKUP($B207,Seqs!$A:$B,2,0),W207,1),"")</f>
        <v>H</v>
      </c>
      <c r="W207" s="3">
        <v>136</v>
      </c>
      <c r="X207" s="3" t="str">
        <f>IFERROR(MID(VLOOKUP($B207,Seqs!$A:$B,2,0),Y207,1),"")</f>
        <v/>
      </c>
      <c r="Y207" s="3" t="s">
        <v>23</v>
      </c>
      <c r="Z207" s="3" t="str">
        <f>IFERROR(MID(VLOOKUP($B207,Seqs!$A:$B,2,0),AA207,1),"")</f>
        <v/>
      </c>
      <c r="AA207" s="3" t="s">
        <v>23</v>
      </c>
      <c r="AB207" s="3" t="str">
        <f>IFERROR(MID(VLOOKUP($B207,Seqs!$A:$B,2,0),AC207,1),"")</f>
        <v>S</v>
      </c>
      <c r="AC207" s="3">
        <v>143</v>
      </c>
      <c r="AD207" s="3" t="str">
        <f>IFERROR(MID(VLOOKUP($B207,Seqs!$A:$B,2,0),AE207,1),"")</f>
        <v>S</v>
      </c>
      <c r="AE207" s="3">
        <v>169</v>
      </c>
      <c r="AF207" s="3" t="str">
        <f>IFERROR(MID(VLOOKUP($B207,Seqs!$A:$B,2,0),AG207,1),"")</f>
        <v>C</v>
      </c>
      <c r="AG207" s="3">
        <v>180</v>
      </c>
      <c r="AH207" s="3" t="str">
        <f>IFERROR(MID(VLOOKUP($B207,Seqs!$A:$B,2,0),AI207,1),"")</f>
        <v>I</v>
      </c>
      <c r="AI207" s="3">
        <v>182</v>
      </c>
      <c r="AJ207" s="3" t="str">
        <f>IFERROR(MID(VLOOKUP($B207,Seqs!$A:$B,2,0),AK207,1),"")</f>
        <v>P</v>
      </c>
      <c r="AK207" s="3">
        <v>188</v>
      </c>
      <c r="AL207" s="3" t="str">
        <f>IFERROR(MID(VLOOKUP($B207,Seqs!$A:$B,2,0),AM207,1),"")</f>
        <v>W</v>
      </c>
      <c r="AM207" s="3">
        <v>224</v>
      </c>
      <c r="AN207" s="3" t="str">
        <f>IFERROR(MID(VLOOKUP($B207,Seqs!$A:$B,2,0),AO207,1),"")</f>
        <v>E</v>
      </c>
      <c r="AO207" s="3">
        <v>238</v>
      </c>
      <c r="AP207" s="3" t="str">
        <f>IFERROR(MID(VLOOKUP($B207,Seqs!$A:$B,2,0),AQ207,1),"")</f>
        <v>N</v>
      </c>
      <c r="AQ207" s="3">
        <v>274</v>
      </c>
      <c r="AR207" s="3" t="str">
        <f>IFERROR(MID(VLOOKUP($B207,Seqs!$A:$B,2,0),AS207,1),"")</f>
        <v>I</v>
      </c>
      <c r="AS207" s="3">
        <v>283</v>
      </c>
      <c r="AT207" s="3" t="str">
        <f>IFERROR(MID(VLOOKUP($B207,Seqs!$A:$B,2,0),AU207,1),"")</f>
        <v>L</v>
      </c>
      <c r="AU207" s="3">
        <v>308</v>
      </c>
      <c r="AV207" s="3" t="str">
        <f>IFERROR(MID(VLOOKUP($B207,Seqs!$A:$B,2,0),AW207,1),"")</f>
        <v>N</v>
      </c>
      <c r="AW207" s="3">
        <v>309</v>
      </c>
      <c r="AX207" s="3" t="str">
        <f>IFERROR(MID(VLOOKUP($B207,Seqs!$A:$B,2,0),AY207,1),"")</f>
        <v>H</v>
      </c>
      <c r="AY207" s="3">
        <v>318</v>
      </c>
      <c r="AZ207" s="77" t="str">
        <f>VLOOKUP(B207,Classification!A:D,2,0)</f>
        <v>A</v>
      </c>
      <c r="BA207" s="94" t="str">
        <f>VLOOKUP(B207,Classification!A:D,4,0)</f>
        <v>Tachykinin</v>
      </c>
      <c r="BB207" s="27" t="b">
        <f t="shared" ref="BB207" si="1259">AND(E207&lt;G207,OR(G207&lt;I207,I207="-"),OR(I207&lt;K207,I207="-"),OR(K207&lt;M207,K207="-"),M207&lt;O207,OR(O207&lt;Q207,Q207="-"),OR(Q207&lt;S207,Q207="-"),OR(S207&lt;U207,S207="-"),U207&lt;W207,OR(W207&lt;Y207,Y207="-"),OR(Y207&lt;AA207,Y207="-"),OR(AA207&lt;AC207,AA207="-"),AC207&lt;AE207,OR(AE207&lt;AG207,AG207="-"),OR(AG207&lt;AI207,AG207="-"),OR(AI207&lt;AK207,AI207="-"),AK207&lt;AM207,AM207&lt;AO207,AO207&lt;AQ207,AQ207&lt;AS207,AS207&lt;AU207,OR(AU207&lt;AW207,AW207="-"),OR(AW207&lt;AY207,AW207="-"))</f>
        <v>1</v>
      </c>
      <c r="BC207" s="23">
        <f t="shared" ref="BC207" si="1260">_xlfn.AGGREGATE(9,6,CH207:CS207)-_xlfn.AGGREGATE(9,6,BV207:CG207)+12</f>
        <v>238</v>
      </c>
      <c r="BD207" s="5" t="s">
        <v>23</v>
      </c>
      <c r="BE207" s="3" t="s">
        <v>1375</v>
      </c>
      <c r="BF207" s="119">
        <v>3.4</v>
      </c>
      <c r="BG207" s="49" t="s">
        <v>1</v>
      </c>
      <c r="BH207" s="49" t="s">
        <v>1</v>
      </c>
      <c r="BI207" s="1"/>
      <c r="BJ207" s="70" t="s">
        <v>1288</v>
      </c>
      <c r="BK207" s="57" t="s">
        <v>1288</v>
      </c>
      <c r="BL207" s="57" t="s">
        <v>1288</v>
      </c>
      <c r="BM207" s="57" t="s">
        <v>1288</v>
      </c>
      <c r="BN207" s="57" t="s">
        <v>1288</v>
      </c>
      <c r="BO207" s="57" t="s">
        <v>1288</v>
      </c>
      <c r="BP207" s="57" t="s">
        <v>1288</v>
      </c>
      <c r="BQ207" s="57" t="s">
        <v>1288</v>
      </c>
      <c r="BR207" s="57" t="s">
        <v>1288</v>
      </c>
      <c r="BS207" s="57" t="s">
        <v>1288</v>
      </c>
      <c r="BT207" s="57" t="s">
        <v>1288</v>
      </c>
      <c r="BU207" s="57" t="s">
        <v>1288</v>
      </c>
      <c r="BV207" s="70">
        <f t="shared" ref="BV207" si="1261">E207</f>
        <v>33</v>
      </c>
      <c r="BW207" s="71" t="str">
        <f t="shared" ref="BW207" si="1262">I207</f>
        <v>-</v>
      </c>
      <c r="BX207" s="72">
        <f t="shared" ref="BX207" si="1263">M207</f>
        <v>65</v>
      </c>
      <c r="BY207" s="71">
        <f t="shared" ref="BY207" si="1264">Q207</f>
        <v>97</v>
      </c>
      <c r="BZ207" s="72">
        <f t="shared" ref="BZ207" si="1265">U207</f>
        <v>103</v>
      </c>
      <c r="CA207" s="71" t="str">
        <f t="shared" ref="CA207" si="1266">Y207</f>
        <v>-</v>
      </c>
      <c r="CB207" s="72">
        <f t="shared" ref="CB207" si="1267">AC207</f>
        <v>143</v>
      </c>
      <c r="CC207" s="71">
        <f t="shared" ref="CC207" si="1268">AG207</f>
        <v>180</v>
      </c>
      <c r="CD207" s="72">
        <f t="shared" ref="CD207" si="1269">AK207</f>
        <v>188</v>
      </c>
      <c r="CE207" s="71">
        <f t="shared" ref="CE207" si="1270">AO207</f>
        <v>238</v>
      </c>
      <c r="CF207" s="72">
        <f t="shared" ref="CF207" si="1271">AS207</f>
        <v>283</v>
      </c>
      <c r="CG207" s="71">
        <f t="shared" ref="CG207" si="1272">AW207</f>
        <v>309</v>
      </c>
      <c r="CH207" s="70">
        <f t="shared" ref="CH207" si="1273">G207</f>
        <v>60</v>
      </c>
      <c r="CI207" s="71" t="str">
        <f t="shared" ref="CI207" si="1274">K207</f>
        <v>-</v>
      </c>
      <c r="CJ207" s="72">
        <f t="shared" ref="CJ207" si="1275">O207</f>
        <v>94</v>
      </c>
      <c r="CK207" s="72">
        <f t="shared" ref="CK207" si="1276">S207</f>
        <v>100</v>
      </c>
      <c r="CL207" s="72">
        <f t="shared" ref="CL207" si="1277">W207</f>
        <v>136</v>
      </c>
      <c r="CM207" s="72" t="str">
        <f t="shared" ref="CM207" si="1278">AA207</f>
        <v>-</v>
      </c>
      <c r="CN207" s="72">
        <f t="shared" ref="CN207" si="1279">AE207</f>
        <v>169</v>
      </c>
      <c r="CO207" s="72">
        <f t="shared" ref="CO207" si="1280">AI207</f>
        <v>182</v>
      </c>
      <c r="CP207" s="72">
        <f t="shared" ref="CP207" si="1281">AM207</f>
        <v>224</v>
      </c>
      <c r="CQ207" s="72">
        <f t="shared" ref="CQ207" si="1282">AQ207</f>
        <v>274</v>
      </c>
      <c r="CR207" s="72">
        <f t="shared" ref="CR207" si="1283">AU207</f>
        <v>308</v>
      </c>
      <c r="CS207" s="72">
        <f t="shared" ref="CS207" si="1284">AY207</f>
        <v>318</v>
      </c>
      <c r="CT207" s="23" t="e">
        <f t="shared" ref="CT207" si="1285">M207-K207</f>
        <v>#VALUE!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29" x14ac:dyDescent="0.2">
      <c r="A208" s="3" t="str">
        <f t="shared" ref="A208" si="1286">CONCATENATE(B208,"_",C208)</f>
        <v>nk1r_human_6HLL</v>
      </c>
      <c r="B208" s="3" t="s">
        <v>314</v>
      </c>
      <c r="C208" s="134" t="s">
        <v>1544</v>
      </c>
      <c r="D208" s="3" t="str">
        <f>IFERROR(MID(VLOOKUP($B208,Seqs!$A:$B,2,0),E208,1),"")</f>
        <v>P</v>
      </c>
      <c r="E208" s="3">
        <v>28</v>
      </c>
      <c r="F208" s="3" t="str">
        <f>IFERROR(MID(VLOOKUP($B208,Seqs!$A:$B,2,0),G208,1),"")</f>
        <v>A</v>
      </c>
      <c r="G208" s="3">
        <v>59</v>
      </c>
      <c r="H208" s="3" t="str">
        <f>IFERROR(MID(VLOOKUP($B208,Seqs!$A:$B,2,0),I208,1),"")</f>
        <v>K</v>
      </c>
      <c r="I208" s="23">
        <v>61</v>
      </c>
      <c r="J208" s="3" t="str">
        <f>IFERROR(MID(VLOOKUP($B208,Seqs!$A:$B,2,0),K208,1),"")</f>
        <v>R</v>
      </c>
      <c r="K208" s="23">
        <v>64</v>
      </c>
      <c r="L208" s="3" t="str">
        <f>IFERROR(MID(VLOOKUP($B208,Seqs!$A:$B,2,0),M208,1),"")</f>
        <v>T</v>
      </c>
      <c r="M208" s="3">
        <v>65</v>
      </c>
      <c r="N208" s="3" t="str">
        <f>IFERROR(MID(VLOOKUP($B208,Seqs!$A:$B,2,0),O208,1),"")</f>
        <v>N</v>
      </c>
      <c r="O208" s="3">
        <v>96</v>
      </c>
      <c r="P208" s="3" t="str">
        <f>IFERROR(MID(VLOOKUP($B208,Seqs!$A:$B,2,0),Q208,1),"")</f>
        <v>E</v>
      </c>
      <c r="Q208" s="3">
        <v>97</v>
      </c>
      <c r="R208" s="3" t="str">
        <f>IFERROR(MID(VLOOKUP($B208,Seqs!$A:$B,2,0),S208,1),"")</f>
        <v>Y</v>
      </c>
      <c r="S208" s="3">
        <v>100</v>
      </c>
      <c r="T208" s="3" t="str">
        <f>IFERROR(MID(VLOOKUP($B208,Seqs!$A:$B,2,0),U208,1),"")</f>
        <v>G</v>
      </c>
      <c r="U208" s="3">
        <v>101</v>
      </c>
      <c r="V208" s="3" t="str">
        <f>IFERROR(MID(VLOOKUP($B208,Seqs!$A:$B,2,0),W208,1),"")</f>
        <v>H</v>
      </c>
      <c r="W208" s="3">
        <v>136</v>
      </c>
      <c r="X208" s="3" t="str">
        <f>IFERROR(MID(VLOOKUP($B208,Seqs!$A:$B,2,0),Y208,1),"")</f>
        <v/>
      </c>
      <c r="Y208" s="3" t="s">
        <v>23</v>
      </c>
      <c r="Z208" s="3" t="str">
        <f>IFERROR(MID(VLOOKUP($B208,Seqs!$A:$B,2,0),AA208,1),"")</f>
        <v/>
      </c>
      <c r="AA208" s="3" t="s">
        <v>23</v>
      </c>
      <c r="AB208" s="3" t="str">
        <f>IFERROR(MID(VLOOKUP($B208,Seqs!$A:$B,2,0),AC208,1),"")</f>
        <v>S</v>
      </c>
      <c r="AC208" s="3">
        <v>143</v>
      </c>
      <c r="AD208" s="3" t="str">
        <f>IFERROR(MID(VLOOKUP($B208,Seqs!$A:$B,2,0),AE208,1),"")</f>
        <v>S</v>
      </c>
      <c r="AE208" s="3">
        <v>169</v>
      </c>
      <c r="AF208" s="3" t="str">
        <f>IFERROR(MID(VLOOKUP($B208,Seqs!$A:$B,2,0),AG208,1),"")</f>
        <v>C</v>
      </c>
      <c r="AG208" s="3">
        <v>180</v>
      </c>
      <c r="AH208" s="3" t="str">
        <f>IFERROR(MID(VLOOKUP($B208,Seqs!$A:$B,2,0),AI208,1),"")</f>
        <v>I</v>
      </c>
      <c r="AI208" s="3">
        <v>182</v>
      </c>
      <c r="AJ208" s="3" t="str">
        <f>IFERROR(MID(VLOOKUP($B208,Seqs!$A:$B,2,0),AK208,1),"")</f>
        <v>K</v>
      </c>
      <c r="AK208" s="3">
        <v>190</v>
      </c>
      <c r="AL208" s="3" t="str">
        <f>IFERROR(MID(VLOOKUP($B208,Seqs!$A:$B,2,0),AM208,1),"")</f>
        <v>S</v>
      </c>
      <c r="AM208" s="3">
        <v>226</v>
      </c>
      <c r="AN208" s="3" t="str">
        <f>IFERROR(MID(VLOOKUP($B208,Seqs!$A:$B,2,0),AO208,1),"")</f>
        <v>E</v>
      </c>
      <c r="AO208" s="3">
        <v>238</v>
      </c>
      <c r="AP208" s="3" t="str">
        <f>IFERROR(MID(VLOOKUP($B208,Seqs!$A:$B,2,0),AQ208,1),"")</f>
        <v>L</v>
      </c>
      <c r="AQ208" s="3">
        <v>270</v>
      </c>
      <c r="AR208" s="3" t="str">
        <f>IFERROR(MID(VLOOKUP($B208,Seqs!$A:$B,2,0),AS208,1),"")</f>
        <v>I</v>
      </c>
      <c r="AS208" s="3">
        <v>283</v>
      </c>
      <c r="AT208" s="3" t="str">
        <f>IFERROR(MID(VLOOKUP($B208,Seqs!$A:$B,2,0),AU208,1),"")</f>
        <v>L</v>
      </c>
      <c r="AU208" s="3">
        <v>308</v>
      </c>
      <c r="AV208" s="3" t="str">
        <f>IFERROR(MID(VLOOKUP($B208,Seqs!$A:$B,2,0),AW208,1),"")</f>
        <v>N</v>
      </c>
      <c r="AW208" s="3">
        <v>309</v>
      </c>
      <c r="AX208" s="3" t="str">
        <f>IFERROR(MID(VLOOKUP($B208,Seqs!$A:$B,2,0),AY208,1),"")</f>
        <v>F</v>
      </c>
      <c r="AY208" s="3">
        <v>320</v>
      </c>
      <c r="AZ208" s="77" t="str">
        <f>VLOOKUP(B208,Classification!A:D,2,0)</f>
        <v>A</v>
      </c>
      <c r="BA208" s="94" t="str">
        <f>VLOOKUP(B208,Classification!A:D,4,0)</f>
        <v>Tachykinin</v>
      </c>
      <c r="BB208" s="27" t="b">
        <f t="shared" ref="BB208" si="1287">AND(E208&lt;G208,OR(G208&lt;I208,I208="-"),OR(I208&lt;K208,I208="-"),OR(K208&lt;M208,K208="-"),M208&lt;O208,OR(O208&lt;Q208,Q208="-"),OR(Q208&lt;S208,Q208="-"),OR(S208&lt;U208,S208="-"),U208&lt;W208,OR(W208&lt;Y208,Y208="-"),OR(Y208&lt;AA208,Y208="-"),OR(AA208&lt;AC208,AA208="-"),AC208&lt;AE208,OR(AE208&lt;AG208,AG208="-"),OR(AG208&lt;AI208,AG208="-"),OR(AI208&lt;AK208,AI208="-"),AK208&lt;AM208,AM208&lt;AO208,AO208&lt;AQ208,AQ208&lt;AS208,AS208&lt;AU208,OR(AU208&lt;AW208,AW208="-"),OR(AW208&lt;AY208,AW208="-"))</f>
        <v>1</v>
      </c>
      <c r="BC208" s="23">
        <f t="shared" ref="BC208" si="1288">_xlfn.AGGREGATE(9,6,CH208:CS208)-_xlfn.AGGREGATE(9,6,BV208:CG208)+12</f>
        <v>247</v>
      </c>
      <c r="BD208" s="5" t="s">
        <v>23</v>
      </c>
      <c r="BE208" s="3" t="s">
        <v>1375</v>
      </c>
      <c r="BF208" s="119">
        <v>3.27</v>
      </c>
      <c r="BG208" s="49" t="s">
        <v>1</v>
      </c>
      <c r="BH208" s="49" t="s">
        <v>1</v>
      </c>
      <c r="BI208" s="1"/>
      <c r="BJ208" s="70" t="s">
        <v>1288</v>
      </c>
      <c r="BK208" s="57" t="s">
        <v>1288</v>
      </c>
      <c r="BL208" s="57" t="s">
        <v>1288</v>
      </c>
      <c r="BM208" s="57" t="s">
        <v>1288</v>
      </c>
      <c r="BN208" s="57" t="s">
        <v>1288</v>
      </c>
      <c r="BO208" s="57" t="s">
        <v>1288</v>
      </c>
      <c r="BP208" s="57" t="s">
        <v>1288</v>
      </c>
      <c r="BQ208" s="57" t="s">
        <v>1288</v>
      </c>
      <c r="BR208" s="57" t="s">
        <v>1288</v>
      </c>
      <c r="BS208" s="57" t="s">
        <v>1288</v>
      </c>
      <c r="BT208" s="57" t="s">
        <v>1288</v>
      </c>
      <c r="BU208" s="57" t="s">
        <v>1288</v>
      </c>
      <c r="BV208" s="70">
        <f t="shared" ref="BV208" si="1289">E208</f>
        <v>28</v>
      </c>
      <c r="BW208" s="71">
        <f t="shared" ref="BW208" si="1290">I208</f>
        <v>61</v>
      </c>
      <c r="BX208" s="72">
        <f t="shared" ref="BX208" si="1291">M208</f>
        <v>65</v>
      </c>
      <c r="BY208" s="71">
        <f t="shared" ref="BY208" si="1292">Q208</f>
        <v>97</v>
      </c>
      <c r="BZ208" s="72">
        <f t="shared" ref="BZ208" si="1293">U208</f>
        <v>101</v>
      </c>
      <c r="CA208" s="71" t="str">
        <f t="shared" ref="CA208" si="1294">Y208</f>
        <v>-</v>
      </c>
      <c r="CB208" s="72">
        <f t="shared" ref="CB208" si="1295">AC208</f>
        <v>143</v>
      </c>
      <c r="CC208" s="71">
        <f t="shared" ref="CC208" si="1296">AG208</f>
        <v>180</v>
      </c>
      <c r="CD208" s="72">
        <f t="shared" ref="CD208" si="1297">AK208</f>
        <v>190</v>
      </c>
      <c r="CE208" s="71">
        <f t="shared" ref="CE208" si="1298">AO208</f>
        <v>238</v>
      </c>
      <c r="CF208" s="72">
        <f t="shared" ref="CF208" si="1299">AS208</f>
        <v>283</v>
      </c>
      <c r="CG208" s="71">
        <f t="shared" ref="CG208" si="1300">AW208</f>
        <v>309</v>
      </c>
      <c r="CH208" s="70">
        <f t="shared" ref="CH208" si="1301">G208</f>
        <v>59</v>
      </c>
      <c r="CI208" s="71">
        <f t="shared" ref="CI208" si="1302">K208</f>
        <v>64</v>
      </c>
      <c r="CJ208" s="72">
        <f t="shared" ref="CJ208" si="1303">O208</f>
        <v>96</v>
      </c>
      <c r="CK208" s="72">
        <f t="shared" ref="CK208" si="1304">S208</f>
        <v>100</v>
      </c>
      <c r="CL208" s="72">
        <f t="shared" ref="CL208" si="1305">W208</f>
        <v>136</v>
      </c>
      <c r="CM208" s="72" t="str">
        <f t="shared" ref="CM208" si="1306">AA208</f>
        <v>-</v>
      </c>
      <c r="CN208" s="72">
        <f t="shared" ref="CN208" si="1307">AE208</f>
        <v>169</v>
      </c>
      <c r="CO208" s="72">
        <f t="shared" ref="CO208" si="1308">AI208</f>
        <v>182</v>
      </c>
      <c r="CP208" s="72">
        <f t="shared" ref="CP208" si="1309">AM208</f>
        <v>226</v>
      </c>
      <c r="CQ208" s="72">
        <f t="shared" ref="CQ208" si="1310">AQ208</f>
        <v>270</v>
      </c>
      <c r="CR208" s="72">
        <f t="shared" ref="CR208" si="1311">AU208</f>
        <v>308</v>
      </c>
      <c r="CS208" s="72">
        <f t="shared" ref="CS208" si="1312">AY208</f>
        <v>320</v>
      </c>
      <c r="CT208" s="23">
        <f t="shared" ref="CT208" si="1313">M208-K208</f>
        <v>1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30" x14ac:dyDescent="0.2">
      <c r="A209" s="3" t="str">
        <f t="shared" ref="A209" si="1314">CONCATENATE(B209,"_",C209)</f>
        <v>nk1r_human_6HLO</v>
      </c>
      <c r="B209" s="3" t="s">
        <v>314</v>
      </c>
      <c r="C209" s="134" t="s">
        <v>1545</v>
      </c>
      <c r="D209" s="3" t="str">
        <f>IFERROR(MID(VLOOKUP($B209,Seqs!$A:$B,2,0),E209,1),"")</f>
        <v>P</v>
      </c>
      <c r="E209" s="3">
        <v>28</v>
      </c>
      <c r="F209" s="3" t="str">
        <f>IFERROR(MID(VLOOKUP($B209,Seqs!$A:$B,2,0),G209,1),"")</f>
        <v>H</v>
      </c>
      <c r="G209" s="3">
        <v>60</v>
      </c>
      <c r="H209" s="3" t="str">
        <f>IFERROR(MID(VLOOKUP($B209,Seqs!$A:$B,2,0),I209,1),"")</f>
        <v>K</v>
      </c>
      <c r="I209" s="23">
        <v>61</v>
      </c>
      <c r="J209" s="3" t="str">
        <f>IFERROR(MID(VLOOKUP($B209,Seqs!$A:$B,2,0),K209,1),"")</f>
        <v>R</v>
      </c>
      <c r="K209" s="23">
        <v>64</v>
      </c>
      <c r="L209" s="3" t="str">
        <f>IFERROR(MID(VLOOKUP($B209,Seqs!$A:$B,2,0),M209,1),"")</f>
        <v>T</v>
      </c>
      <c r="M209" s="3">
        <v>65</v>
      </c>
      <c r="N209" s="3" t="str">
        <f>IFERROR(MID(VLOOKUP($B209,Seqs!$A:$B,2,0),O209,1),"")</f>
        <v>H</v>
      </c>
      <c r="O209" s="3">
        <v>95</v>
      </c>
      <c r="P209" s="3" t="str">
        <f>IFERROR(MID(VLOOKUP($B209,Seqs!$A:$B,2,0),Q209,1),"")</f>
        <v>E</v>
      </c>
      <c r="Q209" s="3">
        <v>97</v>
      </c>
      <c r="R209" s="3" t="str">
        <f>IFERROR(MID(VLOOKUP($B209,Seqs!$A:$B,2,0),S209,1),"")</f>
        <v>Y</v>
      </c>
      <c r="S209" s="3">
        <v>100</v>
      </c>
      <c r="T209" s="3" t="str">
        <f>IFERROR(MID(VLOOKUP($B209,Seqs!$A:$B,2,0),U209,1),"")</f>
        <v>G</v>
      </c>
      <c r="U209" s="3">
        <v>101</v>
      </c>
      <c r="V209" s="3" t="str">
        <f>IFERROR(MID(VLOOKUP($B209,Seqs!$A:$B,2,0),W209,1),"")</f>
        <v>H</v>
      </c>
      <c r="W209" s="3">
        <v>136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S</v>
      </c>
      <c r="AC209" s="3">
        <v>143</v>
      </c>
      <c r="AD209" s="3" t="str">
        <f>IFERROR(MID(VLOOKUP($B209,Seqs!$A:$B,2,0),AE209,1),"")</f>
        <v>S</v>
      </c>
      <c r="AE209" s="3">
        <v>169</v>
      </c>
      <c r="AF209" s="3" t="str">
        <f>IFERROR(MID(VLOOKUP($B209,Seqs!$A:$B,2,0),AG209,1),"")</f>
        <v>C</v>
      </c>
      <c r="AG209" s="3">
        <v>180</v>
      </c>
      <c r="AH209" s="3" t="str">
        <f>IFERROR(MID(VLOOKUP($B209,Seqs!$A:$B,2,0),AI209,1),"")</f>
        <v>I</v>
      </c>
      <c r="AI209" s="3">
        <v>182</v>
      </c>
      <c r="AJ209" s="3" t="str">
        <f>IFERROR(MID(VLOOKUP($B209,Seqs!$A:$B,2,0),AK209,1),"")</f>
        <v>K</v>
      </c>
      <c r="AK209" s="3">
        <v>190</v>
      </c>
      <c r="AL209" s="3" t="str">
        <f>IFERROR(MID(VLOOKUP($B209,Seqs!$A:$B,2,0),AM209,1),"")</f>
        <v>S</v>
      </c>
      <c r="AM209" s="3">
        <v>226</v>
      </c>
      <c r="AN209" s="3" t="str">
        <f>IFERROR(MID(VLOOKUP($B209,Seqs!$A:$B,2,0),AO209,1),"")</f>
        <v>E</v>
      </c>
      <c r="AO209" s="3">
        <v>238</v>
      </c>
      <c r="AP209" s="3" t="str">
        <f>IFERROR(MID(VLOOKUP($B209,Seqs!$A:$B,2,0),AQ209,1),"")</f>
        <v>N</v>
      </c>
      <c r="AQ209" s="3">
        <v>274</v>
      </c>
      <c r="AR209" s="3" t="str">
        <f>IFERROR(MID(VLOOKUP($B209,Seqs!$A:$B,2,0),AS209,1),"")</f>
        <v>F</v>
      </c>
      <c r="AS209" s="3">
        <v>282</v>
      </c>
      <c r="AT209" s="3" t="str">
        <f>IFERROR(MID(VLOOKUP($B209,Seqs!$A:$B,2,0),AU209,1),"")</f>
        <v>L</v>
      </c>
      <c r="AU209" s="3">
        <v>308</v>
      </c>
      <c r="AV209" s="3" t="str">
        <f>IFERROR(MID(VLOOKUP($B209,Seqs!$A:$B,2,0),AW209,1),"")</f>
        <v>N</v>
      </c>
      <c r="AW209" s="3">
        <v>309</v>
      </c>
      <c r="AX209" s="3" t="str">
        <f>IFERROR(MID(VLOOKUP($B209,Seqs!$A:$B,2,0),AY209,1),"")</f>
        <v>F</v>
      </c>
      <c r="AY209" s="3">
        <v>320</v>
      </c>
      <c r="AZ209" s="77" t="str">
        <f>VLOOKUP(B209,Classification!A:D,2,0)</f>
        <v>A</v>
      </c>
      <c r="BA209" s="94" t="str">
        <f>VLOOKUP(B209,Classification!A:D,4,0)</f>
        <v>Tachykinin</v>
      </c>
      <c r="BB209" s="27" t="b">
        <f t="shared" ref="BB209" si="1315">AND(E209&lt;G209,OR(G209&lt;I209,I209="-"),OR(I209&lt;K209,I209="-"),OR(K209&lt;M209,K209="-"),M209&lt;O209,OR(O209&lt;Q209,Q209="-"),OR(Q209&lt;S209,Q209="-"),OR(S209&lt;U209,S209="-"),U209&lt;W209,OR(W209&lt;Y209,Y209="-"),OR(Y209&lt;AA209,Y209="-"),OR(AA209&lt;AC209,AA209="-"),AC209&lt;AE209,OR(AE209&lt;AG209,AG209="-"),OR(AG209&lt;AI209,AG209="-"),OR(AI209&lt;AK209,AI209="-"),AK209&lt;AM209,AM209&lt;AO209,AO209&lt;AQ209,AQ209&lt;AS209,AS209&lt;AU209,OR(AU209&lt;AW209,AW209="-"),OR(AW209&lt;AY209,AW209="-"))</f>
        <v>1</v>
      </c>
      <c r="BC209" s="23">
        <f t="shared" ref="BC209" si="1316">_xlfn.AGGREGATE(9,6,CH209:CS209)-_xlfn.AGGREGATE(9,6,BV209:CG209)+12</f>
        <v>252</v>
      </c>
      <c r="BD209" s="5" t="s">
        <v>23</v>
      </c>
      <c r="BE209" s="3" t="s">
        <v>1375</v>
      </c>
      <c r="BF209" s="119">
        <v>2.4</v>
      </c>
      <c r="BG209" s="49" t="s">
        <v>1</v>
      </c>
      <c r="BH209" s="49" t="s">
        <v>1</v>
      </c>
      <c r="BI209" s="1"/>
      <c r="BJ209" s="70" t="s">
        <v>1288</v>
      </c>
      <c r="BK209" s="57" t="s">
        <v>1288</v>
      </c>
      <c r="BL209" s="57" t="s">
        <v>1288</v>
      </c>
      <c r="BM209" s="57" t="s">
        <v>1288</v>
      </c>
      <c r="BN209" s="57" t="s">
        <v>1288</v>
      </c>
      <c r="BO209" s="57" t="s">
        <v>1288</v>
      </c>
      <c r="BP209" s="57" t="s">
        <v>1288</v>
      </c>
      <c r="BQ209" s="57" t="s">
        <v>1288</v>
      </c>
      <c r="BR209" s="57" t="s">
        <v>1288</v>
      </c>
      <c r="BS209" s="57" t="s">
        <v>1288</v>
      </c>
      <c r="BT209" s="57" t="s">
        <v>1288</v>
      </c>
      <c r="BU209" s="57" t="s">
        <v>1288</v>
      </c>
      <c r="BV209" s="70">
        <f t="shared" ref="BV209" si="1317">E209</f>
        <v>28</v>
      </c>
      <c r="BW209" s="71">
        <f t="shared" ref="BW209" si="1318">I209</f>
        <v>61</v>
      </c>
      <c r="BX209" s="72">
        <f t="shared" ref="BX209" si="1319">M209</f>
        <v>65</v>
      </c>
      <c r="BY209" s="71">
        <f t="shared" ref="BY209" si="1320">Q209</f>
        <v>97</v>
      </c>
      <c r="BZ209" s="72">
        <f t="shared" ref="BZ209" si="1321">U209</f>
        <v>101</v>
      </c>
      <c r="CA209" s="71" t="str">
        <f t="shared" ref="CA209" si="1322">Y209</f>
        <v>-</v>
      </c>
      <c r="CB209" s="72">
        <f t="shared" ref="CB209" si="1323">AC209</f>
        <v>143</v>
      </c>
      <c r="CC209" s="71">
        <f t="shared" ref="CC209" si="1324">AG209</f>
        <v>180</v>
      </c>
      <c r="CD209" s="72">
        <f t="shared" ref="CD209" si="1325">AK209</f>
        <v>190</v>
      </c>
      <c r="CE209" s="71">
        <f t="shared" ref="CE209" si="1326">AO209</f>
        <v>238</v>
      </c>
      <c r="CF209" s="72">
        <f t="shared" ref="CF209" si="1327">AS209</f>
        <v>282</v>
      </c>
      <c r="CG209" s="71">
        <f t="shared" ref="CG209" si="1328">AW209</f>
        <v>309</v>
      </c>
      <c r="CH209" s="70">
        <f t="shared" ref="CH209" si="1329">G209</f>
        <v>60</v>
      </c>
      <c r="CI209" s="71">
        <f t="shared" ref="CI209" si="1330">K209</f>
        <v>64</v>
      </c>
      <c r="CJ209" s="72">
        <f t="shared" ref="CJ209" si="1331">O209</f>
        <v>95</v>
      </c>
      <c r="CK209" s="72">
        <f t="shared" ref="CK209" si="1332">S209</f>
        <v>100</v>
      </c>
      <c r="CL209" s="72">
        <f t="shared" ref="CL209" si="1333">W209</f>
        <v>136</v>
      </c>
      <c r="CM209" s="72" t="str">
        <f t="shared" ref="CM209" si="1334">AA209</f>
        <v>-</v>
      </c>
      <c r="CN209" s="72">
        <f t="shared" ref="CN209" si="1335">AE209</f>
        <v>169</v>
      </c>
      <c r="CO209" s="72">
        <f t="shared" ref="CO209" si="1336">AI209</f>
        <v>182</v>
      </c>
      <c r="CP209" s="72">
        <f t="shared" ref="CP209" si="1337">AM209</f>
        <v>226</v>
      </c>
      <c r="CQ209" s="72">
        <f t="shared" ref="CQ209" si="1338">AQ209</f>
        <v>274</v>
      </c>
      <c r="CR209" s="72">
        <f t="shared" ref="CR209" si="1339">AU209</f>
        <v>308</v>
      </c>
      <c r="CS209" s="72">
        <f t="shared" ref="CS209" si="1340">AY209</f>
        <v>320</v>
      </c>
      <c r="CT209" s="23">
        <f t="shared" ref="CT209" si="1341">M209-K209</f>
        <v>1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30" x14ac:dyDescent="0.2">
      <c r="A210" s="3" t="str">
        <f t="shared" ref="A210" si="1342">CONCATENATE(B210,"_",C210)</f>
        <v>nk1r_human_6HLP</v>
      </c>
      <c r="B210" s="3" t="s">
        <v>314</v>
      </c>
      <c r="C210" s="134" t="s">
        <v>1546</v>
      </c>
      <c r="D210" s="3" t="str">
        <f>IFERROR(MID(VLOOKUP($B210,Seqs!$A:$B,2,0),E210,1),"")</f>
        <v>P</v>
      </c>
      <c r="E210" s="3">
        <v>28</v>
      </c>
      <c r="F210" s="3" t="str">
        <f>IFERROR(MID(VLOOKUP($B210,Seqs!$A:$B,2,0),G210,1),"")</f>
        <v>H</v>
      </c>
      <c r="G210" s="3">
        <v>60</v>
      </c>
      <c r="H210" s="3" t="str">
        <f>IFERROR(MID(VLOOKUP($B210,Seqs!$A:$B,2,0),I210,1),"")</f>
        <v>K</v>
      </c>
      <c r="I210" s="23">
        <v>61</v>
      </c>
      <c r="J210" s="3" t="str">
        <f>IFERROR(MID(VLOOKUP($B210,Seqs!$A:$B,2,0),K210,1),"")</f>
        <v>R</v>
      </c>
      <c r="K210" s="23">
        <v>64</v>
      </c>
      <c r="L210" s="3" t="str">
        <f>IFERROR(MID(VLOOKUP($B210,Seqs!$A:$B,2,0),M210,1),"")</f>
        <v>T</v>
      </c>
      <c r="M210" s="3">
        <v>65</v>
      </c>
      <c r="N210" s="3" t="str">
        <f>IFERROR(MID(VLOOKUP($B210,Seqs!$A:$B,2,0),O210,1),"")</f>
        <v>H</v>
      </c>
      <c r="O210" s="3">
        <v>95</v>
      </c>
      <c r="P210" s="3" t="str">
        <f>IFERROR(MID(VLOOKUP($B210,Seqs!$A:$B,2,0),Q210,1),"")</f>
        <v>E</v>
      </c>
      <c r="Q210" s="3">
        <v>97</v>
      </c>
      <c r="R210" s="3" t="str">
        <f>IFERROR(MID(VLOOKUP($B210,Seqs!$A:$B,2,0),S210,1),"")</f>
        <v>Y</v>
      </c>
      <c r="S210" s="3">
        <v>100</v>
      </c>
      <c r="T210" s="3" t="str">
        <f>IFERROR(MID(VLOOKUP($B210,Seqs!$A:$B,2,0),U210,1),"")</f>
        <v>G</v>
      </c>
      <c r="U210" s="3">
        <v>101</v>
      </c>
      <c r="V210" s="3" t="str">
        <f>IFERROR(MID(VLOOKUP($B210,Seqs!$A:$B,2,0),W210,1),"")</f>
        <v>H</v>
      </c>
      <c r="W210" s="3">
        <v>136</v>
      </c>
      <c r="X210" s="3" t="str">
        <f>IFERROR(MID(VLOOKUP($B210,Seqs!$A:$B,2,0),Y210,1),"")</f>
        <v/>
      </c>
      <c r="Y210" s="3" t="s">
        <v>23</v>
      </c>
      <c r="Z210" s="3" t="str">
        <f>IFERROR(MID(VLOOKUP($B210,Seqs!$A:$B,2,0),AA210,1),"")</f>
        <v/>
      </c>
      <c r="AA210" s="3" t="s">
        <v>23</v>
      </c>
      <c r="AB210" s="3" t="str">
        <f>IFERROR(MID(VLOOKUP($B210,Seqs!$A:$B,2,0),AC210,1),"")</f>
        <v>S</v>
      </c>
      <c r="AC210" s="3">
        <v>143</v>
      </c>
      <c r="AD210" s="3" t="str">
        <f>IFERROR(MID(VLOOKUP($B210,Seqs!$A:$B,2,0),AE210,1),"")</f>
        <v>S</v>
      </c>
      <c r="AE210" s="3">
        <v>169</v>
      </c>
      <c r="AF210" s="3" t="str">
        <f>IFERROR(MID(VLOOKUP($B210,Seqs!$A:$B,2,0),AG210,1),"")</f>
        <v>C</v>
      </c>
      <c r="AG210" s="3">
        <v>180</v>
      </c>
      <c r="AH210" s="3" t="str">
        <f>IFERROR(MID(VLOOKUP($B210,Seqs!$A:$B,2,0),AI210,1),"")</f>
        <v>I</v>
      </c>
      <c r="AI210" s="3">
        <v>182</v>
      </c>
      <c r="AJ210" s="3" t="str">
        <f>IFERROR(MID(VLOOKUP($B210,Seqs!$A:$B,2,0),AK210,1),"")</f>
        <v>K</v>
      </c>
      <c r="AK210" s="3">
        <v>190</v>
      </c>
      <c r="AL210" s="3" t="str">
        <f>IFERROR(MID(VLOOKUP($B210,Seqs!$A:$B,2,0),AM210,1),"")</f>
        <v>S</v>
      </c>
      <c r="AM210" s="3">
        <v>226</v>
      </c>
      <c r="AN210" s="3" t="str">
        <f>IFERROR(MID(VLOOKUP($B210,Seqs!$A:$B,2,0),AO210,1),"")</f>
        <v>E</v>
      </c>
      <c r="AO210" s="3">
        <v>238</v>
      </c>
      <c r="AP210" s="3" t="str">
        <f>IFERROR(MID(VLOOKUP($B210,Seqs!$A:$B,2,0),AQ210,1),"")</f>
        <v>N</v>
      </c>
      <c r="AQ210" s="3">
        <v>274</v>
      </c>
      <c r="AR210" s="3" t="str">
        <f>IFERROR(MID(VLOOKUP($B210,Seqs!$A:$B,2,0),AS210,1),"")</f>
        <v>F</v>
      </c>
      <c r="AS210" s="3">
        <v>282</v>
      </c>
      <c r="AT210" s="3" t="str">
        <f>IFERROR(MID(VLOOKUP($B210,Seqs!$A:$B,2,0),AU210,1),"")</f>
        <v>L</v>
      </c>
      <c r="AU210" s="3">
        <v>308</v>
      </c>
      <c r="AV210" s="3" t="str">
        <f>IFERROR(MID(VLOOKUP($B210,Seqs!$A:$B,2,0),AW210,1),"")</f>
        <v>N</v>
      </c>
      <c r="AW210" s="3">
        <v>309</v>
      </c>
      <c r="AX210" s="3" t="str">
        <f>IFERROR(MID(VLOOKUP($B210,Seqs!$A:$B,2,0),AY210,1),"")</f>
        <v>F</v>
      </c>
      <c r="AY210" s="3">
        <v>320</v>
      </c>
      <c r="AZ210" s="77" t="str">
        <f>VLOOKUP(B210,Classification!A:D,2,0)</f>
        <v>A</v>
      </c>
      <c r="BA210" s="94" t="str">
        <f>VLOOKUP(B210,Classification!A:D,4,0)</f>
        <v>Tachykinin</v>
      </c>
      <c r="BB210" s="27" t="b">
        <f t="shared" ref="BB210" si="1343">AND(E210&lt;G210,OR(G210&lt;I210,I210="-"),OR(I210&lt;K210,I210="-"),OR(K210&lt;M210,K210="-"),M210&lt;O210,OR(O210&lt;Q210,Q210="-"),OR(Q210&lt;S210,Q210="-"),OR(S210&lt;U210,S210="-"),U210&lt;W210,OR(W210&lt;Y210,Y210="-"),OR(Y210&lt;AA210,Y210="-"),OR(AA210&lt;AC210,AA210="-"),AC210&lt;AE210,OR(AE210&lt;AG210,AG210="-"),OR(AG210&lt;AI210,AG210="-"),OR(AI210&lt;AK210,AI210="-"),AK210&lt;AM210,AM210&lt;AO210,AO210&lt;AQ210,AQ210&lt;AS210,AS210&lt;AU210,OR(AU210&lt;AW210,AW210="-"),OR(AW210&lt;AY210,AW210="-"))</f>
        <v>1</v>
      </c>
      <c r="BC210" s="23">
        <f t="shared" ref="BC210" si="1344">_xlfn.AGGREGATE(9,6,CH210:CS210)-_xlfn.AGGREGATE(9,6,BV210:CG210)+12</f>
        <v>252</v>
      </c>
      <c r="BD210" s="5" t="s">
        <v>1377</v>
      </c>
      <c r="BE210" s="3" t="s">
        <v>1375</v>
      </c>
      <c r="BF210" s="119">
        <v>2.2000000000000002</v>
      </c>
      <c r="BG210" s="49" t="s">
        <v>1</v>
      </c>
      <c r="BH210" s="49" t="s">
        <v>1</v>
      </c>
      <c r="BI210" s="1"/>
      <c r="BJ210" s="70" t="s">
        <v>1288</v>
      </c>
      <c r="BK210" s="57" t="s">
        <v>1288</v>
      </c>
      <c r="BL210" s="57" t="s">
        <v>1288</v>
      </c>
      <c r="BM210" s="57" t="s">
        <v>1288</v>
      </c>
      <c r="BN210" s="57" t="s">
        <v>1288</v>
      </c>
      <c r="BO210" s="57" t="s">
        <v>1288</v>
      </c>
      <c r="BP210" s="57" t="s">
        <v>1288</v>
      </c>
      <c r="BQ210" s="57" t="s">
        <v>1288</v>
      </c>
      <c r="BR210" s="57" t="s">
        <v>1288</v>
      </c>
      <c r="BS210" s="57" t="s">
        <v>1288</v>
      </c>
      <c r="BT210" s="57" t="s">
        <v>1288</v>
      </c>
      <c r="BU210" s="57" t="s">
        <v>1288</v>
      </c>
      <c r="BV210" s="70">
        <f t="shared" ref="BV210" si="1345">E210</f>
        <v>28</v>
      </c>
      <c r="BW210" s="71">
        <f t="shared" ref="BW210" si="1346">I210</f>
        <v>61</v>
      </c>
      <c r="BX210" s="72">
        <f t="shared" ref="BX210" si="1347">M210</f>
        <v>65</v>
      </c>
      <c r="BY210" s="71">
        <f t="shared" ref="BY210" si="1348">Q210</f>
        <v>97</v>
      </c>
      <c r="BZ210" s="72">
        <f t="shared" ref="BZ210" si="1349">U210</f>
        <v>101</v>
      </c>
      <c r="CA210" s="71" t="str">
        <f t="shared" ref="CA210" si="1350">Y210</f>
        <v>-</v>
      </c>
      <c r="CB210" s="72">
        <f t="shared" ref="CB210" si="1351">AC210</f>
        <v>143</v>
      </c>
      <c r="CC210" s="71">
        <f t="shared" ref="CC210" si="1352">AG210</f>
        <v>180</v>
      </c>
      <c r="CD210" s="72">
        <f t="shared" ref="CD210" si="1353">AK210</f>
        <v>190</v>
      </c>
      <c r="CE210" s="71">
        <f t="shared" ref="CE210" si="1354">AO210</f>
        <v>238</v>
      </c>
      <c r="CF210" s="72">
        <f t="shared" ref="CF210" si="1355">AS210</f>
        <v>282</v>
      </c>
      <c r="CG210" s="71">
        <f t="shared" ref="CG210" si="1356">AW210</f>
        <v>309</v>
      </c>
      <c r="CH210" s="70">
        <f t="shared" ref="CH210" si="1357">G210</f>
        <v>60</v>
      </c>
      <c r="CI210" s="71">
        <f t="shared" ref="CI210" si="1358">K210</f>
        <v>64</v>
      </c>
      <c r="CJ210" s="72">
        <f t="shared" ref="CJ210" si="1359">O210</f>
        <v>95</v>
      </c>
      <c r="CK210" s="72">
        <f t="shared" ref="CK210" si="1360">S210</f>
        <v>100</v>
      </c>
      <c r="CL210" s="72">
        <f t="shared" ref="CL210" si="1361">W210</f>
        <v>136</v>
      </c>
      <c r="CM210" s="72" t="str">
        <f t="shared" ref="CM210" si="1362">AA210</f>
        <v>-</v>
      </c>
      <c r="CN210" s="72">
        <f t="shared" ref="CN210" si="1363">AE210</f>
        <v>169</v>
      </c>
      <c r="CO210" s="72">
        <f t="shared" ref="CO210" si="1364">AI210</f>
        <v>182</v>
      </c>
      <c r="CP210" s="72">
        <f t="shared" ref="CP210" si="1365">AM210</f>
        <v>226</v>
      </c>
      <c r="CQ210" s="72">
        <f t="shared" ref="CQ210" si="1366">AQ210</f>
        <v>274</v>
      </c>
      <c r="CR210" s="72">
        <f t="shared" ref="CR210" si="1367">AU210</f>
        <v>308</v>
      </c>
      <c r="CS210" s="72">
        <f t="shared" ref="CS210" si="1368">AY210</f>
        <v>320</v>
      </c>
      <c r="CT210" s="23">
        <f t="shared" ref="CT210" si="1369">M210-K210</f>
        <v>1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30" x14ac:dyDescent="0.2">
      <c r="A211" s="3" t="str">
        <f t="shared" ref="A211" si="1370">CONCATENATE(B211,"_",C211)</f>
        <v>nk1r_human_6J20</v>
      </c>
      <c r="B211" s="3" t="s">
        <v>314</v>
      </c>
      <c r="C211" s="134" t="s">
        <v>1563</v>
      </c>
      <c r="D211" s="3" t="str">
        <f>IFERROR(MID(VLOOKUP($B211,Seqs!$A:$B,2,0),E211,1),"")</f>
        <v>P</v>
      </c>
      <c r="E211" s="3">
        <v>28</v>
      </c>
      <c r="F211" s="3" t="str">
        <f>IFERROR(MID(VLOOKUP($B211,Seqs!$A:$B,2,0),G211,1),"")</f>
        <v>A</v>
      </c>
      <c r="G211" s="3">
        <v>59</v>
      </c>
      <c r="H211" s="3" t="str">
        <f>IFERROR(MID(VLOOKUP($B211,Seqs!$A:$B,2,0),I211,1),"")</f>
        <v/>
      </c>
      <c r="I211" s="23" t="s">
        <v>23</v>
      </c>
      <c r="J211" s="3" t="str">
        <f>IFERROR(MID(VLOOKUP($B211,Seqs!$A:$B,2,0),K211,1),"")</f>
        <v/>
      </c>
      <c r="K211" s="23" t="s">
        <v>23</v>
      </c>
      <c r="L211" s="3" t="str">
        <f>IFERROR(MID(VLOOKUP($B211,Seqs!$A:$B,2,0),M211,1),"")</f>
        <v>V</v>
      </c>
      <c r="M211" s="3">
        <v>66</v>
      </c>
      <c r="N211" s="3" t="str">
        <f>IFERROR(MID(VLOOKUP($B211,Seqs!$A:$B,2,0),O211,1),"")</f>
        <v>N</v>
      </c>
      <c r="O211" s="3">
        <v>96</v>
      </c>
      <c r="P211" s="3" t="str">
        <f>IFERROR(MID(VLOOKUP($B211,Seqs!$A:$B,2,0),Q211,1),"")</f>
        <v>E</v>
      </c>
      <c r="Q211" s="3">
        <v>97</v>
      </c>
      <c r="R211" s="3" t="str">
        <f>IFERROR(MID(VLOOKUP($B211,Seqs!$A:$B,2,0),S211,1),"")</f>
        <v>Y</v>
      </c>
      <c r="S211" s="3">
        <v>100</v>
      </c>
      <c r="T211" s="3" t="str">
        <f>IFERROR(MID(VLOOKUP($B211,Seqs!$A:$B,2,0),U211,1),"")</f>
        <v>G</v>
      </c>
      <c r="U211" s="3">
        <v>101</v>
      </c>
      <c r="V211" s="3" t="str">
        <f>IFERROR(MID(VLOOKUP($B211,Seqs!$A:$B,2,0),W211,1),"")</f>
        <v>H</v>
      </c>
      <c r="W211" s="3">
        <v>136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S</v>
      </c>
      <c r="AC211" s="3">
        <v>143</v>
      </c>
      <c r="AD211" s="3" t="str">
        <f>IFERROR(MID(VLOOKUP($B211,Seqs!$A:$B,2,0),AE211,1),"")</f>
        <v>S</v>
      </c>
      <c r="AE211" s="3">
        <v>169</v>
      </c>
      <c r="AF211" s="3" t="str">
        <f>IFERROR(MID(VLOOKUP($B211,Seqs!$A:$B,2,0),AG211,1),"")</f>
        <v>C</v>
      </c>
      <c r="AG211" s="3">
        <v>180</v>
      </c>
      <c r="AH211" s="3" t="str">
        <f>IFERROR(MID(VLOOKUP($B211,Seqs!$A:$B,2,0),AI211,1),"")</f>
        <v>I</v>
      </c>
      <c r="AI211" s="3">
        <v>182</v>
      </c>
      <c r="AJ211" s="3" t="str">
        <f>IFERROR(MID(VLOOKUP($B211,Seqs!$A:$B,2,0),AK211,1),"")</f>
        <v>K</v>
      </c>
      <c r="AK211" s="3">
        <v>190</v>
      </c>
      <c r="AL211" s="3" t="str">
        <f>IFERROR(MID(VLOOKUP($B211,Seqs!$A:$B,2,0),AM211,1),"")</f>
        <v>A</v>
      </c>
      <c r="AM211" s="3">
        <v>225</v>
      </c>
      <c r="AN211" s="3" t="str">
        <f>IFERROR(MID(VLOOKUP($B211,Seqs!$A:$B,2,0),AO211,1),"")</f>
        <v>S</v>
      </c>
      <c r="AO211" s="3">
        <v>241</v>
      </c>
      <c r="AP211" s="3" t="str">
        <f>IFERROR(MID(VLOOKUP($B211,Seqs!$A:$B,2,0),AQ211,1),"")</f>
        <v>N</v>
      </c>
      <c r="AQ211" s="3">
        <v>274</v>
      </c>
      <c r="AR211" s="3" t="str">
        <f>IFERROR(MID(VLOOKUP($B211,Seqs!$A:$B,2,0),AS211,1),"")</f>
        <v>I</v>
      </c>
      <c r="AS211" s="3">
        <v>283</v>
      </c>
      <c r="AT211" s="3" t="str">
        <f>IFERROR(MID(VLOOKUP($B211,Seqs!$A:$B,2,0),AU211,1),"")</f>
        <v>L</v>
      </c>
      <c r="AU211" s="3">
        <v>308</v>
      </c>
      <c r="AV211" s="3" t="str">
        <f>IFERROR(MID(VLOOKUP($B211,Seqs!$A:$B,2,0),AW211,1),"")</f>
        <v>N</v>
      </c>
      <c r="AW211" s="3">
        <v>309</v>
      </c>
      <c r="AX211" s="3" t="str">
        <f>IFERROR(MID(VLOOKUP($B211,Seqs!$A:$B,2,0),AY211,1),"")</f>
        <v>A</v>
      </c>
      <c r="AY211" s="3">
        <v>319</v>
      </c>
      <c r="AZ211" s="77" t="str">
        <f>VLOOKUP(B211,Classification!A:D,2,0)</f>
        <v>A</v>
      </c>
      <c r="BA211" s="94" t="str">
        <f>VLOOKUP(B211,Classification!A:D,4,0)</f>
        <v>Tachykinin</v>
      </c>
      <c r="BB211" s="27" t="b">
        <f t="shared" ref="BB211" si="1371">AND(E211&lt;G211,OR(G211&lt;I211,I211="-"),OR(I211&lt;K211,I211="-"),OR(K211&lt;M211,K211="-"),M211&lt;O211,OR(O211&lt;Q211,Q211="-"),OR(Q211&lt;S211,Q211="-"),OR(S211&lt;U211,S211="-"),U211&lt;W211,OR(W211&lt;Y211,Y211="-"),OR(Y211&lt;AA211,Y211="-"),OR(AA211&lt;AC211,AA211="-"),AC211&lt;AE211,OR(AE211&lt;AG211,AG211="-"),OR(AG211&lt;AI211,AG211="-"),OR(AI211&lt;AK211,AI211="-"),AK211&lt;AM211,AM211&lt;AO211,AO211&lt;AQ211,AQ211&lt;AS211,AS211&lt;AU211,OR(AU211&lt;AW211,AW211="-"),OR(AW211&lt;AY211,AW211="-"))</f>
        <v>1</v>
      </c>
      <c r="BC211" s="23">
        <f t="shared" ref="BC211" si="1372">_xlfn.AGGREGATE(9,6,CH211:CS211)-_xlfn.AGGREGATE(9,6,BV211:CG211)+12</f>
        <v>242</v>
      </c>
      <c r="BD211" s="5" t="s">
        <v>23</v>
      </c>
      <c r="BE211" s="3" t="s">
        <v>1375</v>
      </c>
      <c r="BF211" s="119">
        <v>2.7</v>
      </c>
      <c r="BG211" s="49" t="s">
        <v>1</v>
      </c>
      <c r="BH211" s="49" t="s">
        <v>1</v>
      </c>
      <c r="BI211" s="1"/>
      <c r="BJ211" s="70" t="s">
        <v>1288</v>
      </c>
      <c r="BK211" s="57" t="s">
        <v>1288</v>
      </c>
      <c r="BL211" s="57" t="s">
        <v>1288</v>
      </c>
      <c r="BM211" s="57" t="s">
        <v>1288</v>
      </c>
      <c r="BN211" s="57" t="s">
        <v>1288</v>
      </c>
      <c r="BO211" s="57" t="s">
        <v>1288</v>
      </c>
      <c r="BP211" s="57" t="s">
        <v>1288</v>
      </c>
      <c r="BQ211" s="57" t="s">
        <v>1288</v>
      </c>
      <c r="BR211" s="57" t="s">
        <v>1288</v>
      </c>
      <c r="BS211" s="57" t="s">
        <v>1288</v>
      </c>
      <c r="BT211" s="57" t="s">
        <v>1288</v>
      </c>
      <c r="BU211" s="57" t="s">
        <v>1288</v>
      </c>
      <c r="BV211" s="70">
        <f t="shared" ref="BV211" si="1373">E211</f>
        <v>28</v>
      </c>
      <c r="BW211" s="71" t="str">
        <f t="shared" ref="BW211" si="1374">I211</f>
        <v>-</v>
      </c>
      <c r="BX211" s="72">
        <f t="shared" ref="BX211" si="1375">M211</f>
        <v>66</v>
      </c>
      <c r="BY211" s="71">
        <f t="shared" ref="BY211" si="1376">Q211</f>
        <v>97</v>
      </c>
      <c r="BZ211" s="72">
        <f t="shared" ref="BZ211" si="1377">U211</f>
        <v>101</v>
      </c>
      <c r="CA211" s="71" t="str">
        <f t="shared" ref="CA211" si="1378">Y211</f>
        <v>-</v>
      </c>
      <c r="CB211" s="72">
        <f t="shared" ref="CB211" si="1379">AC211</f>
        <v>143</v>
      </c>
      <c r="CC211" s="71">
        <f t="shared" ref="CC211" si="1380">AG211</f>
        <v>180</v>
      </c>
      <c r="CD211" s="72">
        <f t="shared" ref="CD211" si="1381">AK211</f>
        <v>190</v>
      </c>
      <c r="CE211" s="71">
        <f t="shared" ref="CE211" si="1382">AO211</f>
        <v>241</v>
      </c>
      <c r="CF211" s="72">
        <f t="shared" ref="CF211" si="1383">AS211</f>
        <v>283</v>
      </c>
      <c r="CG211" s="71">
        <f t="shared" ref="CG211" si="1384">AW211</f>
        <v>309</v>
      </c>
      <c r="CH211" s="70">
        <f t="shared" ref="CH211" si="1385">G211</f>
        <v>59</v>
      </c>
      <c r="CI211" s="71" t="str">
        <f t="shared" ref="CI211" si="1386">K211</f>
        <v>-</v>
      </c>
      <c r="CJ211" s="72">
        <f t="shared" ref="CJ211" si="1387">O211</f>
        <v>96</v>
      </c>
      <c r="CK211" s="72">
        <f t="shared" ref="CK211" si="1388">S211</f>
        <v>100</v>
      </c>
      <c r="CL211" s="72">
        <f t="shared" ref="CL211" si="1389">W211</f>
        <v>136</v>
      </c>
      <c r="CM211" s="72" t="str">
        <f t="shared" ref="CM211" si="1390">AA211</f>
        <v>-</v>
      </c>
      <c r="CN211" s="72">
        <f t="shared" ref="CN211" si="1391">AE211</f>
        <v>169</v>
      </c>
      <c r="CO211" s="72">
        <f t="shared" ref="CO211" si="1392">AI211</f>
        <v>182</v>
      </c>
      <c r="CP211" s="72">
        <f t="shared" ref="CP211" si="1393">AM211</f>
        <v>225</v>
      </c>
      <c r="CQ211" s="72">
        <f t="shared" ref="CQ211" si="1394">AQ211</f>
        <v>274</v>
      </c>
      <c r="CR211" s="72">
        <f t="shared" ref="CR211" si="1395">AU211</f>
        <v>308</v>
      </c>
      <c r="CS211" s="72">
        <f t="shared" ref="CS211" si="1396">AY211</f>
        <v>319</v>
      </c>
      <c r="CT211" s="23" t="e">
        <f t="shared" ref="CT211" si="1397">M211-K211</f>
        <v>#VALUE!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30" x14ac:dyDescent="0.2">
      <c r="A212" s="3" t="str">
        <f t="shared" ref="A212" si="1398">CONCATENATE(B212,"_",C212)</f>
        <v>nk1r_human_6J21</v>
      </c>
      <c r="B212" s="3" t="s">
        <v>314</v>
      </c>
      <c r="C212" s="134" t="s">
        <v>1564</v>
      </c>
      <c r="D212" s="3" t="str">
        <f>IFERROR(MID(VLOOKUP($B212,Seqs!$A:$B,2,0),E212,1),"")</f>
        <v>P</v>
      </c>
      <c r="E212" s="3">
        <v>28</v>
      </c>
      <c r="F212" s="3" t="str">
        <f>IFERROR(MID(VLOOKUP($B212,Seqs!$A:$B,2,0),G212,1),"")</f>
        <v>A</v>
      </c>
      <c r="G212" s="3">
        <v>59</v>
      </c>
      <c r="H212" s="3" t="str">
        <f>IFERROR(MID(VLOOKUP($B212,Seqs!$A:$B,2,0),I212,1),"")</f>
        <v/>
      </c>
      <c r="I212" s="23" t="s">
        <v>23</v>
      </c>
      <c r="J212" s="3" t="str">
        <f>IFERROR(MID(VLOOKUP($B212,Seqs!$A:$B,2,0),K212,1),"")</f>
        <v/>
      </c>
      <c r="K212" s="23" t="s">
        <v>23</v>
      </c>
      <c r="L212" s="3" t="str">
        <f>IFERROR(MID(VLOOKUP($B212,Seqs!$A:$B,2,0),M212,1),"")</f>
        <v>T</v>
      </c>
      <c r="M212" s="3">
        <v>65</v>
      </c>
      <c r="N212" s="3" t="str">
        <f>IFERROR(MID(VLOOKUP($B212,Seqs!$A:$B,2,0),O212,1),"")</f>
        <v>N</v>
      </c>
      <c r="O212" s="3">
        <v>96</v>
      </c>
      <c r="P212" s="3" t="str">
        <f>IFERROR(MID(VLOOKUP($B212,Seqs!$A:$B,2,0),Q212,1),"")</f>
        <v>E</v>
      </c>
      <c r="Q212" s="3">
        <v>97</v>
      </c>
      <c r="R212" s="3" t="str">
        <f>IFERROR(MID(VLOOKUP($B212,Seqs!$A:$B,2,0),S212,1),"")</f>
        <v>Y</v>
      </c>
      <c r="S212" s="3">
        <v>100</v>
      </c>
      <c r="T212" s="3" t="str">
        <f>IFERROR(MID(VLOOKUP($B212,Seqs!$A:$B,2,0),U212,1),"")</f>
        <v>G</v>
      </c>
      <c r="U212" s="3">
        <v>101</v>
      </c>
      <c r="V212" s="3" t="str">
        <f>IFERROR(MID(VLOOKUP($B212,Seqs!$A:$B,2,0),W212,1),"")</f>
        <v>H</v>
      </c>
      <c r="W212" s="3">
        <v>136</v>
      </c>
      <c r="X212" s="3" t="str">
        <f>IFERROR(MID(VLOOKUP($B212,Seqs!$A:$B,2,0),Y212,1),"")</f>
        <v/>
      </c>
      <c r="Y212" s="3" t="s">
        <v>23</v>
      </c>
      <c r="Z212" s="3" t="str">
        <f>IFERROR(MID(VLOOKUP($B212,Seqs!$A:$B,2,0),AA212,1),"")</f>
        <v/>
      </c>
      <c r="AA212" s="3" t="s">
        <v>23</v>
      </c>
      <c r="AB212" s="3" t="str">
        <f>IFERROR(MID(VLOOKUP($B212,Seqs!$A:$B,2,0),AC212,1),"")</f>
        <v>S</v>
      </c>
      <c r="AC212" s="3">
        <v>143</v>
      </c>
      <c r="AD212" s="3" t="str">
        <f>IFERROR(MID(VLOOKUP($B212,Seqs!$A:$B,2,0),AE212,1),"")</f>
        <v>S</v>
      </c>
      <c r="AE212" s="3">
        <v>169</v>
      </c>
      <c r="AF212" s="3" t="str">
        <f>IFERROR(MID(VLOOKUP($B212,Seqs!$A:$B,2,0),AG212,1),"")</f>
        <v>C</v>
      </c>
      <c r="AG212" s="3">
        <v>180</v>
      </c>
      <c r="AH212" s="3" t="str">
        <f>IFERROR(MID(VLOOKUP($B212,Seqs!$A:$B,2,0),AI212,1),"")</f>
        <v>I</v>
      </c>
      <c r="AI212" s="3">
        <v>182</v>
      </c>
      <c r="AJ212" s="3" t="str">
        <f>IFERROR(MID(VLOOKUP($B212,Seqs!$A:$B,2,0),AK212,1),"")</f>
        <v>I</v>
      </c>
      <c r="AK212" s="3">
        <v>191</v>
      </c>
      <c r="AL212" s="3" t="str">
        <f>IFERROR(MID(VLOOKUP($B212,Seqs!$A:$B,2,0),AM212,1),"")</f>
        <v>A</v>
      </c>
      <c r="AM212" s="3">
        <v>225</v>
      </c>
      <c r="AN212" s="3" t="str">
        <f>IFERROR(MID(VLOOKUP($B212,Seqs!$A:$B,2,0),AO212,1),"")</f>
        <v>A</v>
      </c>
      <c r="AO212" s="3">
        <v>242</v>
      </c>
      <c r="AP212" s="3" t="str">
        <f>IFERROR(MID(VLOOKUP($B212,Seqs!$A:$B,2,0),AQ212,1),"")</f>
        <v>N</v>
      </c>
      <c r="AQ212" s="3">
        <v>274</v>
      </c>
      <c r="AR212" s="3" t="str">
        <f>IFERROR(MID(VLOOKUP($B212,Seqs!$A:$B,2,0),AS212,1),"")</f>
        <v>F</v>
      </c>
      <c r="AS212" s="3">
        <v>282</v>
      </c>
      <c r="AT212" s="3" t="str">
        <f>IFERROR(MID(VLOOKUP($B212,Seqs!$A:$B,2,0),AU212,1),"")</f>
        <v>L</v>
      </c>
      <c r="AU212" s="3">
        <v>308</v>
      </c>
      <c r="AV212" s="3" t="str">
        <f>IFERROR(MID(VLOOKUP($B212,Seqs!$A:$B,2,0),AW212,1),"")</f>
        <v>N</v>
      </c>
      <c r="AW212" s="3">
        <v>309</v>
      </c>
      <c r="AX212" s="3" t="str">
        <f>IFERROR(MID(VLOOKUP($B212,Seqs!$A:$B,2,0),AY212,1),"")</f>
        <v>A</v>
      </c>
      <c r="AY212" s="3">
        <v>319</v>
      </c>
      <c r="AZ212" s="77" t="str">
        <f>VLOOKUP(B212,Classification!A:D,2,0)</f>
        <v>A</v>
      </c>
      <c r="BA212" s="94" t="str">
        <f>VLOOKUP(B212,Classification!A:D,4,0)</f>
        <v>Tachykinin</v>
      </c>
      <c r="BB212" s="27" t="b">
        <f t="shared" ref="BB212" si="1399">AND(E212&lt;G212,OR(G212&lt;I212,I212="-"),OR(I212&lt;K212,I212="-"),OR(K212&lt;M212,K212="-"),M212&lt;O212,OR(O212&lt;Q212,Q212="-"),OR(Q212&lt;S212,Q212="-"),OR(S212&lt;U212,S212="-"),U212&lt;W212,OR(W212&lt;Y212,Y212="-"),OR(Y212&lt;AA212,Y212="-"),OR(AA212&lt;AC212,AA212="-"),AC212&lt;AE212,OR(AE212&lt;AG212,AG212="-"),OR(AG212&lt;AI212,AG212="-"),OR(AI212&lt;AK212,AI212="-"),AK212&lt;AM212,AM212&lt;AO212,AO212&lt;AQ212,AQ212&lt;AS212,AS212&lt;AU212,OR(AU212&lt;AW212,AW212="-"),OR(AW212&lt;AY212,AW212="-"))</f>
        <v>1</v>
      </c>
      <c r="BC212" s="23">
        <f t="shared" ref="BC212" si="1400">_xlfn.AGGREGATE(9,6,CH212:CS212)-_xlfn.AGGREGATE(9,6,BV212:CG212)+12</f>
        <v>242</v>
      </c>
      <c r="BD212" s="5" t="s">
        <v>23</v>
      </c>
      <c r="BE212" s="3" t="s">
        <v>1375</v>
      </c>
      <c r="BF212" s="119">
        <v>3.2</v>
      </c>
      <c r="BG212" s="49" t="s">
        <v>1</v>
      </c>
      <c r="BH212" s="49" t="s">
        <v>1</v>
      </c>
      <c r="BI212" s="1"/>
      <c r="BJ212" s="70" t="s">
        <v>1288</v>
      </c>
      <c r="BK212" s="57" t="s">
        <v>1288</v>
      </c>
      <c r="BL212" s="57" t="s">
        <v>1288</v>
      </c>
      <c r="BM212" s="57" t="s">
        <v>1288</v>
      </c>
      <c r="BN212" s="57" t="s">
        <v>1288</v>
      </c>
      <c r="BO212" s="57" t="s">
        <v>1288</v>
      </c>
      <c r="BP212" s="57" t="s">
        <v>1288</v>
      </c>
      <c r="BQ212" s="57" t="s">
        <v>1288</v>
      </c>
      <c r="BR212" s="57" t="s">
        <v>1288</v>
      </c>
      <c r="BS212" s="57" t="s">
        <v>1288</v>
      </c>
      <c r="BT212" s="57" t="s">
        <v>1288</v>
      </c>
      <c r="BU212" s="57" t="s">
        <v>1288</v>
      </c>
      <c r="BV212" s="70">
        <f t="shared" ref="BV212" si="1401">E212</f>
        <v>28</v>
      </c>
      <c r="BW212" s="71" t="str">
        <f t="shared" ref="BW212" si="1402">I212</f>
        <v>-</v>
      </c>
      <c r="BX212" s="72">
        <f t="shared" ref="BX212" si="1403">M212</f>
        <v>65</v>
      </c>
      <c r="BY212" s="71">
        <f t="shared" ref="BY212" si="1404">Q212</f>
        <v>97</v>
      </c>
      <c r="BZ212" s="72">
        <f t="shared" ref="BZ212" si="1405">U212</f>
        <v>101</v>
      </c>
      <c r="CA212" s="71" t="str">
        <f t="shared" ref="CA212" si="1406">Y212</f>
        <v>-</v>
      </c>
      <c r="CB212" s="72">
        <f t="shared" ref="CB212" si="1407">AC212</f>
        <v>143</v>
      </c>
      <c r="CC212" s="71">
        <f t="shared" ref="CC212" si="1408">AG212</f>
        <v>180</v>
      </c>
      <c r="CD212" s="72">
        <f t="shared" ref="CD212" si="1409">AK212</f>
        <v>191</v>
      </c>
      <c r="CE212" s="71">
        <f t="shared" ref="CE212" si="1410">AO212</f>
        <v>242</v>
      </c>
      <c r="CF212" s="72">
        <f t="shared" ref="CF212" si="1411">AS212</f>
        <v>282</v>
      </c>
      <c r="CG212" s="71">
        <f t="shared" ref="CG212" si="1412">AW212</f>
        <v>309</v>
      </c>
      <c r="CH212" s="70">
        <f t="shared" ref="CH212" si="1413">G212</f>
        <v>59</v>
      </c>
      <c r="CI212" s="71" t="str">
        <f t="shared" ref="CI212" si="1414">K212</f>
        <v>-</v>
      </c>
      <c r="CJ212" s="72">
        <f t="shared" ref="CJ212" si="1415">O212</f>
        <v>96</v>
      </c>
      <c r="CK212" s="72">
        <f t="shared" ref="CK212" si="1416">S212</f>
        <v>100</v>
      </c>
      <c r="CL212" s="72">
        <f t="shared" ref="CL212" si="1417">W212</f>
        <v>136</v>
      </c>
      <c r="CM212" s="72" t="str">
        <f t="shared" ref="CM212" si="1418">AA212</f>
        <v>-</v>
      </c>
      <c r="CN212" s="72">
        <f t="shared" ref="CN212" si="1419">AE212</f>
        <v>169</v>
      </c>
      <c r="CO212" s="72">
        <f t="shared" ref="CO212" si="1420">AI212</f>
        <v>182</v>
      </c>
      <c r="CP212" s="72">
        <f t="shared" ref="CP212" si="1421">AM212</f>
        <v>225</v>
      </c>
      <c r="CQ212" s="72">
        <f t="shared" ref="CQ212" si="1422">AQ212</f>
        <v>274</v>
      </c>
      <c r="CR212" s="72">
        <f t="shared" ref="CR212" si="1423">AU212</f>
        <v>308</v>
      </c>
      <c r="CS212" s="72">
        <f t="shared" ref="CS212" si="1424">AY212</f>
        <v>319</v>
      </c>
      <c r="CT212" s="23" t="e">
        <f t="shared" ref="CT212" si="1425">M212-K212</f>
        <v>#VALUE!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</row>
    <row r="213" spans="1:1030" x14ac:dyDescent="0.2">
      <c r="A213" s="3" t="str">
        <f>CONCATENATE(B213,"_",C213)</f>
        <v>npy1r_human__wt</v>
      </c>
      <c r="B213" s="3" t="s">
        <v>325</v>
      </c>
      <c r="C213" s="3" t="s">
        <v>100</v>
      </c>
      <c r="D213" s="3" t="str">
        <f>IFERROR(MID(VLOOKUP($B213,Seqs!$A:$B,2,0),E213,1),"")</f>
        <v>P</v>
      </c>
      <c r="E213" s="3">
        <v>36</v>
      </c>
      <c r="F213" s="3" t="str">
        <f>IFERROR(MID(VLOOKUP($B213,Seqs!$A:$B,2,0),G213,1),"")</f>
        <v>Q</v>
      </c>
      <c r="G213" s="3">
        <v>68</v>
      </c>
      <c r="H213" s="3" t="str">
        <f>IFERROR(MID(VLOOKUP($B213,Seqs!$A:$B,2,0),I213,1),"")</f>
        <v>K</v>
      </c>
      <c r="I213" s="23">
        <v>69</v>
      </c>
      <c r="J213" s="3" t="str">
        <f>IFERROR(MID(VLOOKUP($B213,Seqs!$A:$B,2,0),K213,1),"")</f>
        <v>R</v>
      </c>
      <c r="K213" s="23">
        <v>72</v>
      </c>
      <c r="L213" s="3" t="str">
        <f>IFERROR(MID(VLOOKUP($B213,Seqs!$A:$B,2,0),M213,1),"")</f>
        <v>N</v>
      </c>
      <c r="M213" s="3">
        <v>73</v>
      </c>
      <c r="N213" s="3" t="str">
        <f>IFERROR(MID(VLOOKUP($B213,Seqs!$A:$B,2,0),O213,1),"")</f>
        <v>D</v>
      </c>
      <c r="O213" s="3">
        <v>104</v>
      </c>
      <c r="P213" s="3" t="str">
        <f>IFERROR(MID(VLOOKUP($B213,Seqs!$A:$B,2,0),Q213,1),"")</f>
        <v>H</v>
      </c>
      <c r="Q213" s="3">
        <v>105</v>
      </c>
      <c r="R213" s="3" t="str">
        <f>IFERROR(MID(VLOOKUP($B213,Seqs!$A:$B,2,0),S213,1),"")</f>
        <v>F</v>
      </c>
      <c r="S213" s="3">
        <v>108</v>
      </c>
      <c r="T213" s="3" t="str">
        <f>IFERROR(MID(VLOOKUP($B213,Seqs!$A:$B,2,0),U213,1),"")</f>
        <v>G</v>
      </c>
      <c r="U213" s="3">
        <v>109</v>
      </c>
      <c r="V213" s="3" t="str">
        <f>IFERROR(MID(VLOOKUP($B213,Seqs!$A:$B,2,0),W213,1),"")</f>
        <v>N</v>
      </c>
      <c r="W213" s="3">
        <v>144</v>
      </c>
      <c r="X213" s="3" t="str">
        <f>IFERROR(MID(VLOOKUP($B213,Seqs!$A:$B,2,0),Y213,1),"")</f>
        <v/>
      </c>
      <c r="Y213" s="3" t="s">
        <v>23</v>
      </c>
      <c r="Z213" s="3" t="str">
        <f>IFERROR(MID(VLOOKUP($B213,Seqs!$A:$B,2,0),AA213,1),"")</f>
        <v/>
      </c>
      <c r="AA213" s="3" t="s">
        <v>23</v>
      </c>
      <c r="AB213" s="3" t="str">
        <f>IFERROR(MID(VLOOKUP($B213,Seqs!$A:$B,2,0),AC213,1),"")</f>
        <v>N</v>
      </c>
      <c r="AC213" s="3">
        <v>151</v>
      </c>
      <c r="AD213" s="3" t="str">
        <f>IFERROR(MID(VLOOKUP($B213,Seqs!$A:$B,2,0),AE213,1),"")</f>
        <v>Q</v>
      </c>
      <c r="AE213" s="3">
        <v>177</v>
      </c>
      <c r="AF213" s="3" t="str">
        <f>IFERROR(MID(VLOOKUP($B213,Seqs!$A:$B,2,0),AG213,1),"")</f>
        <v>C</v>
      </c>
      <c r="AG213" s="3">
        <v>198</v>
      </c>
      <c r="AH213" s="3" t="str">
        <f>IFERROR(MID(VLOOKUP($B213,Seqs!$A:$B,2,0),AI213,1),"")</f>
        <v>D</v>
      </c>
      <c r="AI213" s="3">
        <v>200</v>
      </c>
      <c r="AJ213" s="3" t="str">
        <f>IFERROR(MID(VLOOKUP($B213,Seqs!$A:$B,2,0),AK213,1),"")</f>
        <v>S</v>
      </c>
      <c r="AK213" s="3">
        <v>204</v>
      </c>
      <c r="AL213" s="3" t="str">
        <f>IFERROR(MID(VLOOKUP($B213,Seqs!$A:$B,2,0),AM213,1),"")</f>
        <v>M</v>
      </c>
      <c r="AM213" s="3">
        <v>245</v>
      </c>
      <c r="AN213" s="3" t="str">
        <f>IFERROR(MID(VLOOKUP($B213,Seqs!$A:$B,2,0),AO213,1),"")</f>
        <v>D</v>
      </c>
      <c r="AO213" s="3">
        <v>250</v>
      </c>
      <c r="AP213" s="3" t="str">
        <f>IFERROR(MID(VLOOKUP($B213,Seqs!$A:$B,2,0),AQ213,1),"")</f>
        <v>N</v>
      </c>
      <c r="AQ213" s="3">
        <v>289</v>
      </c>
      <c r="AR213" s="3" t="str">
        <f>IFERROR(MID(VLOOKUP($B213,Seqs!$A:$B,2,0),AS213,1),"")</f>
        <v>T</v>
      </c>
      <c r="AS213" s="3">
        <v>295</v>
      </c>
      <c r="AT213" s="3" t="str">
        <f>IFERROR(MID(VLOOKUP($B213,Seqs!$A:$B,2,0),AU213,1),"")</f>
        <v>L</v>
      </c>
      <c r="AU213" s="3">
        <v>323</v>
      </c>
      <c r="AV213" s="3" t="str">
        <f>IFERROR(MID(VLOOKUP($B213,Seqs!$A:$B,2,0),AW213,1),"")</f>
        <v>N</v>
      </c>
      <c r="AW213" s="3">
        <v>324</v>
      </c>
      <c r="AX213" s="3" t="str">
        <f>IFERROR(MID(VLOOKUP($B213,Seqs!$A:$B,2,0),AY213,1),"")</f>
        <v>F</v>
      </c>
      <c r="AY213" s="3">
        <v>335</v>
      </c>
      <c r="AZ213" s="77" t="str">
        <f>VLOOKUP(B213,Classification!A:D,2,0)</f>
        <v>A</v>
      </c>
      <c r="BA213" s="94" t="str">
        <f>VLOOKUP(B213,Classification!A:D,4,0)</f>
        <v>NeuropeptideY</v>
      </c>
      <c r="BB213" s="27" t="b">
        <f>AND(E213&lt;G213,OR(G213&lt;I213,I213="-"),OR(I213&lt;K213,I213="-"),OR(K213&lt;M213,K213="-"),M213&lt;O213,OR(O213&lt;Q213,Q213="-"),OR(Q213&lt;S213,Q213="-"),OR(S213&lt;U213,S213="-"),U213&lt;W213,OR(W213&lt;Y213,Y213="-"),OR(Y213&lt;AA213,Y213="-"),OR(AA213&lt;AC213,AA213="-"),AC213&lt;AE213,OR(AE213&lt;AG213,AG213="-"),OR(AG213&lt;AI213,AG213="-"),OR(AI213&lt;AK213,AI213="-"),AK213&lt;AM213,AM213&lt;AO213,AO213&lt;AQ213,AQ213&lt;AS213,AS213&lt;AU213,OR(AU213&lt;AW213,AW213="-"),OR(AW213&lt;AY213,AW213="-"))</f>
        <v>1</v>
      </c>
      <c r="BC213" s="23">
        <f>_xlfn.AGGREGATE(9,6,CH213:CS213)-_xlfn.AGGREGATE(9,6,BV213:CG213)+12</f>
        <v>263</v>
      </c>
      <c r="BD213" s="5" t="s">
        <v>23</v>
      </c>
      <c r="BE213" s="3" t="s">
        <v>1375</v>
      </c>
      <c r="BF213" s="119" t="s">
        <v>23</v>
      </c>
      <c r="BG213" s="49" t="s">
        <v>1378</v>
      </c>
      <c r="BH213" s="49" t="s">
        <v>1378</v>
      </c>
      <c r="BI213" s="1"/>
      <c r="BJ213" s="70" t="s">
        <v>1288</v>
      </c>
      <c r="BK213" s="57" t="s">
        <v>1288</v>
      </c>
      <c r="BL213" s="57" t="s">
        <v>1288</v>
      </c>
      <c r="BM213" s="57" t="s">
        <v>1288</v>
      </c>
      <c r="BN213" s="57" t="s">
        <v>1288</v>
      </c>
      <c r="BO213" s="57" t="s">
        <v>1288</v>
      </c>
      <c r="BP213" s="57" t="s">
        <v>1288</v>
      </c>
      <c r="BQ213" s="57" t="s">
        <v>1288</v>
      </c>
      <c r="BR213" s="57" t="s">
        <v>1288</v>
      </c>
      <c r="BS213" s="57" t="s">
        <v>1288</v>
      </c>
      <c r="BT213" s="57" t="s">
        <v>1288</v>
      </c>
      <c r="BU213" s="57" t="s">
        <v>1288</v>
      </c>
      <c r="BV213" s="70">
        <f>E213</f>
        <v>36</v>
      </c>
      <c r="BW213" s="71">
        <f>I213</f>
        <v>69</v>
      </c>
      <c r="BX213" s="72">
        <f>M213</f>
        <v>73</v>
      </c>
      <c r="BY213" s="71">
        <f>Q213</f>
        <v>105</v>
      </c>
      <c r="BZ213" s="72">
        <f>U213</f>
        <v>109</v>
      </c>
      <c r="CA213" s="71" t="str">
        <f>Y213</f>
        <v>-</v>
      </c>
      <c r="CB213" s="72">
        <f>AC213</f>
        <v>151</v>
      </c>
      <c r="CC213" s="71">
        <f>AG213</f>
        <v>198</v>
      </c>
      <c r="CD213" s="72">
        <f>AK213</f>
        <v>204</v>
      </c>
      <c r="CE213" s="71">
        <f>AO213</f>
        <v>250</v>
      </c>
      <c r="CF213" s="72">
        <f>AS213</f>
        <v>295</v>
      </c>
      <c r="CG213" s="71">
        <f>AW213</f>
        <v>324</v>
      </c>
      <c r="CH213" s="70">
        <f>G213</f>
        <v>68</v>
      </c>
      <c r="CI213" s="71">
        <f>K213</f>
        <v>72</v>
      </c>
      <c r="CJ213" s="72">
        <f>O213</f>
        <v>104</v>
      </c>
      <c r="CK213" s="72">
        <f>S213</f>
        <v>108</v>
      </c>
      <c r="CL213" s="72">
        <f>W213</f>
        <v>144</v>
      </c>
      <c r="CM213" s="72" t="str">
        <f>AA213</f>
        <v>-</v>
      </c>
      <c r="CN213" s="72">
        <f>AE213</f>
        <v>177</v>
      </c>
      <c r="CO213" s="72">
        <f>AI213</f>
        <v>200</v>
      </c>
      <c r="CP213" s="72">
        <f>AM213</f>
        <v>245</v>
      </c>
      <c r="CQ213" s="72">
        <f>AQ213</f>
        <v>289</v>
      </c>
      <c r="CR213" s="72">
        <f>AU213</f>
        <v>323</v>
      </c>
      <c r="CS213" s="72">
        <f>AY213</f>
        <v>335</v>
      </c>
      <c r="CT213" s="23">
        <f>M213-K213</f>
        <v>1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30" x14ac:dyDescent="0.2">
      <c r="A214" s="3" t="str">
        <f>CONCATENATE(B214,"_",C214)</f>
        <v>npy1r_human_5ZBH</v>
      </c>
      <c r="B214" s="3" t="s">
        <v>325</v>
      </c>
      <c r="C214" s="3" t="s">
        <v>1491</v>
      </c>
      <c r="D214" s="3" t="str">
        <f>IFERROR(MID(VLOOKUP($B214,Seqs!$A:$B,2,0),E214,1),"")</f>
        <v>P</v>
      </c>
      <c r="E214" s="3">
        <v>36</v>
      </c>
      <c r="F214" s="3" t="str">
        <f>IFERROR(MID(VLOOKUP($B214,Seqs!$A:$B,2,0),G214,1),"")</f>
        <v>Q</v>
      </c>
      <c r="G214" s="3">
        <v>68</v>
      </c>
      <c r="H214" s="3" t="str">
        <f>IFERROR(MID(VLOOKUP($B214,Seqs!$A:$B,2,0),I214,1),"")</f>
        <v>K</v>
      </c>
      <c r="I214" s="23">
        <v>69</v>
      </c>
      <c r="J214" s="3" t="str">
        <f>IFERROR(MID(VLOOKUP($B214,Seqs!$A:$B,2,0),K214,1),"")</f>
        <v>R</v>
      </c>
      <c r="K214" s="23">
        <v>72</v>
      </c>
      <c r="L214" s="3" t="str">
        <f>IFERROR(MID(VLOOKUP($B214,Seqs!$A:$B,2,0),M214,1),"")</f>
        <v>N</v>
      </c>
      <c r="M214" s="3">
        <v>73</v>
      </c>
      <c r="N214" s="3" t="str">
        <f>IFERROR(MID(VLOOKUP($B214,Seqs!$A:$B,2,0),O214,1),"")</f>
        <v>M</v>
      </c>
      <c r="O214" s="3">
        <v>103</v>
      </c>
      <c r="P214" s="3" t="str">
        <f>IFERROR(MID(VLOOKUP($B214,Seqs!$A:$B,2,0),Q214,1),"")</f>
        <v>H</v>
      </c>
      <c r="Q214" s="3">
        <v>105</v>
      </c>
      <c r="R214" s="3" t="str">
        <f>IFERROR(MID(VLOOKUP($B214,Seqs!$A:$B,2,0),S214,1),"")</f>
        <v>F</v>
      </c>
      <c r="S214" s="3">
        <v>108</v>
      </c>
      <c r="T214" s="3" t="str">
        <f>IFERROR(MID(VLOOKUP($B214,Seqs!$A:$B,2,0),U214,1),"")</f>
        <v>G</v>
      </c>
      <c r="U214" s="3">
        <v>109</v>
      </c>
      <c r="V214" s="3" t="str">
        <f>IFERROR(MID(VLOOKUP($B214,Seqs!$A:$B,2,0),W214,1),"")</f>
        <v>N</v>
      </c>
      <c r="W214" s="3">
        <v>144</v>
      </c>
      <c r="X214" s="3" t="str">
        <f>IFERROR(MID(VLOOKUP($B214,Seqs!$A:$B,2,0),Y214,1),"")</f>
        <v/>
      </c>
      <c r="Y214" s="3" t="s">
        <v>23</v>
      </c>
      <c r="Z214" s="3" t="str">
        <f>IFERROR(MID(VLOOKUP($B214,Seqs!$A:$B,2,0),AA214,1),"")</f>
        <v/>
      </c>
      <c r="AA214" s="3" t="s">
        <v>23</v>
      </c>
      <c r="AB214" s="3" t="str">
        <f>IFERROR(MID(VLOOKUP($B214,Seqs!$A:$B,2,0),AC214,1),"")</f>
        <v>N</v>
      </c>
      <c r="AC214" s="3">
        <v>151</v>
      </c>
      <c r="AD214" s="3" t="str">
        <f>IFERROR(MID(VLOOKUP($B214,Seqs!$A:$B,2,0),AE214,1),"")</f>
        <v>Y</v>
      </c>
      <c r="AE214" s="3">
        <v>176</v>
      </c>
      <c r="AF214" s="3" t="str">
        <f>IFERROR(MID(VLOOKUP($B214,Seqs!$A:$B,2,0),AG214,1),"")</f>
        <v>C</v>
      </c>
      <c r="AG214" s="3">
        <v>198</v>
      </c>
      <c r="AH214" s="3" t="str">
        <f>IFERROR(MID(VLOOKUP($B214,Seqs!$A:$B,2,0),AI214,1),"")</f>
        <v>D</v>
      </c>
      <c r="AI214" s="3">
        <v>200</v>
      </c>
      <c r="AJ214" s="3" t="str">
        <f>IFERROR(MID(VLOOKUP($B214,Seqs!$A:$B,2,0),AK214,1),"")</f>
        <v>S</v>
      </c>
      <c r="AK214" s="3">
        <v>204</v>
      </c>
      <c r="AL214" s="3" t="str">
        <f>IFERROR(MID(VLOOKUP($B214,Seqs!$A:$B,2,0),AM214,1),"")</f>
        <v>R</v>
      </c>
      <c r="AM214" s="3">
        <v>241</v>
      </c>
      <c r="AN214" s="3" t="str">
        <f>IFERROR(MID(VLOOKUP($B214,Seqs!$A:$B,2,0),AO214,1),"")</f>
        <v>Y</v>
      </c>
      <c r="AO214" s="3">
        <v>253</v>
      </c>
      <c r="AP214" s="3" t="str">
        <f>IFERROR(MID(VLOOKUP($B214,Seqs!$A:$B,2,0),AQ214,1),"")</f>
        <v>N</v>
      </c>
      <c r="AQ214" s="3">
        <v>289</v>
      </c>
      <c r="AR214" s="3" t="str">
        <f>IFERROR(MID(VLOOKUP($B214,Seqs!$A:$B,2,0),AS214,1),"")</f>
        <v>T</v>
      </c>
      <c r="AS214" s="3">
        <v>295</v>
      </c>
      <c r="AT214" s="3" t="str">
        <f>IFERROR(MID(VLOOKUP($B214,Seqs!$A:$B,2,0),AU214,1),"")</f>
        <v>L</v>
      </c>
      <c r="AU214" s="3">
        <v>323</v>
      </c>
      <c r="AV214" s="3" t="str">
        <f>IFERROR(MID(VLOOKUP($B214,Seqs!$A:$B,2,0),AW214,1),"")</f>
        <v>N</v>
      </c>
      <c r="AW214" s="3">
        <v>324</v>
      </c>
      <c r="AX214" s="3" t="str">
        <f>IFERROR(MID(VLOOKUP($B214,Seqs!$A:$B,2,0),AY214,1),"")</f>
        <v>F</v>
      </c>
      <c r="AY214" s="3">
        <v>335</v>
      </c>
      <c r="AZ214" s="77" t="str">
        <f>VLOOKUP(B214,Classification!A:D,2,0)</f>
        <v>A</v>
      </c>
      <c r="BA214" s="94" t="str">
        <f>VLOOKUP(B214,Classification!A:D,4,0)</f>
        <v>NeuropeptideY</v>
      </c>
      <c r="BB214" s="27" t="b">
        <f>AND(E214&lt;G214,OR(G214&lt;I214,I214="-"),OR(I214&lt;K214,I214="-"),OR(K214&lt;M214,K214="-"),M214&lt;O214,OR(O214&lt;Q214,Q214="-"),OR(Q214&lt;S214,Q214="-"),OR(S214&lt;U214,S214="-"),U214&lt;W214,OR(W214&lt;Y214,Y214="-"),OR(Y214&lt;AA214,Y214="-"),OR(AA214&lt;AC214,AA214="-"),AC214&lt;AE214,OR(AE214&lt;AG214,AG214="-"),OR(AG214&lt;AI214,AG214="-"),OR(AI214&lt;AK214,AI214="-"),AK214&lt;AM214,AM214&lt;AO214,AO214&lt;AQ214,AQ214&lt;AS214,AS214&lt;AU214,OR(AU214&lt;AW214,AW214="-"),OR(AW214&lt;AY214,AW214="-"))</f>
        <v>1</v>
      </c>
      <c r="BC214" s="23">
        <f>_xlfn.AGGREGATE(9,6,CH214:CS214)-_xlfn.AGGREGATE(9,6,BV214:CG214)+12</f>
        <v>254</v>
      </c>
      <c r="BD214" s="5" t="s">
        <v>1377</v>
      </c>
      <c r="BE214" s="3" t="s">
        <v>1375</v>
      </c>
      <c r="BF214" s="119">
        <v>3</v>
      </c>
      <c r="BG214" s="49" t="s">
        <v>1</v>
      </c>
      <c r="BH214" s="49" t="s">
        <v>1</v>
      </c>
      <c r="BI214" s="1"/>
      <c r="BJ214" s="70" t="s">
        <v>1288</v>
      </c>
      <c r="BK214" s="57" t="s">
        <v>1288</v>
      </c>
      <c r="BL214" s="57" t="s">
        <v>1288</v>
      </c>
      <c r="BM214" s="57" t="s">
        <v>1288</v>
      </c>
      <c r="BN214" s="57" t="s">
        <v>1288</v>
      </c>
      <c r="BO214" s="57" t="s">
        <v>1288</v>
      </c>
      <c r="BP214" s="57" t="s">
        <v>1288</v>
      </c>
      <c r="BQ214" s="57" t="s">
        <v>1288</v>
      </c>
      <c r="BR214" s="57" t="s">
        <v>1288</v>
      </c>
      <c r="BS214" s="57" t="s">
        <v>1288</v>
      </c>
      <c r="BT214" s="57" t="s">
        <v>1288</v>
      </c>
      <c r="BU214" s="57" t="s">
        <v>1288</v>
      </c>
      <c r="BV214" s="70">
        <f>E214</f>
        <v>36</v>
      </c>
      <c r="BW214" s="71">
        <f>I214</f>
        <v>69</v>
      </c>
      <c r="BX214" s="72">
        <f>M214</f>
        <v>73</v>
      </c>
      <c r="BY214" s="71">
        <f>Q214</f>
        <v>105</v>
      </c>
      <c r="BZ214" s="72">
        <f>U214</f>
        <v>109</v>
      </c>
      <c r="CA214" s="71" t="str">
        <f>Y214</f>
        <v>-</v>
      </c>
      <c r="CB214" s="72">
        <f>AC214</f>
        <v>151</v>
      </c>
      <c r="CC214" s="71">
        <f>AG214</f>
        <v>198</v>
      </c>
      <c r="CD214" s="72">
        <f>AK214</f>
        <v>204</v>
      </c>
      <c r="CE214" s="71">
        <f>AO214</f>
        <v>253</v>
      </c>
      <c r="CF214" s="72">
        <f>AS214</f>
        <v>295</v>
      </c>
      <c r="CG214" s="71">
        <f>AW214</f>
        <v>324</v>
      </c>
      <c r="CH214" s="70">
        <f>G214</f>
        <v>68</v>
      </c>
      <c r="CI214" s="71">
        <f>K214</f>
        <v>72</v>
      </c>
      <c r="CJ214" s="72">
        <f>O214</f>
        <v>103</v>
      </c>
      <c r="CK214" s="72">
        <f>S214</f>
        <v>108</v>
      </c>
      <c r="CL214" s="72">
        <f>W214</f>
        <v>144</v>
      </c>
      <c r="CM214" s="72" t="str">
        <f>AA214</f>
        <v>-</v>
      </c>
      <c r="CN214" s="72">
        <f>AE214</f>
        <v>176</v>
      </c>
      <c r="CO214" s="72">
        <f>AI214</f>
        <v>200</v>
      </c>
      <c r="CP214" s="72">
        <f>AM214</f>
        <v>241</v>
      </c>
      <c r="CQ214" s="72">
        <f>AQ214</f>
        <v>289</v>
      </c>
      <c r="CR214" s="72">
        <f>AU214</f>
        <v>323</v>
      </c>
      <c r="CS214" s="72">
        <f>AY214</f>
        <v>335</v>
      </c>
      <c r="CT214" s="23">
        <f>M214-K214</f>
        <v>1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30" x14ac:dyDescent="0.2">
      <c r="A215" s="3" t="str">
        <f>CONCATENATE(B215,"_",C215)</f>
        <v>npy1r_human_5ZBQ</v>
      </c>
      <c r="B215" s="3" t="s">
        <v>325</v>
      </c>
      <c r="C215" s="3" t="s">
        <v>1490</v>
      </c>
      <c r="D215" s="3" t="str">
        <f>IFERROR(MID(VLOOKUP($B215,Seqs!$A:$B,2,0),E215,1),"")</f>
        <v>P</v>
      </c>
      <c r="E215" s="3">
        <v>36</v>
      </c>
      <c r="F215" s="3" t="str">
        <f>IFERROR(MID(VLOOKUP($B215,Seqs!$A:$B,2,0),G215,1),"")</f>
        <v>Q</v>
      </c>
      <c r="G215" s="3">
        <v>68</v>
      </c>
      <c r="H215" s="3" t="str">
        <f>IFERROR(MID(VLOOKUP($B215,Seqs!$A:$B,2,0),I215,1),"")</f>
        <v/>
      </c>
      <c r="I215" s="23" t="s">
        <v>23</v>
      </c>
      <c r="J215" s="3" t="str">
        <f>IFERROR(MID(VLOOKUP($B215,Seqs!$A:$B,2,0),K215,1),"")</f>
        <v/>
      </c>
      <c r="K215" s="23" t="s">
        <v>23</v>
      </c>
      <c r="L215" s="3" t="str">
        <f>IFERROR(MID(VLOOKUP($B215,Seqs!$A:$B,2,0),M215,1),"")</f>
        <v>V</v>
      </c>
      <c r="M215" s="3">
        <v>74</v>
      </c>
      <c r="N215" s="3" t="str">
        <f>IFERROR(MID(VLOOKUP($B215,Seqs!$A:$B,2,0),O215,1),"")</f>
        <v>D</v>
      </c>
      <c r="O215" s="3">
        <v>104</v>
      </c>
      <c r="P215" s="3" t="str">
        <f>IFERROR(MID(VLOOKUP($B215,Seqs!$A:$B,2,0),Q215,1),"")</f>
        <v>W</v>
      </c>
      <c r="Q215" s="3">
        <v>106</v>
      </c>
      <c r="R215" s="3" t="str">
        <f>IFERROR(MID(VLOOKUP($B215,Seqs!$A:$B,2,0),S215,1),"")</f>
        <v>F</v>
      </c>
      <c r="S215" s="3">
        <v>108</v>
      </c>
      <c r="T215" s="3" t="str">
        <f>IFERROR(MID(VLOOKUP($B215,Seqs!$A:$B,2,0),U215,1),"")</f>
        <v>G</v>
      </c>
      <c r="U215" s="3">
        <v>109</v>
      </c>
      <c r="V215" s="3" t="str">
        <f>IFERROR(MID(VLOOKUP($B215,Seqs!$A:$B,2,0),W215,1),"")</f>
        <v>I</v>
      </c>
      <c r="W215" s="3">
        <v>143</v>
      </c>
      <c r="X215" s="3" t="str">
        <f>IFERROR(MID(VLOOKUP($B215,Seqs!$A:$B,2,0),Y215,1),"")</f>
        <v/>
      </c>
      <c r="Y215" s="3" t="s">
        <v>23</v>
      </c>
      <c r="Z215" s="3" t="str">
        <f>IFERROR(MID(VLOOKUP($B215,Seqs!$A:$B,2,0),AA215,1),"")</f>
        <v/>
      </c>
      <c r="AA215" s="3" t="s">
        <v>23</v>
      </c>
      <c r="AB215" s="3" t="str">
        <f>IFERROR(MID(VLOOKUP($B215,Seqs!$A:$B,2,0),AC215,1),"")</f>
        <v>N</v>
      </c>
      <c r="AC215" s="3">
        <v>151</v>
      </c>
      <c r="AD215" s="3" t="str">
        <f>IFERROR(MID(VLOOKUP($B215,Seqs!$A:$B,2,0),AE215,1),"")</f>
        <v>Q</v>
      </c>
      <c r="AE215" s="3">
        <v>177</v>
      </c>
      <c r="AF215" s="3" t="str">
        <f>IFERROR(MID(VLOOKUP($B215,Seqs!$A:$B,2,0),AG215,1),"")</f>
        <v>C</v>
      </c>
      <c r="AG215" s="3">
        <v>198</v>
      </c>
      <c r="AH215" s="3" t="str">
        <f>IFERROR(MID(VLOOKUP($B215,Seqs!$A:$B,2,0),AI215,1),"")</f>
        <v>D</v>
      </c>
      <c r="AI215" s="3">
        <v>200</v>
      </c>
      <c r="AJ215" s="3" t="str">
        <f>IFERROR(MID(VLOOKUP($B215,Seqs!$A:$B,2,0),AK215,1),"")</f>
        <v>S</v>
      </c>
      <c r="AK215" s="3">
        <v>204</v>
      </c>
      <c r="AL215" s="3" t="str">
        <f>IFERROR(MID(VLOOKUP($B215,Seqs!$A:$B,2,0),AM215,1),"")</f>
        <v>R</v>
      </c>
      <c r="AM215" s="3">
        <v>241</v>
      </c>
      <c r="AN215" s="3" t="str">
        <f>IFERROR(MID(VLOOKUP($B215,Seqs!$A:$B,2,0),AO215,1),"")</f>
        <v>T</v>
      </c>
      <c r="AO215" s="3">
        <v>258</v>
      </c>
      <c r="AP215" s="3" t="str">
        <f>IFERROR(MID(VLOOKUP($B215,Seqs!$A:$B,2,0),AQ215,1),"")</f>
        <v>N</v>
      </c>
      <c r="AQ215" s="3">
        <v>289</v>
      </c>
      <c r="AR215" s="3" t="str">
        <f>IFERROR(MID(VLOOKUP($B215,Seqs!$A:$B,2,0),AS215,1),"")</f>
        <v>T</v>
      </c>
      <c r="AS215" s="3">
        <v>295</v>
      </c>
      <c r="AT215" s="3" t="str">
        <f>IFERROR(MID(VLOOKUP($B215,Seqs!$A:$B,2,0),AU215,1),"")</f>
        <v>L</v>
      </c>
      <c r="AU215" s="3">
        <v>323</v>
      </c>
      <c r="AV215" s="3" t="str">
        <f>IFERROR(MID(VLOOKUP($B215,Seqs!$A:$B,2,0),AW215,1),"")</f>
        <v>N</v>
      </c>
      <c r="AW215" s="3">
        <v>324</v>
      </c>
      <c r="AX215" s="3" t="str">
        <f>IFERROR(MID(VLOOKUP($B215,Seqs!$A:$B,2,0),AY215,1),"")</f>
        <v>F</v>
      </c>
      <c r="AY215" s="3">
        <v>335</v>
      </c>
      <c r="AZ215" s="77" t="str">
        <f>VLOOKUP(B215,Classification!A:D,2,0)</f>
        <v>A</v>
      </c>
      <c r="BA215" s="94" t="str">
        <f>VLOOKUP(B215,Classification!A:D,4,0)</f>
        <v>NeuropeptideY</v>
      </c>
      <c r="BB215" s="27" t="b">
        <f>AND(E215&lt;G215,OR(G215&lt;I215,I215="-"),OR(I215&lt;K215,I215="-"),OR(K215&lt;M215,K215="-"),M215&lt;O215,OR(O215&lt;Q215,Q215="-"),OR(Q215&lt;S215,Q215="-"),OR(S215&lt;U215,S215="-"),U215&lt;W215,OR(W215&lt;Y215,Y215="-"),OR(Y215&lt;AA215,Y215="-"),OR(AA215&lt;AC215,AA215="-"),AC215&lt;AE215,OR(AE215&lt;AG215,AG215="-"),OR(AG215&lt;AI215,AG215="-"),OR(AI215&lt;AK215,AI215="-"),AK215&lt;AM215,AM215&lt;AO215,AO215&lt;AQ215,AQ215&lt;AS215,AS215&lt;AU215,OR(AU215&lt;AW215,AW215="-"),OR(AW215&lt;AY215,AW215="-"))</f>
        <v>1</v>
      </c>
      <c r="BC215" s="23">
        <f>_xlfn.AGGREGATE(9,6,CH215:CS215)-_xlfn.AGGREGATE(9,6,BV215:CG215)+12</f>
        <v>245</v>
      </c>
      <c r="BD215" s="5" t="s">
        <v>23</v>
      </c>
      <c r="BE215" s="3" t="s">
        <v>1375</v>
      </c>
      <c r="BF215" s="119">
        <v>2.7</v>
      </c>
      <c r="BG215" s="49" t="s">
        <v>1</v>
      </c>
      <c r="BH215" s="49" t="s">
        <v>1</v>
      </c>
      <c r="BI215" s="1"/>
      <c r="BJ215" s="70" t="s">
        <v>1288</v>
      </c>
      <c r="BK215" s="57" t="s">
        <v>1288</v>
      </c>
      <c r="BL215" s="57" t="s">
        <v>1288</v>
      </c>
      <c r="BM215" s="57" t="s">
        <v>1288</v>
      </c>
      <c r="BN215" s="57" t="s">
        <v>1288</v>
      </c>
      <c r="BO215" s="57" t="s">
        <v>1288</v>
      </c>
      <c r="BP215" s="57" t="s">
        <v>1288</v>
      </c>
      <c r="BQ215" s="57" t="s">
        <v>1288</v>
      </c>
      <c r="BR215" s="57" t="s">
        <v>1288</v>
      </c>
      <c r="BS215" s="57" t="s">
        <v>1288</v>
      </c>
      <c r="BT215" s="57" t="s">
        <v>1288</v>
      </c>
      <c r="BU215" s="57" t="s">
        <v>1288</v>
      </c>
      <c r="BV215" s="70">
        <f>E215</f>
        <v>36</v>
      </c>
      <c r="BW215" s="71" t="str">
        <f>I215</f>
        <v>-</v>
      </c>
      <c r="BX215" s="72">
        <f>M215</f>
        <v>74</v>
      </c>
      <c r="BY215" s="71">
        <f>Q215</f>
        <v>106</v>
      </c>
      <c r="BZ215" s="72">
        <f>U215</f>
        <v>109</v>
      </c>
      <c r="CA215" s="71" t="str">
        <f>Y215</f>
        <v>-</v>
      </c>
      <c r="CB215" s="72">
        <f>AC215</f>
        <v>151</v>
      </c>
      <c r="CC215" s="71">
        <f>AG215</f>
        <v>198</v>
      </c>
      <c r="CD215" s="72">
        <f>AK215</f>
        <v>204</v>
      </c>
      <c r="CE215" s="71">
        <f>AO215</f>
        <v>258</v>
      </c>
      <c r="CF215" s="72">
        <f>AS215</f>
        <v>295</v>
      </c>
      <c r="CG215" s="71">
        <f>AW215</f>
        <v>324</v>
      </c>
      <c r="CH215" s="70">
        <f>G215</f>
        <v>68</v>
      </c>
      <c r="CI215" s="71" t="str">
        <f>K215</f>
        <v>-</v>
      </c>
      <c r="CJ215" s="72">
        <f>O215</f>
        <v>104</v>
      </c>
      <c r="CK215" s="72">
        <f>S215</f>
        <v>108</v>
      </c>
      <c r="CL215" s="72">
        <f>W215</f>
        <v>143</v>
      </c>
      <c r="CM215" s="72" t="str">
        <f>AA215</f>
        <v>-</v>
      </c>
      <c r="CN215" s="72">
        <f>AE215</f>
        <v>177</v>
      </c>
      <c r="CO215" s="72">
        <f>AI215</f>
        <v>200</v>
      </c>
      <c r="CP215" s="72">
        <f>AM215</f>
        <v>241</v>
      </c>
      <c r="CQ215" s="72">
        <f>AQ215</f>
        <v>289</v>
      </c>
      <c r="CR215" s="72">
        <f>AU215</f>
        <v>323</v>
      </c>
      <c r="CS215" s="72">
        <f>AY215</f>
        <v>335</v>
      </c>
      <c r="CT215" s="23" t="e">
        <f>M215-K215</f>
        <v>#VALUE!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</row>
    <row r="216" spans="1:1030" x14ac:dyDescent="0.2">
      <c r="A216" s="3" t="str">
        <f t="shared" si="1005"/>
        <v>ntr1_rat__wt</v>
      </c>
      <c r="B216" s="3" t="s">
        <v>914</v>
      </c>
      <c r="C216" s="3" t="s">
        <v>100</v>
      </c>
      <c r="D216" s="3" t="str">
        <f>IFERROR(MID(VLOOKUP($B216,Seqs!$A:$B,2,0),E216,1),"")</f>
        <v>I</v>
      </c>
      <c r="E216" s="3">
        <v>61</v>
      </c>
      <c r="F216" s="3" t="str">
        <f>IFERROR(MID(VLOOKUP($B216,Seqs!$A:$B,2,0),G216,1),"")</f>
        <v>K</v>
      </c>
      <c r="G216" s="3">
        <v>92</v>
      </c>
      <c r="H216" s="3" t="str">
        <f>IFERROR(MID(VLOOKUP($B216,Seqs!$A:$B,2,0),I216,1),"")</f>
        <v>K</v>
      </c>
      <c r="I216" s="23">
        <v>93</v>
      </c>
      <c r="J216" s="3" t="str">
        <f>IFERROR(MID(VLOOKUP($B216,Seqs!$A:$B,2,0),K216,1),"")</f>
        <v>Q</v>
      </c>
      <c r="K216" s="23">
        <v>96</v>
      </c>
      <c r="L216" s="3" t="str">
        <f>IFERROR(MID(VLOOKUP($B216,Seqs!$A:$B,2,0),M216,1),"")</f>
        <v>S</v>
      </c>
      <c r="M216" s="3">
        <v>97</v>
      </c>
      <c r="N216" s="3" t="str">
        <f>IFERROR(MID(VLOOKUP($B216,Seqs!$A:$B,2,0),O216,1),"")</f>
        <v>V</v>
      </c>
      <c r="O216" s="3">
        <v>131</v>
      </c>
      <c r="P216" s="3" t="str">
        <f>IFERROR(MID(VLOOKUP($B216,Seqs!$A:$B,2,0),Q216,1),"")</f>
        <v>P</v>
      </c>
      <c r="Q216" s="3">
        <v>134</v>
      </c>
      <c r="R216" s="3" t="str">
        <f>IFERROR(MID(VLOOKUP($B216,Seqs!$A:$B,2,0),S216,1),"")</f>
        <v>F</v>
      </c>
      <c r="S216" s="3">
        <v>137</v>
      </c>
      <c r="T216" s="3" t="str">
        <f>IFERROR(MID(VLOOKUP($B216,Seqs!$A:$B,2,0),U216,1),"")</f>
        <v>G</v>
      </c>
      <c r="U216" s="3">
        <v>138</v>
      </c>
      <c r="V216" s="3" t="str">
        <f>IFERROR(MID(VLOOKUP($B216,Seqs!$A:$B,2,0),W216,1),"")</f>
        <v>H</v>
      </c>
      <c r="W216" s="3">
        <v>173</v>
      </c>
      <c r="X216" s="3" t="str">
        <f>IFERROR(MID(VLOOKUP($B216,Seqs!$A:$B,2,0),Y216,1),"")</f>
        <v>P</v>
      </c>
      <c r="Y216" s="3">
        <v>174</v>
      </c>
      <c r="Z216" s="3" t="str">
        <f>IFERROR(MID(VLOOKUP($B216,Seqs!$A:$B,2,0),AA216,1),"")</f>
        <v>M</v>
      </c>
      <c r="AA216" s="3">
        <v>181</v>
      </c>
      <c r="AB216" s="3" t="str">
        <f>IFERROR(MID(VLOOKUP($B216,Seqs!$A:$B,2,0),AC216,1),"")</f>
        <v>S</v>
      </c>
      <c r="AC216" s="9">
        <v>182</v>
      </c>
      <c r="AD216" s="3" t="str">
        <f>IFERROR(MID(VLOOKUP($B216,Seqs!$A:$B,2,0),AE216,1),"")</f>
        <v>M</v>
      </c>
      <c r="AE216" s="3">
        <v>208</v>
      </c>
      <c r="AF216" s="3" t="str">
        <f>IFERROR(MID(VLOOKUP($B216,Seqs!$A:$B,2,0),AG216,1),"")</f>
        <v>C</v>
      </c>
      <c r="AG216" s="3">
        <v>225</v>
      </c>
      <c r="AH216" s="3" t="str">
        <f>IFERROR(MID(VLOOKUP($B216,Seqs!$A:$B,2,0),AI216,1),"")</f>
        <v>P</v>
      </c>
      <c r="AI216" s="3">
        <v>227</v>
      </c>
      <c r="AJ216" s="3" t="str">
        <f>IFERROR(MID(VLOOKUP($B216,Seqs!$A:$B,2,0),AK216,1),"")</f>
        <v>T</v>
      </c>
      <c r="AK216" s="3">
        <v>231</v>
      </c>
      <c r="AL216" s="3" t="str">
        <f>IFERROR(MID(VLOOKUP($B216,Seqs!$A:$B,2,0),AM216,1),"")</f>
        <v>G</v>
      </c>
      <c r="AM216" s="3">
        <v>275</v>
      </c>
      <c r="AN216" s="3" t="str">
        <f>IFERROR(MID(VLOOKUP($B216,Seqs!$A:$B,2,0),AO216,1),"")</f>
        <v>P</v>
      </c>
      <c r="AO216" s="3">
        <v>297</v>
      </c>
      <c r="AP216" s="3" t="str">
        <f>IFERROR(MID(VLOOKUP($B216,Seqs!$A:$B,2,0),AQ216,1),"")</f>
        <v>I</v>
      </c>
      <c r="AQ216" s="3">
        <v>334</v>
      </c>
      <c r="AR216" s="3" t="str">
        <f>IFERROR(MID(VLOOKUP($B216,Seqs!$A:$B,2,0),AS216,1),"")</f>
        <v>T</v>
      </c>
      <c r="AS216" s="3">
        <v>340</v>
      </c>
      <c r="AT216" s="3" t="str">
        <f>IFERROR(MID(VLOOKUP($B216,Seqs!$A:$B,2,0),AU216,1),"")</f>
        <v>V</v>
      </c>
      <c r="AU216" s="3">
        <v>372</v>
      </c>
      <c r="AV216" s="3" t="str">
        <f>IFERROR(MID(VLOOKUP($B216,Seqs!$A:$B,2,0),AW216,1),"")</f>
        <v>S</v>
      </c>
      <c r="AW216" s="3">
        <v>373</v>
      </c>
      <c r="AX216" s="3" t="str">
        <f>IFERROR(MID(VLOOKUP($B216,Seqs!$A:$B,2,0),AY216,1),"")</f>
        <v>L</v>
      </c>
      <c r="AY216" s="3">
        <v>384</v>
      </c>
      <c r="AZ216" s="77" t="str">
        <f>VLOOKUP(B216,Classification!A:D,2,0)</f>
        <v>A</v>
      </c>
      <c r="BA216" s="94" t="str">
        <f>VLOOKUP(B216,Classification!A:D,4,0)</f>
        <v>Neurotensin</v>
      </c>
      <c r="BB216" s="27" t="b">
        <f t="shared" si="1006"/>
        <v>1</v>
      </c>
      <c r="BC216" s="23">
        <f t="shared" si="979"/>
        <v>277</v>
      </c>
      <c r="BD216" s="56" t="s">
        <v>23</v>
      </c>
      <c r="BE216" s="3" t="s">
        <v>23</v>
      </c>
      <c r="BF216" s="119" t="s">
        <v>23</v>
      </c>
      <c r="BG216" s="49" t="s">
        <v>1373</v>
      </c>
      <c r="BH216" s="49" t="s">
        <v>1378</v>
      </c>
      <c r="BI216" s="3" t="s">
        <v>1170</v>
      </c>
      <c r="BJ216" s="70" t="s">
        <v>1288</v>
      </c>
      <c r="BK216" s="57" t="s">
        <v>1288</v>
      </c>
      <c r="BL216" s="57" t="s">
        <v>1288</v>
      </c>
      <c r="BM216" s="57" t="s">
        <v>1288</v>
      </c>
      <c r="BN216" s="57" t="s">
        <v>1288</v>
      </c>
      <c r="BO216" s="57" t="s">
        <v>1288</v>
      </c>
      <c r="BP216" s="57" t="s">
        <v>1288</v>
      </c>
      <c r="BQ216" s="57" t="s">
        <v>1288</v>
      </c>
      <c r="BR216" s="57" t="s">
        <v>1288</v>
      </c>
      <c r="BS216" s="57" t="s">
        <v>1288</v>
      </c>
      <c r="BT216" s="57" t="s">
        <v>1288</v>
      </c>
      <c r="BU216" s="57" t="s">
        <v>1288</v>
      </c>
      <c r="BV216" s="70">
        <f t="shared" si="980"/>
        <v>61</v>
      </c>
      <c r="BW216" s="71">
        <f t="shared" si="981"/>
        <v>93</v>
      </c>
      <c r="BX216" s="72">
        <f t="shared" si="982"/>
        <v>97</v>
      </c>
      <c r="BY216" s="71">
        <f t="shared" si="983"/>
        <v>134</v>
      </c>
      <c r="BZ216" s="72">
        <f t="shared" si="984"/>
        <v>138</v>
      </c>
      <c r="CA216" s="71">
        <f t="shared" si="985"/>
        <v>174</v>
      </c>
      <c r="CB216" s="72">
        <f t="shared" si="986"/>
        <v>182</v>
      </c>
      <c r="CC216" s="71">
        <f t="shared" si="987"/>
        <v>225</v>
      </c>
      <c r="CD216" s="72">
        <f t="shared" si="988"/>
        <v>231</v>
      </c>
      <c r="CE216" s="71">
        <f t="shared" si="989"/>
        <v>297</v>
      </c>
      <c r="CF216" s="72">
        <f t="shared" si="990"/>
        <v>340</v>
      </c>
      <c r="CG216" s="71">
        <f t="shared" si="991"/>
        <v>373</v>
      </c>
      <c r="CH216" s="70">
        <f t="shared" si="992"/>
        <v>92</v>
      </c>
      <c r="CI216" s="71">
        <f t="shared" si="993"/>
        <v>96</v>
      </c>
      <c r="CJ216" s="72">
        <f t="shared" si="994"/>
        <v>131</v>
      </c>
      <c r="CK216" s="72">
        <f t="shared" si="995"/>
        <v>137</v>
      </c>
      <c r="CL216" s="72">
        <f t="shared" si="996"/>
        <v>173</v>
      </c>
      <c r="CM216" s="72">
        <f t="shared" si="997"/>
        <v>181</v>
      </c>
      <c r="CN216" s="72">
        <f t="shared" si="998"/>
        <v>208</v>
      </c>
      <c r="CO216" s="72">
        <f t="shared" si="999"/>
        <v>227</v>
      </c>
      <c r="CP216" s="72">
        <f t="shared" si="1000"/>
        <v>275</v>
      </c>
      <c r="CQ216" s="72">
        <f t="shared" si="1001"/>
        <v>334</v>
      </c>
      <c r="CR216" s="72">
        <f t="shared" si="1002"/>
        <v>372</v>
      </c>
      <c r="CS216" s="72">
        <f t="shared" si="1003"/>
        <v>384</v>
      </c>
      <c r="CT216" s="23">
        <f t="shared" si="1004"/>
        <v>1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</row>
    <row r="217" spans="1:1030" x14ac:dyDescent="0.2">
      <c r="A217" s="3" t="str">
        <f t="shared" si="1005"/>
        <v>ntr1_rat_4BUO</v>
      </c>
      <c r="B217" s="3" t="s">
        <v>914</v>
      </c>
      <c r="C217" s="3" t="s">
        <v>1333</v>
      </c>
      <c r="D217" s="3" t="str">
        <f>IFERROR(MID(VLOOKUP($B217,Seqs!$A:$B,2,0),E217,1),"")</f>
        <v>I</v>
      </c>
      <c r="E217" s="3">
        <v>61</v>
      </c>
      <c r="F217" s="3" t="str">
        <f>IFERROR(MID(VLOOKUP($B217,Seqs!$A:$B,2,0),G217,1),"")</f>
        <v>R</v>
      </c>
      <c r="G217" s="3">
        <v>91</v>
      </c>
      <c r="H217" s="3" t="str">
        <f>IFERROR(MID(VLOOKUP($B217,Seqs!$A:$B,2,0),I217,1),"")</f>
        <v/>
      </c>
      <c r="I217" s="23" t="s">
        <v>23</v>
      </c>
      <c r="J217" s="3" t="str">
        <f>IFERROR(MID(VLOOKUP($B217,Seqs!$A:$B,2,0),K217,1),"")</f>
        <v/>
      </c>
      <c r="K217" s="23" t="s">
        <v>23</v>
      </c>
      <c r="L217" s="3" t="str">
        <f>IFERROR(MID(VLOOKUP($B217,Seqs!$A:$B,2,0),M217,1),"")</f>
        <v>S</v>
      </c>
      <c r="M217" s="3">
        <v>97</v>
      </c>
      <c r="N217" s="3" t="str">
        <f>IFERROR(MID(VLOOKUP($B217,Seqs!$A:$B,2,0),O217,1),"")</f>
        <v>V</v>
      </c>
      <c r="O217" s="3">
        <v>131</v>
      </c>
      <c r="P217" s="3" t="str">
        <f>IFERROR(MID(VLOOKUP($B217,Seqs!$A:$B,2,0),Q217,1),"")</f>
        <v>P</v>
      </c>
      <c r="Q217" s="3">
        <v>134</v>
      </c>
      <c r="R217" s="3" t="str">
        <f>IFERROR(MID(VLOOKUP($B217,Seqs!$A:$B,2,0),S217,1),"")</f>
        <v>F</v>
      </c>
      <c r="S217" s="3">
        <v>137</v>
      </c>
      <c r="T217" s="3" t="str">
        <f>IFERROR(MID(VLOOKUP($B217,Seqs!$A:$B,2,0),U217,1),"")</f>
        <v>G</v>
      </c>
      <c r="U217" s="3">
        <v>138</v>
      </c>
      <c r="V217" s="3" t="str">
        <f>IFERROR(MID(VLOOKUP($B217,Seqs!$A:$B,2,0),W217,1),"")</f>
        <v>H</v>
      </c>
      <c r="W217" s="3">
        <v>173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S</v>
      </c>
      <c r="AC217" s="9">
        <v>182</v>
      </c>
      <c r="AD217" s="3" t="str">
        <f>IFERROR(MID(VLOOKUP($B217,Seqs!$A:$B,2,0),AE217,1),"")</f>
        <v>M</v>
      </c>
      <c r="AE217" s="3">
        <v>208</v>
      </c>
      <c r="AF217" s="3" t="str">
        <f>IFERROR(MID(VLOOKUP($B217,Seqs!$A:$B,2,0),AG217,1),"")</f>
        <v>C</v>
      </c>
      <c r="AG217" s="3">
        <v>225</v>
      </c>
      <c r="AH217" s="3" t="str">
        <f>IFERROR(MID(VLOOKUP($B217,Seqs!$A:$B,2,0),AI217,1),"")</f>
        <v>P</v>
      </c>
      <c r="AI217" s="3">
        <v>227</v>
      </c>
      <c r="AJ217" s="3" t="str">
        <f>IFERROR(MID(VLOOKUP($B217,Seqs!$A:$B,2,0),AK217,1),"")</f>
        <v>T</v>
      </c>
      <c r="AK217" s="3">
        <v>231</v>
      </c>
      <c r="AL217" s="3" t="str">
        <f>IFERROR(MID(VLOOKUP($B217,Seqs!$A:$B,2,0),AM217,1),"")</f>
        <v>Q</v>
      </c>
      <c r="AM217" s="3">
        <v>270</v>
      </c>
      <c r="AN217" s="3" t="str">
        <f>IFERROR(MID(VLOOKUP($B217,Seqs!$A:$B,2,0),AO217,1),"")</f>
        <v>G</v>
      </c>
      <c r="AO217" s="3">
        <v>298</v>
      </c>
      <c r="AP217" s="3" t="str">
        <f>IFERROR(MID(VLOOKUP($B217,Seqs!$A:$B,2,0),AQ217,1),"")</f>
        <v>I</v>
      </c>
      <c r="AQ217" s="3">
        <v>334</v>
      </c>
      <c r="AR217" s="3" t="str">
        <f>IFERROR(MID(VLOOKUP($B217,Seqs!$A:$B,2,0),AS217,1),"")</f>
        <v>T</v>
      </c>
      <c r="AS217" s="3">
        <v>340</v>
      </c>
      <c r="AT217" s="3" t="str">
        <f>IFERROR(MID(VLOOKUP($B217,Seqs!$A:$B,2,0),AU217,1),"")</f>
        <v>V</v>
      </c>
      <c r="AU217" s="3">
        <v>372</v>
      </c>
      <c r="AV217" s="3" t="str">
        <f>IFERROR(MID(VLOOKUP($B217,Seqs!$A:$B,2,0),AW217,1),"")</f>
        <v>S</v>
      </c>
      <c r="AW217" s="3">
        <v>373</v>
      </c>
      <c r="AX217" s="3" t="str">
        <f>IFERROR(MID(VLOOKUP($B217,Seqs!$A:$B,2,0),AY217,1),"")</f>
        <v>L</v>
      </c>
      <c r="AY217" s="3">
        <v>384</v>
      </c>
      <c r="AZ217" s="77" t="str">
        <f>VLOOKUP(B217,Classification!A:D,2,0)</f>
        <v>A</v>
      </c>
      <c r="BA217" s="94" t="str">
        <f>VLOOKUP(B217,Classification!A:D,4,0)</f>
        <v>Neurotensin</v>
      </c>
      <c r="BB217" s="27" t="b">
        <f t="shared" si="1006"/>
        <v>1</v>
      </c>
      <c r="BC217" s="23">
        <f t="shared" si="979"/>
        <v>260</v>
      </c>
      <c r="BD217" s="16" t="s">
        <v>1377</v>
      </c>
      <c r="BE217" s="3" t="s">
        <v>1375</v>
      </c>
      <c r="BF217" s="119">
        <v>2.75</v>
      </c>
      <c r="BG217" s="49" t="s">
        <v>1378</v>
      </c>
      <c r="BH217" s="49" t="s">
        <v>1378</v>
      </c>
      <c r="BI217" s="1"/>
      <c r="BJ217" s="70" t="s">
        <v>1288</v>
      </c>
      <c r="BK217" s="57" t="s">
        <v>1288</v>
      </c>
      <c r="BL217" s="57" t="s">
        <v>1288</v>
      </c>
      <c r="BM217" s="57" t="s">
        <v>1288</v>
      </c>
      <c r="BN217" s="57" t="s">
        <v>1288</v>
      </c>
      <c r="BO217" s="57" t="s">
        <v>1288</v>
      </c>
      <c r="BP217" s="57" t="s">
        <v>1288</v>
      </c>
      <c r="BQ217" s="57" t="s">
        <v>1288</v>
      </c>
      <c r="BR217" s="57" t="s">
        <v>1288</v>
      </c>
      <c r="BS217" s="57" t="s">
        <v>1288</v>
      </c>
      <c r="BT217" s="57" t="s">
        <v>1288</v>
      </c>
      <c r="BU217" s="57" t="s">
        <v>1288</v>
      </c>
      <c r="BV217" s="70">
        <f t="shared" si="980"/>
        <v>61</v>
      </c>
      <c r="BW217" s="71" t="str">
        <f t="shared" si="981"/>
        <v>-</v>
      </c>
      <c r="BX217" s="72">
        <f t="shared" si="982"/>
        <v>97</v>
      </c>
      <c r="BY217" s="71">
        <f t="shared" si="983"/>
        <v>134</v>
      </c>
      <c r="BZ217" s="72">
        <f t="shared" si="984"/>
        <v>138</v>
      </c>
      <c r="CA217" s="71" t="str">
        <f t="shared" si="985"/>
        <v>-</v>
      </c>
      <c r="CB217" s="72">
        <f t="shared" si="986"/>
        <v>182</v>
      </c>
      <c r="CC217" s="71">
        <f t="shared" si="987"/>
        <v>225</v>
      </c>
      <c r="CD217" s="72">
        <f t="shared" si="988"/>
        <v>231</v>
      </c>
      <c r="CE217" s="71">
        <f t="shared" si="989"/>
        <v>298</v>
      </c>
      <c r="CF217" s="72">
        <f t="shared" si="990"/>
        <v>340</v>
      </c>
      <c r="CG217" s="71">
        <f t="shared" si="991"/>
        <v>373</v>
      </c>
      <c r="CH217" s="70">
        <f t="shared" si="992"/>
        <v>91</v>
      </c>
      <c r="CI217" s="71" t="str">
        <f t="shared" si="993"/>
        <v>-</v>
      </c>
      <c r="CJ217" s="72">
        <f t="shared" si="994"/>
        <v>131</v>
      </c>
      <c r="CK217" s="72">
        <f t="shared" si="995"/>
        <v>137</v>
      </c>
      <c r="CL217" s="72">
        <f t="shared" si="996"/>
        <v>173</v>
      </c>
      <c r="CM217" s="72" t="str">
        <f t="shared" si="997"/>
        <v>-</v>
      </c>
      <c r="CN217" s="72">
        <f t="shared" si="998"/>
        <v>208</v>
      </c>
      <c r="CO217" s="72">
        <f t="shared" si="999"/>
        <v>227</v>
      </c>
      <c r="CP217" s="72">
        <f t="shared" si="1000"/>
        <v>270</v>
      </c>
      <c r="CQ217" s="72">
        <f t="shared" si="1001"/>
        <v>334</v>
      </c>
      <c r="CR217" s="72">
        <f t="shared" si="1002"/>
        <v>372</v>
      </c>
      <c r="CS217" s="72">
        <f t="shared" si="1003"/>
        <v>384</v>
      </c>
      <c r="CT217" s="23" t="e">
        <f t="shared" si="1004"/>
        <v>#VALUE!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30" x14ac:dyDescent="0.2">
      <c r="A218" s="3" t="str">
        <f t="shared" si="1005"/>
        <v>ntr1_rat_4GRV</v>
      </c>
      <c r="B218" s="3" t="s">
        <v>914</v>
      </c>
      <c r="C218" s="3" t="s">
        <v>50</v>
      </c>
      <c r="D218" s="3" t="str">
        <f>IFERROR(MID(VLOOKUP($B218,Seqs!$A:$B,2,0),E218,1),"")</f>
        <v>I</v>
      </c>
      <c r="E218" s="3">
        <v>61</v>
      </c>
      <c r="F218" s="3" t="str">
        <f>IFERROR(MID(VLOOKUP($B218,Seqs!$A:$B,2,0),G218,1),"")</f>
        <v>T</v>
      </c>
      <c r="G218" s="3">
        <v>88</v>
      </c>
      <c r="H218" s="3" t="str">
        <f>IFERROR(MID(VLOOKUP($B218,Seqs!$A:$B,2,0),I218,1),"")</f>
        <v/>
      </c>
      <c r="I218" s="23" t="s">
        <v>23</v>
      </c>
      <c r="J218" s="3" t="str">
        <f>IFERROR(MID(VLOOKUP($B218,Seqs!$A:$B,2,0),K218,1),"")</f>
        <v/>
      </c>
      <c r="K218" s="23" t="s">
        <v>23</v>
      </c>
      <c r="L218" s="3" t="str">
        <f>IFERROR(MID(VLOOKUP($B218,Seqs!$A:$B,2,0),M218,1),"")</f>
        <v>Q</v>
      </c>
      <c r="M218" s="3">
        <v>99</v>
      </c>
      <c r="N218" s="3" t="str">
        <f>IFERROR(MID(VLOOKUP($B218,Seqs!$A:$B,2,0),O218,1),"")</f>
        <v>V</v>
      </c>
      <c r="O218" s="3">
        <v>131</v>
      </c>
      <c r="P218" s="3" t="str">
        <f>IFERROR(MID(VLOOKUP($B218,Seqs!$A:$B,2,0),Q218,1),"")</f>
        <v>P</v>
      </c>
      <c r="Q218" s="3">
        <v>134</v>
      </c>
      <c r="R218" s="3" t="str">
        <f>IFERROR(MID(VLOOKUP($B218,Seqs!$A:$B,2,0),S218,1),"")</f>
        <v>F</v>
      </c>
      <c r="S218" s="3">
        <v>137</v>
      </c>
      <c r="T218" s="3" t="str">
        <f>IFERROR(MID(VLOOKUP($B218,Seqs!$A:$B,2,0),U218,1),"")</f>
        <v>G</v>
      </c>
      <c r="U218" s="3">
        <v>138</v>
      </c>
      <c r="V218" s="3" t="str">
        <f>IFERROR(MID(VLOOKUP($B218,Seqs!$A:$B,2,0),W218,1),"")</f>
        <v>H</v>
      </c>
      <c r="W218" s="3">
        <v>173</v>
      </c>
      <c r="X218" s="3" t="str">
        <f>IFERROR(MID(VLOOKUP($B218,Seqs!$A:$B,2,0),Y218,1),"")</f>
        <v/>
      </c>
      <c r="Y218" s="3" t="s">
        <v>23</v>
      </c>
      <c r="Z218" s="3" t="str">
        <f>IFERROR(MID(VLOOKUP($B218,Seqs!$A:$B,2,0),AA218,1),"")</f>
        <v/>
      </c>
      <c r="AA218" s="3" t="s">
        <v>23</v>
      </c>
      <c r="AB218" s="3" t="str">
        <f>IFERROR(MID(VLOOKUP($B218,Seqs!$A:$B,2,0),AC218,1),"")</f>
        <v>T</v>
      </c>
      <c r="AC218" s="9">
        <v>186</v>
      </c>
      <c r="AD218" s="3" t="str">
        <f>IFERROR(MID(VLOOKUP($B218,Seqs!$A:$B,2,0),AE218,1),"")</f>
        <v>M</v>
      </c>
      <c r="AE218" s="3">
        <v>208</v>
      </c>
      <c r="AF218" s="3" t="str">
        <f>IFERROR(MID(VLOOKUP($B218,Seqs!$A:$B,2,0),AG218,1),"")</f>
        <v>C</v>
      </c>
      <c r="AG218" s="3">
        <v>225</v>
      </c>
      <c r="AH218" s="3" t="str">
        <f>IFERROR(MID(VLOOKUP($B218,Seqs!$A:$B,2,0),AI218,1),"")</f>
        <v>P</v>
      </c>
      <c r="AI218" s="3">
        <v>227</v>
      </c>
      <c r="AJ218" s="3" t="str">
        <f>IFERROR(MID(VLOOKUP($B218,Seqs!$A:$B,2,0),AK218,1),"")</f>
        <v>T</v>
      </c>
      <c r="AK218" s="3">
        <v>231</v>
      </c>
      <c r="AL218" s="3" t="str">
        <f>IFERROR(MID(VLOOKUP($B218,Seqs!$A:$B,2,0),AM218,1),"")</f>
        <v>T</v>
      </c>
      <c r="AM218" s="3">
        <v>265</v>
      </c>
      <c r="AN218" s="3" t="str">
        <f>IFERROR(MID(VLOOKUP($B218,Seqs!$A:$B,2,0),AO218,1),"")</f>
        <v>A</v>
      </c>
      <c r="AO218" s="3">
        <v>302</v>
      </c>
      <c r="AP218" s="3" t="str">
        <f>IFERROR(MID(VLOOKUP($B218,Seqs!$A:$B,2,0),AQ218,1),"")</f>
        <v>I</v>
      </c>
      <c r="AQ218" s="3">
        <v>334</v>
      </c>
      <c r="AR218" s="3" t="str">
        <f>IFERROR(MID(VLOOKUP($B218,Seqs!$A:$B,2,0),AS218,1),"")</f>
        <v>T</v>
      </c>
      <c r="AS218" s="3">
        <v>340</v>
      </c>
      <c r="AT218" s="3" t="str">
        <f>IFERROR(MID(VLOOKUP($B218,Seqs!$A:$B,2,0),AU218,1),"")</f>
        <v>S</v>
      </c>
      <c r="AU218" s="3">
        <v>361</v>
      </c>
      <c r="AV218" s="3" t="str">
        <f>IFERROR(MID(VLOOKUP($B218,Seqs!$A:$B,2,0),AW218,1),"")</f>
        <v/>
      </c>
      <c r="AW218" s="3" t="s">
        <v>23</v>
      </c>
      <c r="AX218" s="3" t="str">
        <f>IFERROR(MID(VLOOKUP($B218,Seqs!$A:$B,2,0),AY218,1),"")</f>
        <v/>
      </c>
      <c r="AY218" s="3" t="s">
        <v>23</v>
      </c>
      <c r="AZ218" s="77" t="str">
        <f>VLOOKUP(B218,Classification!A:D,2,0)</f>
        <v>A</v>
      </c>
      <c r="BA218" s="94" t="str">
        <f>VLOOKUP(B218,Classification!A:D,4,0)</f>
        <v>Neurotensin</v>
      </c>
      <c r="BB218" s="27" t="b">
        <f t="shared" si="1006"/>
        <v>1</v>
      </c>
      <c r="BC218" s="23">
        <f t="shared" si="979"/>
        <v>220</v>
      </c>
      <c r="BD218" s="5" t="s">
        <v>23</v>
      </c>
      <c r="BE218" s="3" t="s">
        <v>1429</v>
      </c>
      <c r="BF218" s="119">
        <v>2.8</v>
      </c>
      <c r="BG218" s="49" t="s">
        <v>1378</v>
      </c>
      <c r="BH218" s="49" t="s">
        <v>1378</v>
      </c>
      <c r="BI218" s="1"/>
      <c r="BJ218" s="70" t="s">
        <v>1288</v>
      </c>
      <c r="BK218" s="57" t="s">
        <v>1288</v>
      </c>
      <c r="BL218" s="57" t="s">
        <v>1288</v>
      </c>
      <c r="BM218" s="57" t="s">
        <v>1288</v>
      </c>
      <c r="BN218" s="57" t="s">
        <v>1288</v>
      </c>
      <c r="BO218" s="57" t="s">
        <v>1288</v>
      </c>
      <c r="BP218" s="57" t="s">
        <v>1288</v>
      </c>
      <c r="BQ218" s="57" t="s">
        <v>1288</v>
      </c>
      <c r="BR218" s="57" t="s">
        <v>1288</v>
      </c>
      <c r="BS218" s="57" t="s">
        <v>1288</v>
      </c>
      <c r="BT218" s="57" t="s">
        <v>1288</v>
      </c>
      <c r="BU218" s="57" t="s">
        <v>1288</v>
      </c>
      <c r="BV218" s="70">
        <f t="shared" si="980"/>
        <v>61</v>
      </c>
      <c r="BW218" s="71" t="str">
        <f t="shared" si="981"/>
        <v>-</v>
      </c>
      <c r="BX218" s="72">
        <f t="shared" si="982"/>
        <v>99</v>
      </c>
      <c r="BY218" s="71">
        <f t="shared" si="983"/>
        <v>134</v>
      </c>
      <c r="BZ218" s="72">
        <f t="shared" si="984"/>
        <v>138</v>
      </c>
      <c r="CA218" s="71" t="str">
        <f t="shared" si="985"/>
        <v>-</v>
      </c>
      <c r="CB218" s="72">
        <f t="shared" si="986"/>
        <v>186</v>
      </c>
      <c r="CC218" s="71">
        <f t="shared" si="987"/>
        <v>225</v>
      </c>
      <c r="CD218" s="72">
        <f t="shared" si="988"/>
        <v>231</v>
      </c>
      <c r="CE218" s="71">
        <f t="shared" si="989"/>
        <v>302</v>
      </c>
      <c r="CF218" s="72">
        <f t="shared" si="990"/>
        <v>340</v>
      </c>
      <c r="CG218" s="71" t="str">
        <f t="shared" si="991"/>
        <v>-</v>
      </c>
      <c r="CH218" s="70">
        <f t="shared" si="992"/>
        <v>88</v>
      </c>
      <c r="CI218" s="71" t="str">
        <f t="shared" si="993"/>
        <v>-</v>
      </c>
      <c r="CJ218" s="72">
        <f t="shared" si="994"/>
        <v>131</v>
      </c>
      <c r="CK218" s="72">
        <f t="shared" si="995"/>
        <v>137</v>
      </c>
      <c r="CL218" s="72">
        <f t="shared" si="996"/>
        <v>173</v>
      </c>
      <c r="CM218" s="72" t="str">
        <f t="shared" si="997"/>
        <v>-</v>
      </c>
      <c r="CN218" s="72">
        <f t="shared" si="998"/>
        <v>208</v>
      </c>
      <c r="CO218" s="72">
        <f t="shared" si="999"/>
        <v>227</v>
      </c>
      <c r="CP218" s="72">
        <f t="shared" si="1000"/>
        <v>265</v>
      </c>
      <c r="CQ218" s="72">
        <f t="shared" si="1001"/>
        <v>334</v>
      </c>
      <c r="CR218" s="72">
        <f t="shared" si="1002"/>
        <v>361</v>
      </c>
      <c r="CS218" s="72" t="str">
        <f t="shared" si="1003"/>
        <v>-</v>
      </c>
      <c r="CT218" s="23" t="e">
        <f t="shared" si="1004"/>
        <v>#VALUE!</v>
      </c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</row>
    <row r="219" spans="1:1030" x14ac:dyDescent="0.2">
      <c r="A219" s="3" t="str">
        <f t="shared" si="1005"/>
        <v>ntr1_rat_4XEE</v>
      </c>
      <c r="B219" s="3" t="s">
        <v>914</v>
      </c>
      <c r="C219" s="3" t="s">
        <v>1351</v>
      </c>
      <c r="D219" s="3" t="str">
        <f>IFERROR(MID(VLOOKUP($B219,Seqs!$A:$B,2,0),E219,1),"")</f>
        <v>I</v>
      </c>
      <c r="E219" s="3">
        <v>61</v>
      </c>
      <c r="F219" s="3" t="str">
        <f>IFERROR(MID(VLOOKUP($B219,Seqs!$A:$B,2,0),G219,1),"")</f>
        <v>R</v>
      </c>
      <c r="G219" s="3">
        <v>91</v>
      </c>
      <c r="H219" s="3" t="str">
        <f>IFERROR(MID(VLOOKUP($B219,Seqs!$A:$B,2,0),I219,1),"")</f>
        <v/>
      </c>
      <c r="I219" s="23" t="s">
        <v>23</v>
      </c>
      <c r="J219" s="3" t="str">
        <f>IFERROR(MID(VLOOKUP($B219,Seqs!$A:$B,2,0),K219,1),"")</f>
        <v/>
      </c>
      <c r="K219" s="23" t="s">
        <v>23</v>
      </c>
      <c r="L219" s="3" t="str">
        <f>IFERROR(MID(VLOOKUP($B219,Seqs!$A:$B,2,0),M219,1),"")</f>
        <v>S</v>
      </c>
      <c r="M219" s="3">
        <v>100</v>
      </c>
      <c r="N219" s="3" t="str">
        <f>IFERROR(MID(VLOOKUP($B219,Seqs!$A:$B,2,0),O219,1),"")</f>
        <v>V</v>
      </c>
      <c r="O219" s="3">
        <v>131</v>
      </c>
      <c r="P219" s="3" t="str">
        <f>IFERROR(MID(VLOOKUP($B219,Seqs!$A:$B,2,0),Q219,1),"")</f>
        <v>P</v>
      </c>
      <c r="Q219" s="3">
        <v>134</v>
      </c>
      <c r="R219" s="3" t="str">
        <f>IFERROR(MID(VLOOKUP($B219,Seqs!$A:$B,2,0),S219,1),"")</f>
        <v>F</v>
      </c>
      <c r="S219" s="3">
        <v>137</v>
      </c>
      <c r="T219" s="3" t="str">
        <f>IFERROR(MID(VLOOKUP($B219,Seqs!$A:$B,2,0),U219,1),"")</f>
        <v>G</v>
      </c>
      <c r="U219" s="3">
        <v>138</v>
      </c>
      <c r="V219" s="3" t="str">
        <f>IFERROR(MID(VLOOKUP($B219,Seqs!$A:$B,2,0),W219,1),"")</f>
        <v>H</v>
      </c>
      <c r="W219" s="3">
        <v>173</v>
      </c>
      <c r="X219" s="3" t="str">
        <f>IFERROR(MID(VLOOKUP($B219,Seqs!$A:$B,2,0),Y219,1),"")</f>
        <v>P</v>
      </c>
      <c r="Y219" s="3">
        <v>174</v>
      </c>
      <c r="Z219" s="3" t="str">
        <f>IFERROR(MID(VLOOKUP($B219,Seqs!$A:$B,2,0),AA219,1),"")</f>
        <v>M</v>
      </c>
      <c r="AA219" s="3">
        <v>181</v>
      </c>
      <c r="AB219" s="3" t="str">
        <f>IFERROR(MID(VLOOKUP($B219,Seqs!$A:$B,2,0),AC219,1),"")</f>
        <v>S</v>
      </c>
      <c r="AC219" s="9">
        <v>182</v>
      </c>
      <c r="AD219" s="3" t="str">
        <f>IFERROR(MID(VLOOKUP($B219,Seqs!$A:$B,2,0),AE219,1),"")</f>
        <v>M</v>
      </c>
      <c r="AE219" s="3">
        <v>208</v>
      </c>
      <c r="AF219" s="3" t="str">
        <f>IFERROR(MID(VLOOKUP($B219,Seqs!$A:$B,2,0),AG219,1),"")</f>
        <v>C</v>
      </c>
      <c r="AG219" s="3">
        <v>225</v>
      </c>
      <c r="AH219" s="3" t="str">
        <f>IFERROR(MID(VLOOKUP($B219,Seqs!$A:$B,2,0),AI219,1),"")</f>
        <v>P</v>
      </c>
      <c r="AI219" s="3">
        <v>227</v>
      </c>
      <c r="AJ219" s="3" t="str">
        <f>IFERROR(MID(VLOOKUP($B219,Seqs!$A:$B,2,0),AK219,1),"")</f>
        <v>T</v>
      </c>
      <c r="AK219" s="3">
        <v>231</v>
      </c>
      <c r="AL219" s="3" t="str">
        <f>IFERROR(MID(VLOOKUP($B219,Seqs!$A:$B,2,0),AM219,1),"")</f>
        <v>V</v>
      </c>
      <c r="AM219" s="3">
        <v>268</v>
      </c>
      <c r="AN219" s="3" t="str">
        <f>IFERROR(MID(VLOOKUP($B219,Seqs!$A:$B,2,0),AO219,1),"")</f>
        <v>Q</v>
      </c>
      <c r="AO219" s="3">
        <v>301</v>
      </c>
      <c r="AP219" s="3" t="str">
        <f>IFERROR(MID(VLOOKUP($B219,Seqs!$A:$B,2,0),AQ219,1),"")</f>
        <v>I</v>
      </c>
      <c r="AQ219" s="3">
        <v>334</v>
      </c>
      <c r="AR219" s="3" t="str">
        <f>IFERROR(MID(VLOOKUP($B219,Seqs!$A:$B,2,0),AS219,1),"")</f>
        <v>T</v>
      </c>
      <c r="AS219" s="3">
        <v>340</v>
      </c>
      <c r="AT219" s="3" t="str">
        <f>IFERROR(MID(VLOOKUP($B219,Seqs!$A:$B,2,0),AU219,1),"")</f>
        <v>I</v>
      </c>
      <c r="AU219" s="3">
        <v>364</v>
      </c>
      <c r="AV219" s="3" t="str">
        <f>IFERROR(MID(VLOOKUP($B219,Seqs!$A:$B,2,0),AW219,1),"")</f>
        <v/>
      </c>
      <c r="AW219" s="3" t="s">
        <v>23</v>
      </c>
      <c r="AX219" s="3" t="str">
        <f>IFERROR(MID(VLOOKUP($B219,Seqs!$A:$B,2,0),AY219,1),"")</f>
        <v/>
      </c>
      <c r="AY219" s="3" t="s">
        <v>23</v>
      </c>
      <c r="AZ219" s="77" t="str">
        <f>VLOOKUP(B219,Classification!A:D,2,0)</f>
        <v>A</v>
      </c>
      <c r="BA219" s="94" t="str">
        <f>VLOOKUP(B219,Classification!A:D,4,0)</f>
        <v>Neurotensin</v>
      </c>
      <c r="BB219" s="27" t="b">
        <f t="shared" si="1006"/>
        <v>1</v>
      </c>
      <c r="BC219" s="23">
        <f t="shared" si="979"/>
        <v>240</v>
      </c>
      <c r="BD219" s="4" t="s">
        <v>23</v>
      </c>
      <c r="BE219" s="3" t="s">
        <v>1429</v>
      </c>
      <c r="BF219" s="119">
        <v>2.9</v>
      </c>
      <c r="BG219" s="49" t="s">
        <v>1378</v>
      </c>
      <c r="BH219" s="49" t="s">
        <v>1378</v>
      </c>
      <c r="BI219" s="1"/>
      <c r="BJ219" s="70" t="s">
        <v>1288</v>
      </c>
      <c r="BK219" s="57" t="s">
        <v>1288</v>
      </c>
      <c r="BL219" s="57" t="s">
        <v>1288</v>
      </c>
      <c r="BM219" s="57" t="s">
        <v>1288</v>
      </c>
      <c r="BN219" s="57" t="s">
        <v>1288</v>
      </c>
      <c r="BO219" s="57" t="s">
        <v>1288</v>
      </c>
      <c r="BP219" s="57" t="s">
        <v>1288</v>
      </c>
      <c r="BQ219" s="57" t="s">
        <v>1288</v>
      </c>
      <c r="BR219" s="57" t="s">
        <v>1288</v>
      </c>
      <c r="BS219" s="57" t="s">
        <v>1288</v>
      </c>
      <c r="BT219" s="57" t="s">
        <v>1288</v>
      </c>
      <c r="BU219" s="57" t="s">
        <v>1288</v>
      </c>
      <c r="BV219" s="70">
        <f t="shared" si="980"/>
        <v>61</v>
      </c>
      <c r="BW219" s="71" t="str">
        <f t="shared" si="981"/>
        <v>-</v>
      </c>
      <c r="BX219" s="72">
        <f t="shared" si="982"/>
        <v>100</v>
      </c>
      <c r="BY219" s="71">
        <f t="shared" si="983"/>
        <v>134</v>
      </c>
      <c r="BZ219" s="72">
        <f t="shared" si="984"/>
        <v>138</v>
      </c>
      <c r="CA219" s="71">
        <f t="shared" si="985"/>
        <v>174</v>
      </c>
      <c r="CB219" s="72">
        <f t="shared" si="986"/>
        <v>182</v>
      </c>
      <c r="CC219" s="71">
        <f t="shared" si="987"/>
        <v>225</v>
      </c>
      <c r="CD219" s="72">
        <f t="shared" si="988"/>
        <v>231</v>
      </c>
      <c r="CE219" s="71">
        <f t="shared" si="989"/>
        <v>301</v>
      </c>
      <c r="CF219" s="72">
        <f t="shared" si="990"/>
        <v>340</v>
      </c>
      <c r="CG219" s="71" t="str">
        <f t="shared" si="991"/>
        <v>-</v>
      </c>
      <c r="CH219" s="70">
        <f t="shared" si="992"/>
        <v>91</v>
      </c>
      <c r="CI219" s="71" t="str">
        <f t="shared" si="993"/>
        <v>-</v>
      </c>
      <c r="CJ219" s="72">
        <f t="shared" si="994"/>
        <v>131</v>
      </c>
      <c r="CK219" s="72">
        <f t="shared" si="995"/>
        <v>137</v>
      </c>
      <c r="CL219" s="72">
        <f t="shared" si="996"/>
        <v>173</v>
      </c>
      <c r="CM219" s="72">
        <f t="shared" si="997"/>
        <v>181</v>
      </c>
      <c r="CN219" s="72">
        <f t="shared" si="998"/>
        <v>208</v>
      </c>
      <c r="CO219" s="72">
        <f t="shared" si="999"/>
        <v>227</v>
      </c>
      <c r="CP219" s="72">
        <f t="shared" si="1000"/>
        <v>268</v>
      </c>
      <c r="CQ219" s="72">
        <f t="shared" si="1001"/>
        <v>334</v>
      </c>
      <c r="CR219" s="72">
        <f t="shared" si="1002"/>
        <v>364</v>
      </c>
      <c r="CS219" s="72" t="str">
        <f t="shared" si="1003"/>
        <v>-</v>
      </c>
      <c r="CT219" s="23" t="e">
        <f t="shared" si="1004"/>
        <v>#VALUE!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30" x14ac:dyDescent="0.2">
      <c r="A220" s="3" t="str">
        <f t="shared" si="1005"/>
        <v>ntr1_rat_4XES</v>
      </c>
      <c r="B220" s="3" t="s">
        <v>914</v>
      </c>
      <c r="C220" s="3" t="s">
        <v>1352</v>
      </c>
      <c r="D220" s="3" t="str">
        <f>IFERROR(MID(VLOOKUP($B220,Seqs!$A:$B,2,0),E220,1),"")</f>
        <v>I</v>
      </c>
      <c r="E220" s="3">
        <v>61</v>
      </c>
      <c r="F220" s="3" t="str">
        <f>IFERROR(MID(VLOOKUP($B220,Seqs!$A:$B,2,0),G220,1),"")</f>
        <v>K</v>
      </c>
      <c r="G220" s="3">
        <v>92</v>
      </c>
      <c r="H220" s="3" t="str">
        <f>IFERROR(MID(VLOOKUP($B220,Seqs!$A:$B,2,0),I220,1),"")</f>
        <v/>
      </c>
      <c r="I220" s="23" t="s">
        <v>23</v>
      </c>
      <c r="J220" s="3" t="str">
        <f>IFERROR(MID(VLOOKUP($B220,Seqs!$A:$B,2,0),K220,1),"")</f>
        <v/>
      </c>
      <c r="K220" s="23" t="s">
        <v>23</v>
      </c>
      <c r="L220" s="3" t="str">
        <f>IFERROR(MID(VLOOKUP($B220,Seqs!$A:$B,2,0),M220,1),"")</f>
        <v>S</v>
      </c>
      <c r="M220" s="3">
        <v>97</v>
      </c>
      <c r="N220" s="3" t="str">
        <f>IFERROR(MID(VLOOKUP($B220,Seqs!$A:$B,2,0),O220,1),"")</f>
        <v>V</v>
      </c>
      <c r="O220" s="3">
        <v>131</v>
      </c>
      <c r="P220" s="3" t="str">
        <f>IFERROR(MID(VLOOKUP($B220,Seqs!$A:$B,2,0),Q220,1),"")</f>
        <v>P</v>
      </c>
      <c r="Q220" s="3">
        <v>134</v>
      </c>
      <c r="R220" s="3" t="str">
        <f>IFERROR(MID(VLOOKUP($B220,Seqs!$A:$B,2,0),S220,1),"")</f>
        <v>F</v>
      </c>
      <c r="S220" s="3">
        <v>137</v>
      </c>
      <c r="T220" s="3" t="str">
        <f>IFERROR(MID(VLOOKUP($B220,Seqs!$A:$B,2,0),U220,1),"")</f>
        <v>G</v>
      </c>
      <c r="U220" s="3">
        <v>138</v>
      </c>
      <c r="V220" s="3" t="str">
        <f>IFERROR(MID(VLOOKUP($B220,Seqs!$A:$B,2,0),W220,1),"")</f>
        <v>H</v>
      </c>
      <c r="W220" s="3">
        <v>173</v>
      </c>
      <c r="X220" s="3" t="str">
        <f>IFERROR(MID(VLOOKUP($B220,Seqs!$A:$B,2,0),Y220,1),"")</f>
        <v>P</v>
      </c>
      <c r="Y220" s="3">
        <v>174</v>
      </c>
      <c r="Z220" s="3" t="str">
        <f>IFERROR(MID(VLOOKUP($B220,Seqs!$A:$B,2,0),AA220,1),"")</f>
        <v>M</v>
      </c>
      <c r="AA220" s="3">
        <v>181</v>
      </c>
      <c r="AB220" s="3" t="str">
        <f>IFERROR(MID(VLOOKUP($B220,Seqs!$A:$B,2,0),AC220,1),"")</f>
        <v>S</v>
      </c>
      <c r="AC220" s="9">
        <v>182</v>
      </c>
      <c r="AD220" s="3" t="str">
        <f>IFERROR(MID(VLOOKUP($B220,Seqs!$A:$B,2,0),AE220,1),"")</f>
        <v>M</v>
      </c>
      <c r="AE220" s="3">
        <v>208</v>
      </c>
      <c r="AF220" s="3" t="str">
        <f>IFERROR(MID(VLOOKUP($B220,Seqs!$A:$B,2,0),AG220,1),"")</f>
        <v>C</v>
      </c>
      <c r="AG220" s="3">
        <v>225</v>
      </c>
      <c r="AH220" s="3" t="str">
        <f>IFERROR(MID(VLOOKUP($B220,Seqs!$A:$B,2,0),AI220,1),"")</f>
        <v>P</v>
      </c>
      <c r="AI220" s="3">
        <v>227</v>
      </c>
      <c r="AJ220" s="3" t="str">
        <f>IFERROR(MID(VLOOKUP($B220,Seqs!$A:$B,2,0),AK220,1),"")</f>
        <v>T</v>
      </c>
      <c r="AK220" s="3">
        <v>231</v>
      </c>
      <c r="AL220" s="3" t="str">
        <f>IFERROR(MID(VLOOKUP($B220,Seqs!$A:$B,2,0),AM220,1),"")</f>
        <v>V</v>
      </c>
      <c r="AM220" s="3">
        <v>268</v>
      </c>
      <c r="AN220" s="3" t="str">
        <f>IFERROR(MID(VLOOKUP($B220,Seqs!$A:$B,2,0),AO220,1),"")</f>
        <v>A</v>
      </c>
      <c r="AO220" s="3">
        <v>302</v>
      </c>
      <c r="AP220" s="3" t="str">
        <f>IFERROR(MID(VLOOKUP($B220,Seqs!$A:$B,2,0),AQ220,1),"")</f>
        <v>I</v>
      </c>
      <c r="AQ220" s="3">
        <v>334</v>
      </c>
      <c r="AR220" s="3" t="str">
        <f>IFERROR(MID(VLOOKUP($B220,Seqs!$A:$B,2,0),AS220,1),"")</f>
        <v>T</v>
      </c>
      <c r="AS220" s="3">
        <v>340</v>
      </c>
      <c r="AT220" s="3" t="str">
        <f>IFERROR(MID(VLOOKUP($B220,Seqs!$A:$B,2,0),AU220,1),"")</f>
        <v>I</v>
      </c>
      <c r="AU220" s="3">
        <v>364</v>
      </c>
      <c r="AV220" s="3" t="str">
        <f>IFERROR(MID(VLOOKUP($B220,Seqs!$A:$B,2,0),AW220,1),"")</f>
        <v/>
      </c>
      <c r="AW220" s="3" t="s">
        <v>23</v>
      </c>
      <c r="AX220" s="3" t="str">
        <f>IFERROR(MID(VLOOKUP($B220,Seqs!$A:$B,2,0),AY220,1),"")</f>
        <v/>
      </c>
      <c r="AY220" s="3" t="s">
        <v>23</v>
      </c>
      <c r="AZ220" s="77" t="str">
        <f>VLOOKUP(B220,Classification!A:D,2,0)</f>
        <v>A</v>
      </c>
      <c r="BA220" s="94" t="str">
        <f>VLOOKUP(B220,Classification!A:D,4,0)</f>
        <v>Neurotensin</v>
      </c>
      <c r="BB220" s="27" t="b">
        <f t="shared" si="1006"/>
        <v>1</v>
      </c>
      <c r="BC220" s="23">
        <f t="shared" si="979"/>
        <v>243</v>
      </c>
      <c r="BD220" s="5" t="s">
        <v>1430</v>
      </c>
      <c r="BE220" s="3" t="s">
        <v>1429</v>
      </c>
      <c r="BF220" s="119">
        <v>2.6</v>
      </c>
      <c r="BG220" s="49" t="s">
        <v>1378</v>
      </c>
      <c r="BH220" s="49" t="s">
        <v>1378</v>
      </c>
      <c r="BI220" s="1"/>
      <c r="BJ220" s="70" t="s">
        <v>1288</v>
      </c>
      <c r="BK220" s="57" t="s">
        <v>1288</v>
      </c>
      <c r="BL220" s="57" t="s">
        <v>1288</v>
      </c>
      <c r="BM220" s="57" t="s">
        <v>1288</v>
      </c>
      <c r="BN220" s="57" t="s">
        <v>1288</v>
      </c>
      <c r="BO220" s="57" t="s">
        <v>1288</v>
      </c>
      <c r="BP220" s="57" t="s">
        <v>1288</v>
      </c>
      <c r="BQ220" s="57" t="s">
        <v>1288</v>
      </c>
      <c r="BR220" s="57" t="s">
        <v>1288</v>
      </c>
      <c r="BS220" s="57" t="s">
        <v>1288</v>
      </c>
      <c r="BT220" s="57" t="s">
        <v>1288</v>
      </c>
      <c r="BU220" s="57" t="s">
        <v>1288</v>
      </c>
      <c r="BV220" s="70">
        <f t="shared" si="980"/>
        <v>61</v>
      </c>
      <c r="BW220" s="71" t="str">
        <f t="shared" si="981"/>
        <v>-</v>
      </c>
      <c r="BX220" s="72">
        <f t="shared" si="982"/>
        <v>97</v>
      </c>
      <c r="BY220" s="71">
        <f t="shared" si="983"/>
        <v>134</v>
      </c>
      <c r="BZ220" s="72">
        <f t="shared" si="984"/>
        <v>138</v>
      </c>
      <c r="CA220" s="71">
        <f t="shared" si="985"/>
        <v>174</v>
      </c>
      <c r="CB220" s="72">
        <f t="shared" si="986"/>
        <v>182</v>
      </c>
      <c r="CC220" s="71">
        <f t="shared" si="987"/>
        <v>225</v>
      </c>
      <c r="CD220" s="72">
        <f t="shared" si="988"/>
        <v>231</v>
      </c>
      <c r="CE220" s="71">
        <f t="shared" si="989"/>
        <v>302</v>
      </c>
      <c r="CF220" s="72">
        <f t="shared" si="990"/>
        <v>340</v>
      </c>
      <c r="CG220" s="71" t="str">
        <f t="shared" si="991"/>
        <v>-</v>
      </c>
      <c r="CH220" s="70">
        <f t="shared" si="992"/>
        <v>92</v>
      </c>
      <c r="CI220" s="71" t="str">
        <f t="shared" si="993"/>
        <v>-</v>
      </c>
      <c r="CJ220" s="72">
        <f t="shared" si="994"/>
        <v>131</v>
      </c>
      <c r="CK220" s="72">
        <f t="shared" si="995"/>
        <v>137</v>
      </c>
      <c r="CL220" s="72">
        <f t="shared" si="996"/>
        <v>173</v>
      </c>
      <c r="CM220" s="72">
        <f t="shared" si="997"/>
        <v>181</v>
      </c>
      <c r="CN220" s="72">
        <f t="shared" si="998"/>
        <v>208</v>
      </c>
      <c r="CO220" s="72">
        <f t="shared" si="999"/>
        <v>227</v>
      </c>
      <c r="CP220" s="72">
        <f t="shared" si="1000"/>
        <v>268</v>
      </c>
      <c r="CQ220" s="72">
        <f t="shared" si="1001"/>
        <v>334</v>
      </c>
      <c r="CR220" s="72">
        <f t="shared" si="1002"/>
        <v>364</v>
      </c>
      <c r="CS220" s="72" t="str">
        <f t="shared" si="1003"/>
        <v>-</v>
      </c>
      <c r="CT220" s="23" t="e">
        <f t="shared" si="1004"/>
        <v>#VALUE!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</row>
    <row r="221" spans="1:1030" x14ac:dyDescent="0.2">
      <c r="A221" s="3" t="str">
        <f>CONCATENATE(B221,"_",C221)</f>
        <v>ntr1_rat_5T04</v>
      </c>
      <c r="B221" s="3" t="s">
        <v>914</v>
      </c>
      <c r="C221" s="3" t="s">
        <v>1386</v>
      </c>
      <c r="D221" s="3" t="str">
        <f>IFERROR(MID(VLOOKUP($B221,Seqs!$A:$B,2,0),E221,1),"")</f>
        <v>I</v>
      </c>
      <c r="E221" s="3">
        <v>61</v>
      </c>
      <c r="F221" s="3" t="str">
        <f>IFERROR(MID(VLOOKUP($B221,Seqs!$A:$B,2,0),G221,1),"")</f>
        <v>T</v>
      </c>
      <c r="G221" s="3">
        <v>88</v>
      </c>
      <c r="H221" s="3" t="str">
        <f>IFERROR(MID(VLOOKUP($B221,Seqs!$A:$B,2,0),I221,1),"")</f>
        <v/>
      </c>
      <c r="I221" s="23" t="s">
        <v>23</v>
      </c>
      <c r="J221" s="3" t="str">
        <f>IFERROR(MID(VLOOKUP($B221,Seqs!$A:$B,2,0),K221,1),"")</f>
        <v/>
      </c>
      <c r="K221" s="23" t="s">
        <v>23</v>
      </c>
      <c r="L221" s="3" t="str">
        <f>IFERROR(MID(VLOOKUP($B221,Seqs!$A:$B,2,0),M221,1),"")</f>
        <v>H</v>
      </c>
      <c r="M221" s="3">
        <v>103</v>
      </c>
      <c r="N221" s="3" t="str">
        <f>IFERROR(MID(VLOOKUP($B221,Seqs!$A:$B,2,0),O221,1),"")</f>
        <v>V</v>
      </c>
      <c r="O221" s="3">
        <v>131</v>
      </c>
      <c r="P221" s="3" t="str">
        <f>IFERROR(MID(VLOOKUP($B221,Seqs!$A:$B,2,0),Q221,1),"")</f>
        <v>P</v>
      </c>
      <c r="Q221" s="3">
        <v>134</v>
      </c>
      <c r="R221" s="3" t="str">
        <f>IFERROR(MID(VLOOKUP($B221,Seqs!$A:$B,2,0),S221,1),"")</f>
        <v>F</v>
      </c>
      <c r="S221" s="3">
        <v>137</v>
      </c>
      <c r="T221" s="3" t="str">
        <f>IFERROR(MID(VLOOKUP($B221,Seqs!$A:$B,2,0),U221,1),"")</f>
        <v>G</v>
      </c>
      <c r="U221" s="3">
        <v>138</v>
      </c>
      <c r="V221" s="3" t="str">
        <f>IFERROR(MID(VLOOKUP($B221,Seqs!$A:$B,2,0),W221,1),"")</f>
        <v>H</v>
      </c>
      <c r="W221" s="3">
        <v>173</v>
      </c>
      <c r="X221" s="3" t="str">
        <f>IFERROR(MID(VLOOKUP($B221,Seqs!$A:$B,2,0),Y221,1),"")</f>
        <v>P</v>
      </c>
      <c r="Y221" s="3">
        <v>174</v>
      </c>
      <c r="Z221" s="3" t="str">
        <f>IFERROR(MID(VLOOKUP($B221,Seqs!$A:$B,2,0),AA221,1),"")</f>
        <v>M</v>
      </c>
      <c r="AA221" s="3">
        <v>181</v>
      </c>
      <c r="AB221" s="3" t="str">
        <f>IFERROR(MID(VLOOKUP($B221,Seqs!$A:$B,2,0),AC221,1),"")</f>
        <v>S</v>
      </c>
      <c r="AC221" s="3">
        <v>182</v>
      </c>
      <c r="AD221" s="3" t="str">
        <f>IFERROR(MID(VLOOKUP($B221,Seqs!$A:$B,2,0),AE221,1),"")</f>
        <v>M</v>
      </c>
      <c r="AE221" s="3">
        <v>208</v>
      </c>
      <c r="AF221" s="3" t="str">
        <f>IFERROR(MID(VLOOKUP($B221,Seqs!$A:$B,2,0),AG221,1),"")</f>
        <v>C</v>
      </c>
      <c r="AG221" s="3">
        <v>225</v>
      </c>
      <c r="AH221" s="3" t="str">
        <f>IFERROR(MID(VLOOKUP($B221,Seqs!$A:$B,2,0),AI221,1),"")</f>
        <v>P</v>
      </c>
      <c r="AI221" s="3">
        <v>227</v>
      </c>
      <c r="AJ221" s="3" t="str">
        <f>IFERROR(MID(VLOOKUP($B221,Seqs!$A:$B,2,0),AK221,1),"")</f>
        <v>T</v>
      </c>
      <c r="AK221" s="3">
        <v>231</v>
      </c>
      <c r="AL221" s="3" t="str">
        <f>IFERROR(MID(VLOOKUP($B221,Seqs!$A:$B,2,0),AM221,1),"")</f>
        <v>V</v>
      </c>
      <c r="AM221" s="3">
        <v>268</v>
      </c>
      <c r="AN221" s="3" t="str">
        <f>IFERROR(MID(VLOOKUP($B221,Seqs!$A:$B,2,0),AO221,1),"")</f>
        <v>P</v>
      </c>
      <c r="AO221" s="3">
        <v>297</v>
      </c>
      <c r="AP221" s="3" t="str">
        <f>IFERROR(MID(VLOOKUP($B221,Seqs!$A:$B,2,0),AQ221,1),"")</f>
        <v>I</v>
      </c>
      <c r="AQ221" s="3">
        <v>334</v>
      </c>
      <c r="AR221" s="3" t="str">
        <f>IFERROR(MID(VLOOKUP($B221,Seqs!$A:$B,2,0),AS221,1),"")</f>
        <v>T</v>
      </c>
      <c r="AS221" s="3">
        <v>340</v>
      </c>
      <c r="AT221" s="3" t="str">
        <f>IFERROR(MID(VLOOKUP($B221,Seqs!$A:$B,2,0),AU221,1),"")</f>
        <v>I</v>
      </c>
      <c r="AU221" s="3">
        <v>364</v>
      </c>
      <c r="AV221" s="3" t="str">
        <f>IFERROR(MID(VLOOKUP($B221,Seqs!$A:$B,2,0),AW221,1),"")</f>
        <v/>
      </c>
      <c r="AW221" s="3" t="s">
        <v>23</v>
      </c>
      <c r="AX221" s="3" t="str">
        <f>IFERROR(MID(VLOOKUP($B221,Seqs!$A:$B,2,0),AY221,1),"")</f>
        <v/>
      </c>
      <c r="AY221" s="3" t="s">
        <v>23</v>
      </c>
      <c r="AZ221" s="77" t="str">
        <f>VLOOKUP(B221,Classification!A:D,2,0)</f>
        <v>A</v>
      </c>
      <c r="BA221" s="94" t="str">
        <f>VLOOKUP(B221,Classification!A:D,4,0)</f>
        <v>Neurotensin</v>
      </c>
      <c r="BB221" s="27" t="b">
        <f>AND(E221&lt;G221,OR(G221&lt;I221,I221="-"),OR(I221&lt;K221,I221="-"),OR(K221&lt;M221,K221="-"),M221&lt;O221,OR(O221&lt;Q221,Q221="-"),OR(Q221&lt;S221,Q221="-"),OR(S221&lt;U221,S221="-"),U221&lt;W221,OR(W221&lt;Y221,Y221="-"),OR(Y221&lt;AA221,Y221="-"),OR(AA221&lt;AC221,AA221="-"),AC221&lt;AE221,OR(AE221&lt;AG221,AG221="-"),OR(AG221&lt;AI221,AG221="-"),OR(AI221&lt;AK221,AI221="-"),AK221&lt;AM221,AM221&lt;AO221,AO221&lt;AQ221,AQ221&lt;AS221,AS221&lt;AU221,OR(AU221&lt;AW221,AW221="-"),OR(AW221&lt;AY221,AW221="-"))</f>
        <v>1</v>
      </c>
      <c r="BC221" s="23">
        <f>_xlfn.AGGREGATE(9,6,CH221:CS221)-_xlfn.AGGREGATE(9,6,BV221:CG221)+12</f>
        <v>238</v>
      </c>
      <c r="BD221" s="5" t="s">
        <v>1376</v>
      </c>
      <c r="BE221" s="3" t="s">
        <v>1292</v>
      </c>
      <c r="BF221" s="119">
        <v>3.3</v>
      </c>
      <c r="BG221" s="49" t="s">
        <v>1378</v>
      </c>
      <c r="BH221" s="49" t="s">
        <v>1378</v>
      </c>
      <c r="BI221" s="1"/>
      <c r="BJ221" s="70" t="s">
        <v>1288</v>
      </c>
      <c r="BK221" s="57" t="s">
        <v>1288</v>
      </c>
      <c r="BL221" s="57" t="s">
        <v>1288</v>
      </c>
      <c r="BM221" s="57" t="s">
        <v>1288</v>
      </c>
      <c r="BN221" s="57" t="s">
        <v>1288</v>
      </c>
      <c r="BO221" s="57" t="s">
        <v>1288</v>
      </c>
      <c r="BP221" s="57" t="s">
        <v>1288</v>
      </c>
      <c r="BQ221" s="57" t="s">
        <v>1288</v>
      </c>
      <c r="BR221" s="57" t="s">
        <v>1288</v>
      </c>
      <c r="BS221" s="57" t="s">
        <v>1288</v>
      </c>
      <c r="BT221" s="57" t="s">
        <v>1288</v>
      </c>
      <c r="BU221" s="57" t="s">
        <v>1288</v>
      </c>
      <c r="BV221" s="70">
        <f>E221</f>
        <v>61</v>
      </c>
      <c r="BW221" s="71" t="str">
        <f>I221</f>
        <v>-</v>
      </c>
      <c r="BX221" s="72">
        <f>M221</f>
        <v>103</v>
      </c>
      <c r="BY221" s="71">
        <f>Q221</f>
        <v>134</v>
      </c>
      <c r="BZ221" s="72">
        <f>U221</f>
        <v>138</v>
      </c>
      <c r="CA221" s="71">
        <f>Y221</f>
        <v>174</v>
      </c>
      <c r="CB221" s="72">
        <f>AC221</f>
        <v>182</v>
      </c>
      <c r="CC221" s="71">
        <f>AG221</f>
        <v>225</v>
      </c>
      <c r="CD221" s="72">
        <f>AK221</f>
        <v>231</v>
      </c>
      <c r="CE221" s="71">
        <f>AO221</f>
        <v>297</v>
      </c>
      <c r="CF221" s="72">
        <f>AS221</f>
        <v>340</v>
      </c>
      <c r="CG221" s="71" t="str">
        <f>AW221</f>
        <v>-</v>
      </c>
      <c r="CH221" s="70">
        <f>G221</f>
        <v>88</v>
      </c>
      <c r="CI221" s="71" t="str">
        <f>K221</f>
        <v>-</v>
      </c>
      <c r="CJ221" s="72">
        <f>O221</f>
        <v>131</v>
      </c>
      <c r="CK221" s="72">
        <f>S221</f>
        <v>137</v>
      </c>
      <c r="CL221" s="72">
        <f>W221</f>
        <v>173</v>
      </c>
      <c r="CM221" s="72">
        <f>AA221</f>
        <v>181</v>
      </c>
      <c r="CN221" s="72">
        <f>AE221</f>
        <v>208</v>
      </c>
      <c r="CO221" s="72">
        <f>AI221</f>
        <v>227</v>
      </c>
      <c r="CP221" s="72">
        <f>AM221</f>
        <v>268</v>
      </c>
      <c r="CQ221" s="72">
        <f>AQ221</f>
        <v>334</v>
      </c>
      <c r="CR221" s="72">
        <f>AU221</f>
        <v>364</v>
      </c>
      <c r="CS221" s="72" t="str">
        <f>AY221</f>
        <v>-</v>
      </c>
      <c r="CT221" s="23" t="e">
        <f>M221-K221</f>
        <v>#VALUE!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30" x14ac:dyDescent="0.2">
      <c r="A222" s="3" t="str">
        <f t="shared" si="1005"/>
        <v>oprd_human__wt</v>
      </c>
      <c r="B222" s="3" t="s">
        <v>335</v>
      </c>
      <c r="C222" s="3" t="s">
        <v>100</v>
      </c>
      <c r="D222" s="3" t="str">
        <f>IFERROR(MID(VLOOKUP($B222,Seqs!$A:$B,2,0),E222,1),"")</f>
        <v>G</v>
      </c>
      <c r="E222" s="3">
        <v>39</v>
      </c>
      <c r="F222" s="3" t="str">
        <f>IFERROR(MID(VLOOKUP($B222,Seqs!$A:$B,2,0),G222,1),"")</f>
        <v>Y</v>
      </c>
      <c r="G222" s="3">
        <v>77</v>
      </c>
      <c r="H222" s="3" t="str">
        <f>IFERROR(MID(VLOOKUP($B222,Seqs!$A:$B,2,0),I222,1),"")</f>
        <v>T</v>
      </c>
      <c r="I222" s="23">
        <v>78</v>
      </c>
      <c r="J222" s="3" t="str">
        <f>IFERROR(MID(VLOOKUP($B222,Seqs!$A:$B,2,0),K222,1),"")</f>
        <v>K</v>
      </c>
      <c r="K222" s="23">
        <v>81</v>
      </c>
      <c r="L222" s="3" t="str">
        <f>IFERROR(MID(VLOOKUP($B222,Seqs!$A:$B,2,0),M222,1),"")</f>
        <v>T</v>
      </c>
      <c r="M222" s="3">
        <v>82</v>
      </c>
      <c r="N222" s="3" t="str">
        <f>IFERROR(MID(VLOOKUP($B222,Seqs!$A:$B,2,0),O222,1),"")</f>
        <v>M</v>
      </c>
      <c r="O222" s="3">
        <v>111</v>
      </c>
      <c r="P222" s="3" t="str">
        <f>IFERROR(MID(VLOOKUP($B222,Seqs!$A:$B,2,0),Q222,1),"")</f>
        <v>T</v>
      </c>
      <c r="Q222" s="3">
        <v>113</v>
      </c>
      <c r="R222" s="3" t="str">
        <f>IFERROR(MID(VLOOKUP($B222,Seqs!$A:$B,2,0),S222,1),"")</f>
        <v>F</v>
      </c>
      <c r="S222" s="3">
        <v>116</v>
      </c>
      <c r="T222" s="3" t="str">
        <f>IFERROR(MID(VLOOKUP($B222,Seqs!$A:$B,2,0),U222,1),"")</f>
        <v>G</v>
      </c>
      <c r="U222" s="3">
        <v>117</v>
      </c>
      <c r="V222" s="3" t="str">
        <f>IFERROR(MID(VLOOKUP($B222,Seqs!$A:$B,2,0),W222,1),"")</f>
        <v>H</v>
      </c>
      <c r="W222" s="3">
        <v>152</v>
      </c>
      <c r="X222" s="3" t="str">
        <f>IFERROR(MID(VLOOKUP($B222,Seqs!$A:$B,2,0),Y222,1),"")</f>
        <v>P</v>
      </c>
      <c r="Y222" s="3">
        <v>153</v>
      </c>
      <c r="Z222" s="3" t="str">
        <f>IFERROR(MID(VLOOKUP($B222,Seqs!$A:$B,2,0),AA222,1),"")</f>
        <v>R</v>
      </c>
      <c r="AA222" s="3">
        <v>160</v>
      </c>
      <c r="AB222" s="3" t="str">
        <f>IFERROR(MID(VLOOKUP($B222,Seqs!$A:$B,2,0),AC222,1),"")</f>
        <v>T</v>
      </c>
      <c r="AC222" s="9">
        <v>161</v>
      </c>
      <c r="AD222" s="3" t="str">
        <f>IFERROR(MID(VLOOKUP($B222,Seqs!$A:$B,2,0),AE222,1),"")</f>
        <v>A</v>
      </c>
      <c r="AE222" s="3">
        <v>187</v>
      </c>
      <c r="AF222" s="3" t="str">
        <f>IFERROR(MID(VLOOKUP($B222,Seqs!$A:$B,2,0),AG222,1),"")</f>
        <v>C</v>
      </c>
      <c r="AG222" s="3">
        <v>198</v>
      </c>
      <c r="AH222" s="3" t="str">
        <f>IFERROR(MID(VLOOKUP($B222,Seqs!$A:$B,2,0),AI222,1),"")</f>
        <v>L</v>
      </c>
      <c r="AI222" s="3">
        <v>200</v>
      </c>
      <c r="AJ222" s="3" t="str">
        <f>IFERROR(MID(VLOOKUP($B222,Seqs!$A:$B,2,0),AK222,1),"")</f>
        <v>S</v>
      </c>
      <c r="AK222" s="3">
        <v>206</v>
      </c>
      <c r="AL222" s="3" t="str">
        <f>IFERROR(MID(VLOOKUP($B222,Seqs!$A:$B,2,0),AM222,1),"")</f>
        <v>V</v>
      </c>
      <c r="AM222" s="3">
        <v>243</v>
      </c>
      <c r="AN222" s="3" t="str">
        <f>IFERROR(MID(VLOOKUP($B222,Seqs!$A:$B,2,0),AO222,1),"")</f>
        <v>S</v>
      </c>
      <c r="AO222" s="3">
        <v>249</v>
      </c>
      <c r="AP222" s="3" t="str">
        <f>IFERROR(MID(VLOOKUP($B222,Seqs!$A:$B,2,0),AQ222,1),"")</f>
        <v>V</v>
      </c>
      <c r="AQ222" s="3">
        <v>287</v>
      </c>
      <c r="AR222" s="3" t="str">
        <f>IFERROR(MID(VLOOKUP($B222,Seqs!$A:$B,2,0),AS222,1),"")</f>
        <v>D</v>
      </c>
      <c r="AS222" s="3">
        <v>293</v>
      </c>
      <c r="AT222" s="3" t="str">
        <f>IFERROR(MID(VLOOKUP($B222,Seqs!$A:$B,2,0),AU222,1),"")</f>
        <v>L</v>
      </c>
      <c r="AU222" s="3">
        <v>321</v>
      </c>
      <c r="AV222" s="3" t="str">
        <f>IFERROR(MID(VLOOKUP($B222,Seqs!$A:$B,2,0),AW222,1),"")</f>
        <v>D</v>
      </c>
      <c r="AW222" s="3">
        <v>322</v>
      </c>
      <c r="AX222" s="3" t="str">
        <f>IFERROR(MID(VLOOKUP($B222,Seqs!$A:$B,2,0),AY222,1),"")</f>
        <v>K</v>
      </c>
      <c r="AY222" s="3">
        <v>335</v>
      </c>
      <c r="AZ222" s="77" t="str">
        <f>VLOOKUP(B222,Classification!A:D,2,0)</f>
        <v>A</v>
      </c>
      <c r="BA222" s="94" t="str">
        <f>VLOOKUP(B222,Classification!A:D,4,0)</f>
        <v>Opioid</v>
      </c>
      <c r="BB222" s="27" t="b">
        <f t="shared" si="1006"/>
        <v>1</v>
      </c>
      <c r="BC222" s="23">
        <f t="shared" si="979"/>
        <v>271</v>
      </c>
      <c r="BD222" s="56" t="s">
        <v>23</v>
      </c>
      <c r="BE222" s="3" t="s">
        <v>23</v>
      </c>
      <c r="BF222" s="119" t="s">
        <v>23</v>
      </c>
      <c r="BG222" s="49" t="s">
        <v>1373</v>
      </c>
      <c r="BH222" s="49" t="s">
        <v>1378</v>
      </c>
      <c r="BI222" s="1"/>
      <c r="BJ222" s="70" t="s">
        <v>1288</v>
      </c>
      <c r="BK222" s="57" t="s">
        <v>1288</v>
      </c>
      <c r="BL222" s="57" t="s">
        <v>1288</v>
      </c>
      <c r="BM222" s="57" t="s">
        <v>1288</v>
      </c>
      <c r="BN222" s="57" t="s">
        <v>1288</v>
      </c>
      <c r="BO222" s="57" t="s">
        <v>1288</v>
      </c>
      <c r="BP222" s="57" t="s">
        <v>1288</v>
      </c>
      <c r="BQ222" s="57" t="s">
        <v>1288</v>
      </c>
      <c r="BR222" s="57" t="s">
        <v>1288</v>
      </c>
      <c r="BS222" s="57" t="s">
        <v>1288</v>
      </c>
      <c r="BT222" s="57" t="s">
        <v>1288</v>
      </c>
      <c r="BU222" s="57" t="s">
        <v>1288</v>
      </c>
      <c r="BV222" s="70">
        <f t="shared" si="980"/>
        <v>39</v>
      </c>
      <c r="BW222" s="71">
        <f t="shared" si="981"/>
        <v>78</v>
      </c>
      <c r="BX222" s="72">
        <f t="shared" si="982"/>
        <v>82</v>
      </c>
      <c r="BY222" s="71">
        <f t="shared" si="983"/>
        <v>113</v>
      </c>
      <c r="BZ222" s="72">
        <f t="shared" si="984"/>
        <v>117</v>
      </c>
      <c r="CA222" s="71">
        <f t="shared" si="985"/>
        <v>153</v>
      </c>
      <c r="CB222" s="72">
        <f t="shared" si="986"/>
        <v>161</v>
      </c>
      <c r="CC222" s="71">
        <f t="shared" si="987"/>
        <v>198</v>
      </c>
      <c r="CD222" s="72">
        <f t="shared" si="988"/>
        <v>206</v>
      </c>
      <c r="CE222" s="71">
        <f t="shared" si="989"/>
        <v>249</v>
      </c>
      <c r="CF222" s="72">
        <f t="shared" si="990"/>
        <v>293</v>
      </c>
      <c r="CG222" s="71">
        <f t="shared" si="991"/>
        <v>322</v>
      </c>
      <c r="CH222" s="70">
        <f t="shared" si="992"/>
        <v>77</v>
      </c>
      <c r="CI222" s="71">
        <f t="shared" si="993"/>
        <v>81</v>
      </c>
      <c r="CJ222" s="72">
        <f t="shared" si="994"/>
        <v>111</v>
      </c>
      <c r="CK222" s="72">
        <f t="shared" si="995"/>
        <v>116</v>
      </c>
      <c r="CL222" s="72">
        <f t="shared" si="996"/>
        <v>152</v>
      </c>
      <c r="CM222" s="72">
        <f t="shared" si="997"/>
        <v>160</v>
      </c>
      <c r="CN222" s="72">
        <f t="shared" si="998"/>
        <v>187</v>
      </c>
      <c r="CO222" s="72">
        <f t="shared" si="999"/>
        <v>200</v>
      </c>
      <c r="CP222" s="72">
        <f t="shared" si="1000"/>
        <v>243</v>
      </c>
      <c r="CQ222" s="72">
        <f t="shared" si="1001"/>
        <v>287</v>
      </c>
      <c r="CR222" s="72">
        <f t="shared" si="1002"/>
        <v>321</v>
      </c>
      <c r="CS222" s="72">
        <f t="shared" si="1003"/>
        <v>335</v>
      </c>
      <c r="CT222" s="23">
        <f t="shared" si="1004"/>
        <v>1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30" x14ac:dyDescent="0.2">
      <c r="A223" s="3" t="str">
        <f t="shared" si="1005"/>
        <v>oprd_human_4N6H</v>
      </c>
      <c r="B223" s="3" t="s">
        <v>335</v>
      </c>
      <c r="C223" s="3" t="s">
        <v>87</v>
      </c>
      <c r="D223" s="3" t="str">
        <f>IFERROR(MID(VLOOKUP($B223,Seqs!$A:$B,2,0),E223,1),"")</f>
        <v>G</v>
      </c>
      <c r="E223" s="3">
        <v>39</v>
      </c>
      <c r="F223" s="3" t="str">
        <f>IFERROR(MID(VLOOKUP($B223,Seqs!$A:$B,2,0),G223,1),"")</f>
        <v>Y</v>
      </c>
      <c r="G223" s="3">
        <v>77</v>
      </c>
      <c r="H223" s="3" t="str">
        <f>IFERROR(MID(VLOOKUP($B223,Seqs!$A:$B,2,0),I223,1),"")</f>
        <v>T</v>
      </c>
      <c r="I223" s="23">
        <v>78</v>
      </c>
      <c r="J223" s="3" t="str">
        <f>IFERROR(MID(VLOOKUP($B223,Seqs!$A:$B,2,0),K223,1),"")</f>
        <v>K</v>
      </c>
      <c r="K223" s="23">
        <v>81</v>
      </c>
      <c r="L223" s="3" t="str">
        <f>IFERROR(MID(VLOOKUP($B223,Seqs!$A:$B,2,0),M223,1),"")</f>
        <v>T</v>
      </c>
      <c r="M223" s="3">
        <v>82</v>
      </c>
      <c r="N223" s="3" t="str">
        <f>IFERROR(MID(VLOOKUP($B223,Seqs!$A:$B,2,0),O223,1),"")</f>
        <v>M</v>
      </c>
      <c r="O223" s="3">
        <v>111</v>
      </c>
      <c r="P223" s="3" t="str">
        <f>IFERROR(MID(VLOOKUP($B223,Seqs!$A:$B,2,0),Q223,1),"")</f>
        <v>T</v>
      </c>
      <c r="Q223" s="3">
        <v>113</v>
      </c>
      <c r="R223" s="3" t="str">
        <f>IFERROR(MID(VLOOKUP($B223,Seqs!$A:$B,2,0),S223,1),"")</f>
        <v>F</v>
      </c>
      <c r="S223" s="3">
        <v>116</v>
      </c>
      <c r="T223" s="3" t="str">
        <f>IFERROR(MID(VLOOKUP($B223,Seqs!$A:$B,2,0),U223,1),"")</f>
        <v>G</v>
      </c>
      <c r="U223" s="3">
        <v>117</v>
      </c>
      <c r="V223" s="3" t="str">
        <f>IFERROR(MID(VLOOKUP($B223,Seqs!$A:$B,2,0),W223,1),"")</f>
        <v>H</v>
      </c>
      <c r="W223" s="3">
        <v>152</v>
      </c>
      <c r="X223" s="3" t="str">
        <f>IFERROR(MID(VLOOKUP($B223,Seqs!$A:$B,2,0),Y223,1),"")</f>
        <v>P</v>
      </c>
      <c r="Y223" s="3">
        <v>153</v>
      </c>
      <c r="Z223" s="3" t="str">
        <f>IFERROR(MID(VLOOKUP($B223,Seqs!$A:$B,2,0),AA223,1),"")</f>
        <v>R</v>
      </c>
      <c r="AA223" s="3">
        <v>160</v>
      </c>
      <c r="AB223" s="3" t="str">
        <f>IFERROR(MID(VLOOKUP($B223,Seqs!$A:$B,2,0),AC223,1),"")</f>
        <v>T</v>
      </c>
      <c r="AC223" s="9">
        <v>161</v>
      </c>
      <c r="AD223" s="3" t="str">
        <f>IFERROR(MID(VLOOKUP($B223,Seqs!$A:$B,2,0),AE223,1),"")</f>
        <v>A</v>
      </c>
      <c r="AE223" s="3">
        <v>187</v>
      </c>
      <c r="AF223" s="3" t="str">
        <f>IFERROR(MID(VLOOKUP($B223,Seqs!$A:$B,2,0),AG223,1),"")</f>
        <v>C</v>
      </c>
      <c r="AG223" s="3">
        <v>198</v>
      </c>
      <c r="AH223" s="3" t="str">
        <f>IFERROR(MID(VLOOKUP($B223,Seqs!$A:$B,2,0),AI223,1),"")</f>
        <v>L</v>
      </c>
      <c r="AI223" s="3">
        <v>200</v>
      </c>
      <c r="AJ223" s="3" t="str">
        <f>IFERROR(MID(VLOOKUP($B223,Seqs!$A:$B,2,0),AK223,1),"")</f>
        <v>S</v>
      </c>
      <c r="AK223" s="3">
        <v>206</v>
      </c>
      <c r="AL223" s="3" t="str">
        <f>IFERROR(MID(VLOOKUP($B223,Seqs!$A:$B,2,0),AM223,1),"")</f>
        <v>V</v>
      </c>
      <c r="AM223" s="3">
        <v>243</v>
      </c>
      <c r="AN223" s="3" t="str">
        <f>IFERROR(MID(VLOOKUP($B223,Seqs!$A:$B,2,0),AO223,1),"")</f>
        <v>S</v>
      </c>
      <c r="AO223" s="3">
        <v>249</v>
      </c>
      <c r="AP223" s="3" t="str">
        <f>IFERROR(MID(VLOOKUP($B223,Seqs!$A:$B,2,0),AQ223,1),"")</f>
        <v>V</v>
      </c>
      <c r="AQ223" s="3">
        <v>287</v>
      </c>
      <c r="AR223" s="3" t="str">
        <f>IFERROR(MID(VLOOKUP($B223,Seqs!$A:$B,2,0),AS223,1),"")</f>
        <v>D</v>
      </c>
      <c r="AS223" s="3">
        <v>293</v>
      </c>
      <c r="AT223" s="3" t="str">
        <f>IFERROR(MID(VLOOKUP($B223,Seqs!$A:$B,2,0),AU223,1),"")</f>
        <v>L</v>
      </c>
      <c r="AU223" s="3">
        <v>321</v>
      </c>
      <c r="AV223" s="3" t="str">
        <f>IFERROR(MID(VLOOKUP($B223,Seqs!$A:$B,2,0),AW223,1),"")</f>
        <v>D</v>
      </c>
      <c r="AW223" s="3">
        <v>322</v>
      </c>
      <c r="AX223" s="3" t="str">
        <f>IFERROR(MID(VLOOKUP($B223,Seqs!$A:$B,2,0),AY223,1),"")</f>
        <v>K</v>
      </c>
      <c r="AY223" s="3">
        <v>335</v>
      </c>
      <c r="AZ223" s="77" t="str">
        <f>VLOOKUP(B223,Classification!A:D,2,0)</f>
        <v>A</v>
      </c>
      <c r="BA223" s="94" t="str">
        <f>VLOOKUP(B223,Classification!A:D,4,0)</f>
        <v>Opioid</v>
      </c>
      <c r="BB223" s="27" t="b">
        <f t="shared" si="1006"/>
        <v>1</v>
      </c>
      <c r="BC223" s="23">
        <f t="shared" si="979"/>
        <v>271</v>
      </c>
      <c r="BD223" s="16" t="s">
        <v>1377</v>
      </c>
      <c r="BE223" s="3" t="s">
        <v>1375</v>
      </c>
      <c r="BF223" s="119">
        <v>1.8</v>
      </c>
      <c r="BG223" s="49" t="s">
        <v>1378</v>
      </c>
      <c r="BH223" s="49" t="s">
        <v>1378</v>
      </c>
      <c r="BJ223" s="70" t="s">
        <v>1288</v>
      </c>
      <c r="BK223" s="57" t="s">
        <v>1288</v>
      </c>
      <c r="BL223" s="57" t="s">
        <v>1288</v>
      </c>
      <c r="BM223" s="57" t="s">
        <v>1288</v>
      </c>
      <c r="BN223" s="57" t="s">
        <v>1288</v>
      </c>
      <c r="BO223" s="57" t="s">
        <v>1288</v>
      </c>
      <c r="BP223" s="57" t="s">
        <v>1288</v>
      </c>
      <c r="BQ223" s="57" t="s">
        <v>1288</v>
      </c>
      <c r="BR223" s="57" t="s">
        <v>1288</v>
      </c>
      <c r="BS223" s="57" t="s">
        <v>1288</v>
      </c>
      <c r="BT223" s="57" t="s">
        <v>1288</v>
      </c>
      <c r="BU223" s="57" t="s">
        <v>1288</v>
      </c>
      <c r="BV223" s="70">
        <f t="shared" si="980"/>
        <v>39</v>
      </c>
      <c r="BW223" s="71">
        <f t="shared" si="981"/>
        <v>78</v>
      </c>
      <c r="BX223" s="72">
        <f t="shared" si="982"/>
        <v>82</v>
      </c>
      <c r="BY223" s="71">
        <f t="shared" si="983"/>
        <v>113</v>
      </c>
      <c r="BZ223" s="72">
        <f t="shared" si="984"/>
        <v>117</v>
      </c>
      <c r="CA223" s="71">
        <f t="shared" si="985"/>
        <v>153</v>
      </c>
      <c r="CB223" s="72">
        <f t="shared" si="986"/>
        <v>161</v>
      </c>
      <c r="CC223" s="71">
        <f t="shared" si="987"/>
        <v>198</v>
      </c>
      <c r="CD223" s="72">
        <f t="shared" si="988"/>
        <v>206</v>
      </c>
      <c r="CE223" s="71">
        <f t="shared" si="989"/>
        <v>249</v>
      </c>
      <c r="CF223" s="72">
        <f t="shared" si="990"/>
        <v>293</v>
      </c>
      <c r="CG223" s="71">
        <f t="shared" si="991"/>
        <v>322</v>
      </c>
      <c r="CH223" s="70">
        <f t="shared" si="992"/>
        <v>77</v>
      </c>
      <c r="CI223" s="71">
        <f t="shared" si="993"/>
        <v>81</v>
      </c>
      <c r="CJ223" s="72">
        <f t="shared" si="994"/>
        <v>111</v>
      </c>
      <c r="CK223" s="72">
        <f t="shared" si="995"/>
        <v>116</v>
      </c>
      <c r="CL223" s="72">
        <f t="shared" si="996"/>
        <v>152</v>
      </c>
      <c r="CM223" s="72">
        <f t="shared" si="997"/>
        <v>160</v>
      </c>
      <c r="CN223" s="72">
        <f t="shared" si="998"/>
        <v>187</v>
      </c>
      <c r="CO223" s="72">
        <f t="shared" si="999"/>
        <v>200</v>
      </c>
      <c r="CP223" s="72">
        <f t="shared" si="1000"/>
        <v>243</v>
      </c>
      <c r="CQ223" s="72">
        <f t="shared" si="1001"/>
        <v>287</v>
      </c>
      <c r="CR223" s="72">
        <f t="shared" si="1002"/>
        <v>321</v>
      </c>
      <c r="CS223" s="72">
        <f t="shared" si="1003"/>
        <v>335</v>
      </c>
      <c r="CT223" s="23">
        <f t="shared" si="1004"/>
        <v>1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30" s="2" customFormat="1" x14ac:dyDescent="0.2">
      <c r="A224" s="3" t="str">
        <f t="shared" si="1005"/>
        <v>oprd_human_4RWD</v>
      </c>
      <c r="B224" s="1" t="s">
        <v>335</v>
      </c>
      <c r="C224" s="1" t="s">
        <v>1339</v>
      </c>
      <c r="D224" s="3" t="str">
        <f>IFERROR(MID(VLOOKUP($B224,Seqs!$A:$B,2,0),E224,1),"")</f>
        <v>A</v>
      </c>
      <c r="E224" s="3">
        <v>43</v>
      </c>
      <c r="F224" s="3" t="str">
        <f>IFERROR(MID(VLOOKUP($B224,Seqs!$A:$B,2,0),G224,1),"")</f>
        <v>Y</v>
      </c>
      <c r="G224" s="3">
        <v>77</v>
      </c>
      <c r="H224" s="3" t="str">
        <f>IFERROR(MID(VLOOKUP($B224,Seqs!$A:$B,2,0),I224,1),"")</f>
        <v>T</v>
      </c>
      <c r="I224" s="23">
        <v>78</v>
      </c>
      <c r="J224" s="3" t="str">
        <f>IFERROR(MID(VLOOKUP($B224,Seqs!$A:$B,2,0),K224,1),"")</f>
        <v>K</v>
      </c>
      <c r="K224" s="23">
        <v>81</v>
      </c>
      <c r="L224" s="3" t="str">
        <f>IFERROR(MID(VLOOKUP($B224,Seqs!$A:$B,2,0),M224,1),"")</f>
        <v>T</v>
      </c>
      <c r="M224" s="3">
        <v>82</v>
      </c>
      <c r="N224" s="3" t="str">
        <f>IFERROR(MID(VLOOKUP($B224,Seqs!$A:$B,2,0),O224,1),"")</f>
        <v>M</v>
      </c>
      <c r="O224" s="3">
        <v>111</v>
      </c>
      <c r="P224" s="3" t="str">
        <f>IFERROR(MID(VLOOKUP($B224,Seqs!$A:$B,2,0),Q224,1),"")</f>
        <v>T</v>
      </c>
      <c r="Q224" s="3">
        <v>113</v>
      </c>
      <c r="R224" s="3" t="str">
        <f>IFERROR(MID(VLOOKUP($B224,Seqs!$A:$B,2,0),S224,1),"")</f>
        <v>F</v>
      </c>
      <c r="S224" s="3">
        <v>116</v>
      </c>
      <c r="T224" s="3" t="str">
        <f>IFERROR(MID(VLOOKUP($B224,Seqs!$A:$B,2,0),U224,1),"")</f>
        <v>G</v>
      </c>
      <c r="U224" s="3">
        <v>117</v>
      </c>
      <c r="V224" s="3" t="str">
        <f>IFERROR(MID(VLOOKUP($B224,Seqs!$A:$B,2,0),W224,1),"")</f>
        <v>H</v>
      </c>
      <c r="W224" s="3">
        <v>152</v>
      </c>
      <c r="X224" s="3" t="str">
        <f>IFERROR(MID(VLOOKUP($B224,Seqs!$A:$B,2,0),Y224,1),"")</f>
        <v>P</v>
      </c>
      <c r="Y224" s="3">
        <v>153</v>
      </c>
      <c r="Z224" s="3" t="str">
        <f>IFERROR(MID(VLOOKUP($B224,Seqs!$A:$B,2,0),AA224,1),"")</f>
        <v>R</v>
      </c>
      <c r="AA224" s="3">
        <v>160</v>
      </c>
      <c r="AB224" s="3" t="str">
        <f>IFERROR(MID(VLOOKUP($B224,Seqs!$A:$B,2,0),AC224,1),"")</f>
        <v>T</v>
      </c>
      <c r="AC224" s="9">
        <v>161</v>
      </c>
      <c r="AD224" s="3" t="str">
        <f>IFERROR(MID(VLOOKUP($B224,Seqs!$A:$B,2,0),AE224,1),"")</f>
        <v>A</v>
      </c>
      <c r="AE224" s="3">
        <v>187</v>
      </c>
      <c r="AF224" s="3" t="str">
        <f>IFERROR(MID(VLOOKUP($B224,Seqs!$A:$B,2,0),AG224,1),"")</f>
        <v>C</v>
      </c>
      <c r="AG224" s="3">
        <v>198</v>
      </c>
      <c r="AH224" s="3" t="str">
        <f>IFERROR(MID(VLOOKUP($B224,Seqs!$A:$B,2,0),AI224,1),"")</f>
        <v>L</v>
      </c>
      <c r="AI224" s="3">
        <v>200</v>
      </c>
      <c r="AJ224" s="3" t="str">
        <f>IFERROR(MID(VLOOKUP($B224,Seqs!$A:$B,2,0),AK224,1),"")</f>
        <v>S</v>
      </c>
      <c r="AK224" s="3">
        <v>206</v>
      </c>
      <c r="AL224" s="3" t="str">
        <f>IFERROR(MID(VLOOKUP($B224,Seqs!$A:$B,2,0),AM224,1),"")</f>
        <v>V</v>
      </c>
      <c r="AM224" s="3">
        <v>243</v>
      </c>
      <c r="AN224" s="3" t="str">
        <f>IFERROR(MID(VLOOKUP($B224,Seqs!$A:$B,2,0),AO224,1),"")</f>
        <v>S</v>
      </c>
      <c r="AO224" s="3">
        <v>249</v>
      </c>
      <c r="AP224" s="3" t="str">
        <f>IFERROR(MID(VLOOKUP($B224,Seqs!$A:$B,2,0),AQ224,1),"")</f>
        <v>V</v>
      </c>
      <c r="AQ224" s="3">
        <v>287</v>
      </c>
      <c r="AR224" s="3" t="str">
        <f>IFERROR(MID(VLOOKUP($B224,Seqs!$A:$B,2,0),AS224,1),"")</f>
        <v>D</v>
      </c>
      <c r="AS224" s="3">
        <v>293</v>
      </c>
      <c r="AT224" s="3" t="str">
        <f>IFERROR(MID(VLOOKUP($B224,Seqs!$A:$B,2,0),AU224,1),"")</f>
        <v>L</v>
      </c>
      <c r="AU224" s="3">
        <v>321</v>
      </c>
      <c r="AV224" s="3" t="str">
        <f>IFERROR(MID(VLOOKUP($B224,Seqs!$A:$B,2,0),AW224,1),"")</f>
        <v>D</v>
      </c>
      <c r="AW224" s="3">
        <v>322</v>
      </c>
      <c r="AX224" s="3" t="str">
        <f>IFERROR(MID(VLOOKUP($B224,Seqs!$A:$B,2,0),AY224,1),"")</f>
        <v>C</v>
      </c>
      <c r="AY224" s="3">
        <v>333</v>
      </c>
      <c r="AZ224" s="77" t="str">
        <f>VLOOKUP(B224,Classification!A:D,2,0)</f>
        <v>A</v>
      </c>
      <c r="BA224" s="94" t="str">
        <f>VLOOKUP(B224,Classification!A:D,4,0)</f>
        <v>Opioid</v>
      </c>
      <c r="BB224" s="27" t="b">
        <f t="shared" si="1006"/>
        <v>1</v>
      </c>
      <c r="BC224" s="23">
        <f t="shared" si="979"/>
        <v>265</v>
      </c>
      <c r="BD224" s="16" t="s">
        <v>23</v>
      </c>
      <c r="BE224" s="3" t="s">
        <v>1375</v>
      </c>
      <c r="BF224" s="119">
        <v>2.7</v>
      </c>
      <c r="BG224" s="49" t="s">
        <v>1378</v>
      </c>
      <c r="BH224" s="49" t="s">
        <v>1378</v>
      </c>
      <c r="BI224" s="3"/>
      <c r="BJ224" s="70" t="s">
        <v>1288</v>
      </c>
      <c r="BK224" s="57" t="s">
        <v>1288</v>
      </c>
      <c r="BL224" s="57" t="s">
        <v>1288</v>
      </c>
      <c r="BM224" s="57" t="s">
        <v>1288</v>
      </c>
      <c r="BN224" s="57" t="s">
        <v>1288</v>
      </c>
      <c r="BO224" s="57" t="s">
        <v>1288</v>
      </c>
      <c r="BP224" s="57" t="s">
        <v>1288</v>
      </c>
      <c r="BQ224" s="57" t="s">
        <v>1288</v>
      </c>
      <c r="BR224" s="57" t="s">
        <v>1288</v>
      </c>
      <c r="BS224" s="57" t="s">
        <v>1288</v>
      </c>
      <c r="BT224" s="57" t="s">
        <v>1288</v>
      </c>
      <c r="BU224" s="57" t="s">
        <v>1288</v>
      </c>
      <c r="BV224" s="70">
        <f t="shared" si="980"/>
        <v>43</v>
      </c>
      <c r="BW224" s="71">
        <f t="shared" si="981"/>
        <v>78</v>
      </c>
      <c r="BX224" s="72">
        <f t="shared" si="982"/>
        <v>82</v>
      </c>
      <c r="BY224" s="71">
        <f t="shared" si="983"/>
        <v>113</v>
      </c>
      <c r="BZ224" s="72">
        <f t="shared" si="984"/>
        <v>117</v>
      </c>
      <c r="CA224" s="71">
        <f t="shared" si="985"/>
        <v>153</v>
      </c>
      <c r="CB224" s="72">
        <f t="shared" si="986"/>
        <v>161</v>
      </c>
      <c r="CC224" s="71">
        <f t="shared" si="987"/>
        <v>198</v>
      </c>
      <c r="CD224" s="72">
        <f t="shared" si="988"/>
        <v>206</v>
      </c>
      <c r="CE224" s="71">
        <f t="shared" si="989"/>
        <v>249</v>
      </c>
      <c r="CF224" s="72">
        <f t="shared" si="990"/>
        <v>293</v>
      </c>
      <c r="CG224" s="71">
        <f t="shared" si="991"/>
        <v>322</v>
      </c>
      <c r="CH224" s="70">
        <f t="shared" si="992"/>
        <v>77</v>
      </c>
      <c r="CI224" s="71">
        <f t="shared" si="993"/>
        <v>81</v>
      </c>
      <c r="CJ224" s="72">
        <f t="shared" si="994"/>
        <v>111</v>
      </c>
      <c r="CK224" s="72">
        <f t="shared" si="995"/>
        <v>116</v>
      </c>
      <c r="CL224" s="72">
        <f t="shared" si="996"/>
        <v>152</v>
      </c>
      <c r="CM224" s="72">
        <f t="shared" si="997"/>
        <v>160</v>
      </c>
      <c r="CN224" s="72">
        <f t="shared" si="998"/>
        <v>187</v>
      </c>
      <c r="CO224" s="72">
        <f t="shared" si="999"/>
        <v>200</v>
      </c>
      <c r="CP224" s="72">
        <f t="shared" si="1000"/>
        <v>243</v>
      </c>
      <c r="CQ224" s="72">
        <f t="shared" si="1001"/>
        <v>287</v>
      </c>
      <c r="CR224" s="72">
        <f t="shared" si="1002"/>
        <v>321</v>
      </c>
      <c r="CS224" s="72">
        <f t="shared" si="1003"/>
        <v>333</v>
      </c>
      <c r="CT224" s="23">
        <f t="shared" si="1004"/>
        <v>1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  <c r="AMP224" s="1"/>
    </row>
    <row r="225" spans="1:1030" s="2" customFormat="1" x14ac:dyDescent="0.2">
      <c r="A225" s="3" t="str">
        <f t="shared" si="1005"/>
        <v>oprd_mouse__wt</v>
      </c>
      <c r="B225" s="3" t="s">
        <v>916</v>
      </c>
      <c r="C225" s="3" t="s">
        <v>100</v>
      </c>
      <c r="D225" s="3" t="str">
        <f>IFERROR(MID(VLOOKUP($B225,Seqs!$A:$B,2,0),E225,1),"")</f>
        <v>R</v>
      </c>
      <c r="E225" s="3">
        <v>41</v>
      </c>
      <c r="F225" s="3" t="str">
        <f>IFERROR(MID(VLOOKUP($B225,Seqs!$A:$B,2,0),G225,1),"")</f>
        <v>Y</v>
      </c>
      <c r="G225" s="3">
        <v>77</v>
      </c>
      <c r="H225" s="3" t="str">
        <f>IFERROR(MID(VLOOKUP($B225,Seqs!$A:$B,2,0),I225,1),"")</f>
        <v>T</v>
      </c>
      <c r="I225" s="23">
        <v>78</v>
      </c>
      <c r="J225" s="3" t="str">
        <f>IFERROR(MID(VLOOKUP($B225,Seqs!$A:$B,2,0),K225,1),"")</f>
        <v>K</v>
      </c>
      <c r="K225" s="23">
        <v>81</v>
      </c>
      <c r="L225" s="3" t="str">
        <f>IFERROR(MID(VLOOKUP($B225,Seqs!$A:$B,2,0),M225,1),"")</f>
        <v>T</v>
      </c>
      <c r="M225" s="3">
        <v>82</v>
      </c>
      <c r="N225" s="3" t="str">
        <f>IFERROR(MID(VLOOKUP($B225,Seqs!$A:$B,2,0),O225,1),"")</f>
        <v>M</v>
      </c>
      <c r="O225" s="3">
        <v>111</v>
      </c>
      <c r="P225" s="3" t="str">
        <f>IFERROR(MID(VLOOKUP($B225,Seqs!$A:$B,2,0),Q225,1),"")</f>
        <v>T</v>
      </c>
      <c r="Q225" s="3">
        <v>113</v>
      </c>
      <c r="R225" s="3" t="str">
        <f>IFERROR(MID(VLOOKUP($B225,Seqs!$A:$B,2,0),S225,1),"")</f>
        <v>F</v>
      </c>
      <c r="S225" s="3">
        <v>116</v>
      </c>
      <c r="T225" s="3" t="str">
        <f>IFERROR(MID(VLOOKUP($B225,Seqs!$A:$B,2,0),U225,1),"")</f>
        <v>G</v>
      </c>
      <c r="U225" s="3">
        <v>117</v>
      </c>
      <c r="V225" s="3" t="str">
        <f>IFERROR(MID(VLOOKUP($B225,Seqs!$A:$B,2,0),W225,1),"")</f>
        <v>H</v>
      </c>
      <c r="W225" s="3">
        <v>152</v>
      </c>
      <c r="X225" s="3" t="str">
        <f>IFERROR(MID(VLOOKUP($B225,Seqs!$A:$B,2,0),Y225,1),"")</f>
        <v>P</v>
      </c>
      <c r="Y225" s="3">
        <v>153</v>
      </c>
      <c r="Z225" s="3" t="str">
        <f>IFERROR(MID(VLOOKUP($B225,Seqs!$A:$B,2,0),AA225,1),"")</f>
        <v>R</v>
      </c>
      <c r="AA225" s="3">
        <v>160</v>
      </c>
      <c r="AB225" s="3" t="str">
        <f>IFERROR(MID(VLOOKUP($B225,Seqs!$A:$B,2,0),AC225,1),"")</f>
        <v>T</v>
      </c>
      <c r="AC225" s="9">
        <v>161</v>
      </c>
      <c r="AD225" s="3" t="str">
        <f>IFERROR(MID(VLOOKUP($B225,Seqs!$A:$B,2,0),AE225,1),"")</f>
        <v>A</v>
      </c>
      <c r="AE225" s="3">
        <v>187</v>
      </c>
      <c r="AF225" s="3" t="str">
        <f>IFERROR(MID(VLOOKUP($B225,Seqs!$A:$B,2,0),AG225,1),"")</f>
        <v>C</v>
      </c>
      <c r="AG225" s="3">
        <v>198</v>
      </c>
      <c r="AH225" s="3" t="str">
        <f>IFERROR(MID(VLOOKUP($B225,Seqs!$A:$B,2,0),AI225,1),"")</f>
        <v>L</v>
      </c>
      <c r="AI225" s="3">
        <v>200</v>
      </c>
      <c r="AJ225" s="3" t="str">
        <f>IFERROR(MID(VLOOKUP($B225,Seqs!$A:$B,2,0),AK225,1),"")</f>
        <v>S</v>
      </c>
      <c r="AK225" s="3">
        <v>206</v>
      </c>
      <c r="AL225" s="3" t="str">
        <f>IFERROR(MID(VLOOKUP($B225,Seqs!$A:$B,2,0),AM225,1),"")</f>
        <v>V</v>
      </c>
      <c r="AM225" s="3">
        <v>243</v>
      </c>
      <c r="AN225" s="3" t="str">
        <f>IFERROR(MID(VLOOKUP($B225,Seqs!$A:$B,2,0),AO225,1),"")</f>
        <v>S</v>
      </c>
      <c r="AO225" s="3">
        <v>249</v>
      </c>
      <c r="AP225" s="3" t="str">
        <f>IFERROR(MID(VLOOKUP($B225,Seqs!$A:$B,2,0),AQ225,1),"")</f>
        <v>V</v>
      </c>
      <c r="AQ225" s="3">
        <v>287</v>
      </c>
      <c r="AR225" s="3" t="str">
        <f>IFERROR(MID(VLOOKUP($B225,Seqs!$A:$B,2,0),AS225,1),"")</f>
        <v>D</v>
      </c>
      <c r="AS225" s="3">
        <v>293</v>
      </c>
      <c r="AT225" s="3" t="str">
        <f>IFERROR(MID(VLOOKUP($B225,Seqs!$A:$B,2,0),AU225,1),"")</f>
        <v>L</v>
      </c>
      <c r="AU225" s="3">
        <v>321</v>
      </c>
      <c r="AV225" s="3" t="str">
        <f>IFERROR(MID(VLOOKUP($B225,Seqs!$A:$B,2,0),AW225,1),"")</f>
        <v>D</v>
      </c>
      <c r="AW225" s="3">
        <v>322</v>
      </c>
      <c r="AX225" s="3" t="str">
        <f>IFERROR(MID(VLOOKUP($B225,Seqs!$A:$B,2,0),AY225,1),"")</f>
        <v>T</v>
      </c>
      <c r="AY225" s="3">
        <v>335</v>
      </c>
      <c r="AZ225" s="77" t="str">
        <f>VLOOKUP(B225,Classification!A:D,2,0)</f>
        <v>A</v>
      </c>
      <c r="BA225" s="94" t="str">
        <f>VLOOKUP(B225,Classification!A:D,4,0)</f>
        <v>Opioid</v>
      </c>
      <c r="BB225" s="27" t="b">
        <f t="shared" si="1006"/>
        <v>1</v>
      </c>
      <c r="BC225" s="23">
        <f t="shared" si="979"/>
        <v>269</v>
      </c>
      <c r="BD225" s="56" t="s">
        <v>23</v>
      </c>
      <c r="BE225" s="3" t="s">
        <v>23</v>
      </c>
      <c r="BF225" s="119" t="s">
        <v>23</v>
      </c>
      <c r="BG225" s="49" t="s">
        <v>1373</v>
      </c>
      <c r="BH225" s="49" t="s">
        <v>1378</v>
      </c>
      <c r="BI225" s="1"/>
      <c r="BJ225" s="70" t="s">
        <v>1288</v>
      </c>
      <c r="BK225" s="57" t="s">
        <v>1288</v>
      </c>
      <c r="BL225" s="57" t="s">
        <v>1288</v>
      </c>
      <c r="BM225" s="57" t="s">
        <v>1288</v>
      </c>
      <c r="BN225" s="57" t="s">
        <v>1288</v>
      </c>
      <c r="BO225" s="57" t="s">
        <v>1288</v>
      </c>
      <c r="BP225" s="57" t="s">
        <v>1288</v>
      </c>
      <c r="BQ225" s="57" t="s">
        <v>1288</v>
      </c>
      <c r="BR225" s="57" t="s">
        <v>1288</v>
      </c>
      <c r="BS225" s="57" t="s">
        <v>1288</v>
      </c>
      <c r="BT225" s="57" t="s">
        <v>1288</v>
      </c>
      <c r="BU225" s="57" t="s">
        <v>1288</v>
      </c>
      <c r="BV225" s="70">
        <f t="shared" si="980"/>
        <v>41</v>
      </c>
      <c r="BW225" s="71">
        <f t="shared" si="981"/>
        <v>78</v>
      </c>
      <c r="BX225" s="72">
        <f t="shared" si="982"/>
        <v>82</v>
      </c>
      <c r="BY225" s="71">
        <f t="shared" si="983"/>
        <v>113</v>
      </c>
      <c r="BZ225" s="72">
        <f t="shared" si="984"/>
        <v>117</v>
      </c>
      <c r="CA225" s="71">
        <f t="shared" si="985"/>
        <v>153</v>
      </c>
      <c r="CB225" s="72">
        <f t="shared" si="986"/>
        <v>161</v>
      </c>
      <c r="CC225" s="71">
        <f t="shared" si="987"/>
        <v>198</v>
      </c>
      <c r="CD225" s="72">
        <f t="shared" si="988"/>
        <v>206</v>
      </c>
      <c r="CE225" s="71">
        <f t="shared" si="989"/>
        <v>249</v>
      </c>
      <c r="CF225" s="72">
        <f t="shared" si="990"/>
        <v>293</v>
      </c>
      <c r="CG225" s="71">
        <f t="shared" si="991"/>
        <v>322</v>
      </c>
      <c r="CH225" s="70">
        <f t="shared" si="992"/>
        <v>77</v>
      </c>
      <c r="CI225" s="71">
        <f t="shared" si="993"/>
        <v>81</v>
      </c>
      <c r="CJ225" s="72">
        <f t="shared" si="994"/>
        <v>111</v>
      </c>
      <c r="CK225" s="72">
        <f t="shared" si="995"/>
        <v>116</v>
      </c>
      <c r="CL225" s="72">
        <f t="shared" si="996"/>
        <v>152</v>
      </c>
      <c r="CM225" s="72">
        <f t="shared" si="997"/>
        <v>160</v>
      </c>
      <c r="CN225" s="72">
        <f t="shared" si="998"/>
        <v>187</v>
      </c>
      <c r="CO225" s="72">
        <f t="shared" si="999"/>
        <v>200</v>
      </c>
      <c r="CP225" s="72">
        <f t="shared" si="1000"/>
        <v>243</v>
      </c>
      <c r="CQ225" s="72">
        <f t="shared" si="1001"/>
        <v>287</v>
      </c>
      <c r="CR225" s="72">
        <f t="shared" si="1002"/>
        <v>321</v>
      </c>
      <c r="CS225" s="72">
        <f t="shared" si="1003"/>
        <v>335</v>
      </c>
      <c r="CT225" s="23">
        <f t="shared" si="1004"/>
        <v>1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  <c r="AMP225" s="1"/>
    </row>
    <row r="226" spans="1:1030" s="2" customFormat="1" x14ac:dyDescent="0.2">
      <c r="A226" s="3" t="str">
        <f t="shared" si="1005"/>
        <v>oprd_mouse_4EJ4</v>
      </c>
      <c r="B226" s="3" t="s">
        <v>916</v>
      </c>
      <c r="C226" s="3" t="s">
        <v>64</v>
      </c>
      <c r="D226" s="3" t="str">
        <f>IFERROR(MID(VLOOKUP($B226,Seqs!$A:$B,2,0),E226,1),"")</f>
        <v>R</v>
      </c>
      <c r="E226" s="3">
        <v>41</v>
      </c>
      <c r="F226" s="3" t="str">
        <f>IFERROR(MID(VLOOKUP($B226,Seqs!$A:$B,2,0),G226,1),"")</f>
        <v>Y</v>
      </c>
      <c r="G226" s="3">
        <v>77</v>
      </c>
      <c r="H226" s="3" t="str">
        <f>IFERROR(MID(VLOOKUP($B226,Seqs!$A:$B,2,0),I226,1),"")</f>
        <v>T</v>
      </c>
      <c r="I226" s="23">
        <v>78</v>
      </c>
      <c r="J226" s="3" t="str">
        <f>IFERROR(MID(VLOOKUP($B226,Seqs!$A:$B,2,0),K226,1),"")</f>
        <v>K</v>
      </c>
      <c r="K226" s="23">
        <v>81</v>
      </c>
      <c r="L226" s="3" t="str">
        <f>IFERROR(MID(VLOOKUP($B226,Seqs!$A:$B,2,0),M226,1),"")</f>
        <v>T</v>
      </c>
      <c r="M226" s="3">
        <v>82</v>
      </c>
      <c r="N226" s="3" t="str">
        <f>IFERROR(MID(VLOOKUP($B226,Seqs!$A:$B,2,0),O226,1),"")</f>
        <v>M</v>
      </c>
      <c r="O226" s="3">
        <v>111</v>
      </c>
      <c r="P226" s="3" t="str">
        <f>IFERROR(MID(VLOOKUP($B226,Seqs!$A:$B,2,0),Q226,1),"")</f>
        <v>T</v>
      </c>
      <c r="Q226" s="3">
        <v>113</v>
      </c>
      <c r="R226" s="3" t="str">
        <f>IFERROR(MID(VLOOKUP($B226,Seqs!$A:$B,2,0),S226,1),"")</f>
        <v>F</v>
      </c>
      <c r="S226" s="3">
        <v>116</v>
      </c>
      <c r="T226" s="3" t="str">
        <f>IFERROR(MID(VLOOKUP($B226,Seqs!$A:$B,2,0),U226,1),"")</f>
        <v>G</v>
      </c>
      <c r="U226" s="3">
        <v>117</v>
      </c>
      <c r="V226" s="3" t="str">
        <f>IFERROR(MID(VLOOKUP($B226,Seqs!$A:$B,2,0),W226,1),"")</f>
        <v>H</v>
      </c>
      <c r="W226" s="3">
        <v>152</v>
      </c>
      <c r="X226" s="3" t="str">
        <f>IFERROR(MID(VLOOKUP($B226,Seqs!$A:$B,2,0),Y226,1),"")</f>
        <v>P</v>
      </c>
      <c r="Y226" s="3">
        <v>153</v>
      </c>
      <c r="Z226" s="3" t="str">
        <f>IFERROR(MID(VLOOKUP($B226,Seqs!$A:$B,2,0),AA226,1),"")</f>
        <v>R</v>
      </c>
      <c r="AA226" s="3">
        <v>160</v>
      </c>
      <c r="AB226" s="3" t="str">
        <f>IFERROR(MID(VLOOKUP($B226,Seqs!$A:$B,2,0),AC226,1),"")</f>
        <v>T</v>
      </c>
      <c r="AC226" s="9">
        <v>161</v>
      </c>
      <c r="AD226" s="3" t="str">
        <f>IFERROR(MID(VLOOKUP($B226,Seqs!$A:$B,2,0),AE226,1),"")</f>
        <v>A</v>
      </c>
      <c r="AE226" s="3">
        <v>187</v>
      </c>
      <c r="AF226" s="3" t="str">
        <f>IFERROR(MID(VLOOKUP($B226,Seqs!$A:$B,2,0),AG226,1),"")</f>
        <v>C</v>
      </c>
      <c r="AG226" s="3">
        <v>198</v>
      </c>
      <c r="AH226" s="3" t="str">
        <f>IFERROR(MID(VLOOKUP($B226,Seqs!$A:$B,2,0),AI226,1),"")</f>
        <v>L</v>
      </c>
      <c r="AI226" s="3">
        <v>200</v>
      </c>
      <c r="AJ226" s="3" t="str">
        <f>IFERROR(MID(VLOOKUP($B226,Seqs!$A:$B,2,0),AK226,1),"")</f>
        <v>S</v>
      </c>
      <c r="AK226" s="3">
        <v>206</v>
      </c>
      <c r="AL226" s="3" t="str">
        <f>IFERROR(MID(VLOOKUP($B226,Seqs!$A:$B,2,0),AM226,1),"")</f>
        <v>L</v>
      </c>
      <c r="AM226" s="3">
        <v>238</v>
      </c>
      <c r="AN226" s="3" t="str">
        <f>IFERROR(MID(VLOOKUP($B226,Seqs!$A:$B,2,0),AO226,1),"")</f>
        <v>R</v>
      </c>
      <c r="AO226" s="3">
        <v>258</v>
      </c>
      <c r="AP226" s="3" t="str">
        <f>IFERROR(MID(VLOOKUP($B226,Seqs!$A:$B,2,0),AQ226,1),"")</f>
        <v>V</v>
      </c>
      <c r="AQ226" s="3">
        <v>287</v>
      </c>
      <c r="AR226" s="3" t="str">
        <f>IFERROR(MID(VLOOKUP($B226,Seqs!$A:$B,2,0),AS226,1),"")</f>
        <v>D</v>
      </c>
      <c r="AS226" s="3">
        <v>293</v>
      </c>
      <c r="AT226" s="3" t="str">
        <f>IFERROR(MID(VLOOKUP($B226,Seqs!$A:$B,2,0),AU226,1),"")</f>
        <v>L</v>
      </c>
      <c r="AU226" s="3">
        <v>321</v>
      </c>
      <c r="AV226" s="3" t="str">
        <f>IFERROR(MID(VLOOKUP($B226,Seqs!$A:$B,2,0),AW226,1),"")</f>
        <v>D</v>
      </c>
      <c r="AW226" s="3">
        <v>322</v>
      </c>
      <c r="AX226" s="3" t="str">
        <f>IFERROR(MID(VLOOKUP($B226,Seqs!$A:$B,2,0),AY226,1),"")</f>
        <v>C</v>
      </c>
      <c r="AY226" s="3">
        <v>328</v>
      </c>
      <c r="AZ226" s="77" t="str">
        <f>VLOOKUP(B226,Classification!A:D,2,0)</f>
        <v>A</v>
      </c>
      <c r="BA226" s="94" t="str">
        <f>VLOOKUP(B226,Classification!A:D,4,0)</f>
        <v>Opioid</v>
      </c>
      <c r="BB226" s="27" t="b">
        <f t="shared" si="1006"/>
        <v>1</v>
      </c>
      <c r="BC226" s="23">
        <f t="shared" si="979"/>
        <v>248</v>
      </c>
      <c r="BD226" s="2" t="s">
        <v>1377</v>
      </c>
      <c r="BE226" s="3" t="s">
        <v>1375</v>
      </c>
      <c r="BF226" s="119">
        <v>3.4</v>
      </c>
      <c r="BG226" s="49" t="s">
        <v>1378</v>
      </c>
      <c r="BH226" s="49" t="s">
        <v>1378</v>
      </c>
      <c r="BI226" s="1"/>
      <c r="BJ226" s="70" t="s">
        <v>1288</v>
      </c>
      <c r="BK226" s="57" t="s">
        <v>1288</v>
      </c>
      <c r="BL226" s="57" t="s">
        <v>1288</v>
      </c>
      <c r="BM226" s="57" t="s">
        <v>1288</v>
      </c>
      <c r="BN226" s="57" t="s">
        <v>1288</v>
      </c>
      <c r="BO226" s="57" t="s">
        <v>1288</v>
      </c>
      <c r="BP226" s="57" t="s">
        <v>1288</v>
      </c>
      <c r="BQ226" s="57" t="s">
        <v>1288</v>
      </c>
      <c r="BR226" s="57" t="s">
        <v>1288</v>
      </c>
      <c r="BS226" s="57" t="s">
        <v>1288</v>
      </c>
      <c r="BT226" s="57" t="s">
        <v>1288</v>
      </c>
      <c r="BU226" s="57" t="s">
        <v>1288</v>
      </c>
      <c r="BV226" s="70">
        <f t="shared" si="980"/>
        <v>41</v>
      </c>
      <c r="BW226" s="71">
        <f t="shared" si="981"/>
        <v>78</v>
      </c>
      <c r="BX226" s="72">
        <f t="shared" si="982"/>
        <v>82</v>
      </c>
      <c r="BY226" s="71">
        <f t="shared" si="983"/>
        <v>113</v>
      </c>
      <c r="BZ226" s="72">
        <f t="shared" si="984"/>
        <v>117</v>
      </c>
      <c r="CA226" s="71">
        <f t="shared" si="985"/>
        <v>153</v>
      </c>
      <c r="CB226" s="72">
        <f t="shared" si="986"/>
        <v>161</v>
      </c>
      <c r="CC226" s="71">
        <f t="shared" si="987"/>
        <v>198</v>
      </c>
      <c r="CD226" s="72">
        <f t="shared" si="988"/>
        <v>206</v>
      </c>
      <c r="CE226" s="71">
        <f t="shared" si="989"/>
        <v>258</v>
      </c>
      <c r="CF226" s="72">
        <f t="shared" si="990"/>
        <v>293</v>
      </c>
      <c r="CG226" s="71">
        <f t="shared" si="991"/>
        <v>322</v>
      </c>
      <c r="CH226" s="70">
        <f t="shared" si="992"/>
        <v>77</v>
      </c>
      <c r="CI226" s="71">
        <f t="shared" si="993"/>
        <v>81</v>
      </c>
      <c r="CJ226" s="72">
        <f t="shared" si="994"/>
        <v>111</v>
      </c>
      <c r="CK226" s="72">
        <f t="shared" si="995"/>
        <v>116</v>
      </c>
      <c r="CL226" s="72">
        <f t="shared" si="996"/>
        <v>152</v>
      </c>
      <c r="CM226" s="72">
        <f t="shared" si="997"/>
        <v>160</v>
      </c>
      <c r="CN226" s="72">
        <f t="shared" si="998"/>
        <v>187</v>
      </c>
      <c r="CO226" s="72">
        <f t="shared" si="999"/>
        <v>200</v>
      </c>
      <c r="CP226" s="72">
        <f t="shared" si="1000"/>
        <v>238</v>
      </c>
      <c r="CQ226" s="72">
        <f t="shared" si="1001"/>
        <v>287</v>
      </c>
      <c r="CR226" s="72">
        <f t="shared" si="1002"/>
        <v>321</v>
      </c>
      <c r="CS226" s="72">
        <f t="shared" si="1003"/>
        <v>328</v>
      </c>
      <c r="CT226" s="23">
        <f t="shared" si="1004"/>
        <v>1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  <c r="AMP226" s="1"/>
    </row>
    <row r="227" spans="1:1030" x14ac:dyDescent="0.2">
      <c r="A227" s="3" t="str">
        <f t="shared" si="1005"/>
        <v>oprk_human__wt</v>
      </c>
      <c r="B227" s="3" t="s">
        <v>336</v>
      </c>
      <c r="C227" s="3" t="s">
        <v>100</v>
      </c>
      <c r="D227" s="3" t="str">
        <f>IFERROR(MID(VLOOKUP($B227,Seqs!$A:$B,2,0),E227,1),"")</f>
        <v>A</v>
      </c>
      <c r="E227" s="3">
        <v>57</v>
      </c>
      <c r="F227" s="3" t="str">
        <f>IFERROR(MID(VLOOKUP($B227,Seqs!$A:$B,2,0),G227,1),"")</f>
        <v>Y</v>
      </c>
      <c r="G227" s="3">
        <v>87</v>
      </c>
      <c r="H227" s="3" t="str">
        <f>IFERROR(MID(VLOOKUP($B227,Seqs!$A:$B,2,0),I227,1),"")</f>
        <v>T</v>
      </c>
      <c r="I227" s="23">
        <v>88</v>
      </c>
      <c r="J227" s="3" t="str">
        <f>IFERROR(MID(VLOOKUP($B227,Seqs!$A:$B,2,0),K227,1),"")</f>
        <v>K</v>
      </c>
      <c r="K227" s="23">
        <v>91</v>
      </c>
      <c r="L227" s="3" t="str">
        <f>IFERROR(MID(VLOOKUP($B227,Seqs!$A:$B,2,0),M227,1),"")</f>
        <v>T</v>
      </c>
      <c r="M227" s="3">
        <v>92</v>
      </c>
      <c r="N227" s="3" t="str">
        <f>IFERROR(MID(VLOOKUP($B227,Seqs!$A:$B,2,0),O227,1),"")</f>
        <v>N</v>
      </c>
      <c r="O227" s="105">
        <v>122</v>
      </c>
      <c r="P227" s="3" t="str">
        <f>IFERROR(MID(VLOOKUP($B227,Seqs!$A:$B,2,0),Q227,1),"")</f>
        <v>S</v>
      </c>
      <c r="Q227" s="3">
        <v>123</v>
      </c>
      <c r="R227" s="3" t="str">
        <f>IFERROR(MID(VLOOKUP($B227,Seqs!$A:$B,2,0),S227,1),"")</f>
        <v>F</v>
      </c>
      <c r="S227" s="3">
        <v>126</v>
      </c>
      <c r="T227" s="3" t="str">
        <f>IFERROR(MID(VLOOKUP($B227,Seqs!$A:$B,2,0),U227,1),"")</f>
        <v>G</v>
      </c>
      <c r="U227" s="3">
        <v>127</v>
      </c>
      <c r="V227" s="3" t="str">
        <f>IFERROR(MID(VLOOKUP($B227,Seqs!$A:$B,2,0),W227,1),"")</f>
        <v>H</v>
      </c>
      <c r="W227" s="3">
        <v>162</v>
      </c>
      <c r="X227" s="3" t="str">
        <f>IFERROR(MID(VLOOKUP($B227,Seqs!$A:$B,2,0),Y227,1),"")</f>
        <v>P</v>
      </c>
      <c r="Y227" s="3">
        <v>163</v>
      </c>
      <c r="Z227" s="3" t="str">
        <f>IFERROR(MID(VLOOKUP($B227,Seqs!$A:$B,2,0),AA227,1),"")</f>
        <v>R</v>
      </c>
      <c r="AA227" s="3">
        <v>170</v>
      </c>
      <c r="AB227" s="3" t="str">
        <f>IFERROR(MID(VLOOKUP($B227,Seqs!$A:$B,2,0),AC227,1),"")</f>
        <v>T</v>
      </c>
      <c r="AC227" s="9">
        <v>171</v>
      </c>
      <c r="AD227" s="3" t="str">
        <f>IFERROR(MID(VLOOKUP($B227,Seqs!$A:$B,2,0),AE227,1),"")</f>
        <v>G</v>
      </c>
      <c r="AE227" s="3">
        <v>197</v>
      </c>
      <c r="AF227" s="3" t="str">
        <f>IFERROR(MID(VLOOKUP($B227,Seqs!$A:$B,2,0),AG227,1),"")</f>
        <v>C</v>
      </c>
      <c r="AG227" s="3">
        <v>210</v>
      </c>
      <c r="AH227" s="3" t="str">
        <f>IFERROR(MID(VLOOKUP($B227,Seqs!$A:$B,2,0),AI227,1),"")</f>
        <v>L</v>
      </c>
      <c r="AI227" s="3">
        <v>212</v>
      </c>
      <c r="AJ227" s="3" t="str">
        <f>IFERROR(MID(VLOOKUP($B227,Seqs!$A:$B,2,0),AK227,1),"")</f>
        <v>D</v>
      </c>
      <c r="AK227" s="105">
        <v>218</v>
      </c>
      <c r="AL227" s="3" t="str">
        <f>IFERROR(MID(VLOOKUP($B227,Seqs!$A:$B,2,0),AM227,1),"")</f>
        <v>V</v>
      </c>
      <c r="AM227" s="3">
        <v>256</v>
      </c>
      <c r="AN227" s="3" t="str">
        <f>IFERROR(MID(VLOOKUP($B227,Seqs!$A:$B,2,0),AO227,1),"")</f>
        <v>S</v>
      </c>
      <c r="AO227" s="3">
        <v>262</v>
      </c>
      <c r="AP227" s="3" t="str">
        <f>IFERROR(MID(VLOOKUP($B227,Seqs!$A:$B,2,0),AQ227,1),"")</f>
        <v>G</v>
      </c>
      <c r="AQ227" s="3">
        <v>300</v>
      </c>
      <c r="AR227" s="3" t="str">
        <f>IFERROR(MID(VLOOKUP($B227,Seqs!$A:$B,2,0),AS227,1),"")</f>
        <v>S</v>
      </c>
      <c r="AS227" s="3">
        <v>305</v>
      </c>
      <c r="AT227" s="3" t="str">
        <f>IFERROR(MID(VLOOKUP($B227,Seqs!$A:$B,2,0),AU227,1),"")</f>
        <v>L</v>
      </c>
      <c r="AU227" s="3">
        <v>333</v>
      </c>
      <c r="AV227" s="3" t="str">
        <f>IFERROR(MID(VLOOKUP($B227,Seqs!$A:$B,2,0),AW227,1),"")</f>
        <v>D</v>
      </c>
      <c r="AW227" s="3">
        <v>334</v>
      </c>
      <c r="AX227" s="3" t="str">
        <f>IFERROR(MID(VLOOKUP($B227,Seqs!$A:$B,2,0),AY227,1),"")</f>
        <v>F</v>
      </c>
      <c r="AY227" s="3">
        <v>346</v>
      </c>
      <c r="AZ227" s="77" t="str">
        <f>VLOOKUP(B227,Classification!A:D,2,0)</f>
        <v>A</v>
      </c>
      <c r="BA227" s="94" t="str">
        <f>VLOOKUP(B227,Classification!A:D,4,0)</f>
        <v>Opioid</v>
      </c>
      <c r="BB227" s="27" t="b">
        <f t="shared" si="1006"/>
        <v>1</v>
      </c>
      <c r="BC227" s="23">
        <f t="shared" si="979"/>
        <v>264</v>
      </c>
      <c r="BD227" s="56" t="s">
        <v>23</v>
      </c>
      <c r="BE227" s="3" t="s">
        <v>23</v>
      </c>
      <c r="BF227" s="119" t="s">
        <v>23</v>
      </c>
      <c r="BG227" s="49" t="s">
        <v>1373</v>
      </c>
      <c r="BH227" s="49" t="s">
        <v>1378</v>
      </c>
      <c r="BI227" s="1"/>
      <c r="BJ227" s="70" t="s">
        <v>1288</v>
      </c>
      <c r="BK227" s="57" t="s">
        <v>1288</v>
      </c>
      <c r="BL227" s="57" t="s">
        <v>1288</v>
      </c>
      <c r="BM227" s="57" t="s">
        <v>1288</v>
      </c>
      <c r="BN227" s="57" t="s">
        <v>1288</v>
      </c>
      <c r="BO227" s="57" t="s">
        <v>1288</v>
      </c>
      <c r="BP227" s="57" t="s">
        <v>1288</v>
      </c>
      <c r="BQ227" s="57" t="s">
        <v>1288</v>
      </c>
      <c r="BR227" s="57" t="s">
        <v>1288</v>
      </c>
      <c r="BS227" s="57" t="s">
        <v>1288</v>
      </c>
      <c r="BT227" s="57" t="s">
        <v>1288</v>
      </c>
      <c r="BU227" s="57" t="s">
        <v>1288</v>
      </c>
      <c r="BV227" s="70">
        <f t="shared" si="980"/>
        <v>57</v>
      </c>
      <c r="BW227" s="71">
        <f t="shared" si="981"/>
        <v>88</v>
      </c>
      <c r="BX227" s="72">
        <f t="shared" si="982"/>
        <v>92</v>
      </c>
      <c r="BY227" s="71">
        <f t="shared" si="983"/>
        <v>123</v>
      </c>
      <c r="BZ227" s="72">
        <f t="shared" si="984"/>
        <v>127</v>
      </c>
      <c r="CA227" s="71">
        <f t="shared" si="985"/>
        <v>163</v>
      </c>
      <c r="CB227" s="72">
        <f t="shared" si="986"/>
        <v>171</v>
      </c>
      <c r="CC227" s="71">
        <f t="shared" si="987"/>
        <v>210</v>
      </c>
      <c r="CD227" s="72">
        <f t="shared" si="988"/>
        <v>218</v>
      </c>
      <c r="CE227" s="71">
        <f t="shared" si="989"/>
        <v>262</v>
      </c>
      <c r="CF227" s="72">
        <f t="shared" si="990"/>
        <v>305</v>
      </c>
      <c r="CG227" s="71">
        <f t="shared" si="991"/>
        <v>334</v>
      </c>
      <c r="CH227" s="70">
        <f t="shared" si="992"/>
        <v>87</v>
      </c>
      <c r="CI227" s="71">
        <f t="shared" si="993"/>
        <v>91</v>
      </c>
      <c r="CJ227" s="72">
        <f t="shared" si="994"/>
        <v>122</v>
      </c>
      <c r="CK227" s="72">
        <f t="shared" si="995"/>
        <v>126</v>
      </c>
      <c r="CL227" s="72">
        <f t="shared" si="996"/>
        <v>162</v>
      </c>
      <c r="CM227" s="72">
        <f t="shared" si="997"/>
        <v>170</v>
      </c>
      <c r="CN227" s="72">
        <f t="shared" si="998"/>
        <v>197</v>
      </c>
      <c r="CO227" s="72">
        <f t="shared" si="999"/>
        <v>212</v>
      </c>
      <c r="CP227" s="72">
        <f t="shared" si="1000"/>
        <v>256</v>
      </c>
      <c r="CQ227" s="72">
        <f t="shared" si="1001"/>
        <v>300</v>
      </c>
      <c r="CR227" s="72">
        <f t="shared" si="1002"/>
        <v>333</v>
      </c>
      <c r="CS227" s="72">
        <f t="shared" si="1003"/>
        <v>346</v>
      </c>
      <c r="CT227" s="23">
        <f t="shared" si="1004"/>
        <v>1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30" x14ac:dyDescent="0.2">
      <c r="A228" s="3" t="str">
        <f t="shared" si="1005"/>
        <v>oprk_human_4DJH</v>
      </c>
      <c r="B228" s="3" t="s">
        <v>336</v>
      </c>
      <c r="C228" s="3" t="s">
        <v>88</v>
      </c>
      <c r="D228" s="3" t="str">
        <f>IFERROR(MID(VLOOKUP($B228,Seqs!$A:$B,2,0),E228,1),"")</f>
        <v>A</v>
      </c>
      <c r="E228" s="3">
        <v>57</v>
      </c>
      <c r="F228" s="3" t="str">
        <f>IFERROR(MID(VLOOKUP($B228,Seqs!$A:$B,2,0),G228,1),"")</f>
        <v>Y</v>
      </c>
      <c r="G228" s="3">
        <v>87</v>
      </c>
      <c r="H228" s="3" t="str">
        <f>IFERROR(MID(VLOOKUP($B228,Seqs!$A:$B,2,0),I228,1),"")</f>
        <v>T</v>
      </c>
      <c r="I228" s="23">
        <v>88</v>
      </c>
      <c r="J228" s="3" t="str">
        <f>IFERROR(MID(VLOOKUP($B228,Seqs!$A:$B,2,0),K228,1),"")</f>
        <v>K</v>
      </c>
      <c r="K228" s="23">
        <v>91</v>
      </c>
      <c r="L228" s="3" t="str">
        <f>IFERROR(MID(VLOOKUP($B228,Seqs!$A:$B,2,0),M228,1),"")</f>
        <v>T</v>
      </c>
      <c r="M228" s="3">
        <v>92</v>
      </c>
      <c r="N228" s="3" t="str">
        <f>IFERROR(MID(VLOOKUP($B228,Seqs!$A:$B,2,0),O228,1),"")</f>
        <v>N</v>
      </c>
      <c r="O228" s="3">
        <v>122</v>
      </c>
      <c r="P228" s="3" t="str">
        <f>IFERROR(MID(VLOOKUP($B228,Seqs!$A:$B,2,0),Q228,1),"")</f>
        <v>S</v>
      </c>
      <c r="Q228" s="3">
        <v>123</v>
      </c>
      <c r="R228" s="3" t="str">
        <f>IFERROR(MID(VLOOKUP($B228,Seqs!$A:$B,2,0),S228,1),"")</f>
        <v>F</v>
      </c>
      <c r="S228" s="3">
        <v>126</v>
      </c>
      <c r="T228" s="3" t="str">
        <f>IFERROR(MID(VLOOKUP($B228,Seqs!$A:$B,2,0),U228,1),"")</f>
        <v>G</v>
      </c>
      <c r="U228" s="3">
        <v>127</v>
      </c>
      <c r="V228" s="3" t="str">
        <f>IFERROR(MID(VLOOKUP($B228,Seqs!$A:$B,2,0),W228,1),"")</f>
        <v>H</v>
      </c>
      <c r="W228" s="3">
        <v>162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R</v>
      </c>
      <c r="AC228" s="9">
        <v>170</v>
      </c>
      <c r="AD228" s="3" t="str">
        <f>IFERROR(MID(VLOOKUP($B228,Seqs!$A:$B,2,0),AE228,1),"")</f>
        <v>G</v>
      </c>
      <c r="AE228" s="3">
        <v>197</v>
      </c>
      <c r="AF228" s="3" t="str">
        <f>IFERROR(MID(VLOOKUP($B228,Seqs!$A:$B,2,0),AG228,1),"")</f>
        <v>C</v>
      </c>
      <c r="AG228" s="3">
        <v>210</v>
      </c>
      <c r="AH228" s="3" t="str">
        <f>IFERROR(MID(VLOOKUP($B228,Seqs!$A:$B,2,0),AI228,1),"")</f>
        <v>L</v>
      </c>
      <c r="AI228" s="3">
        <v>212</v>
      </c>
      <c r="AJ228" s="3" t="str">
        <f>IFERROR(MID(VLOOKUP($B228,Seqs!$A:$B,2,0),AK228,1),"")</f>
        <v>D</v>
      </c>
      <c r="AK228" s="3">
        <v>218</v>
      </c>
      <c r="AL228" s="3" t="str">
        <f>IFERROR(MID(VLOOKUP($B228,Seqs!$A:$B,2,0),AM228,1),"")</f>
        <v>V</v>
      </c>
      <c r="AM228" s="3">
        <v>256</v>
      </c>
      <c r="AN228" s="3" t="str">
        <f>IFERROR(MID(VLOOKUP($B228,Seqs!$A:$B,2,0),AO228,1),"")</f>
        <v>R</v>
      </c>
      <c r="AO228" s="3">
        <v>267</v>
      </c>
      <c r="AP228" s="3" t="str">
        <f>IFERROR(MID(VLOOKUP($B228,Seqs!$A:$B,2,0),AQ228,1),"")</f>
        <v>G</v>
      </c>
      <c r="AQ228" s="3">
        <v>300</v>
      </c>
      <c r="AR228" s="3" t="str">
        <f>IFERROR(MID(VLOOKUP($B228,Seqs!$A:$B,2,0),AS228,1),"")</f>
        <v>A</v>
      </c>
      <c r="AS228" s="3">
        <v>308</v>
      </c>
      <c r="AT228" s="3" t="str">
        <f>IFERROR(MID(VLOOKUP($B228,Seqs!$A:$B,2,0),AU228,1),"")</f>
        <v>L</v>
      </c>
      <c r="AU228" s="3">
        <v>333</v>
      </c>
      <c r="AV228" s="3" t="str">
        <f>IFERROR(MID(VLOOKUP($B228,Seqs!$A:$B,2,0),AW228,1),"")</f>
        <v>D</v>
      </c>
      <c r="AW228" s="3">
        <v>334</v>
      </c>
      <c r="AX228" s="3" t="str">
        <f>IFERROR(MID(VLOOKUP($B228,Seqs!$A:$B,2,0),AY228,1),"")</f>
        <v>F</v>
      </c>
      <c r="AY228" s="3">
        <v>346</v>
      </c>
      <c r="AZ228" s="77" t="str">
        <f>VLOOKUP(B228,Classification!A:D,2,0)</f>
        <v>A</v>
      </c>
      <c r="BA228" s="94" t="str">
        <f>VLOOKUP(B228,Classification!A:D,4,0)</f>
        <v>Opioid</v>
      </c>
      <c r="BB228" s="27" t="b">
        <f t="shared" si="1006"/>
        <v>1</v>
      </c>
      <c r="BC228" s="23">
        <f t="shared" si="979"/>
        <v>250</v>
      </c>
      <c r="BD228" s="2" t="s">
        <v>1377</v>
      </c>
      <c r="BE228" s="3" t="s">
        <v>1375</v>
      </c>
      <c r="BF228" s="119">
        <v>2.9</v>
      </c>
      <c r="BG228" s="49" t="s">
        <v>1378</v>
      </c>
      <c r="BH228" s="49" t="s">
        <v>1378</v>
      </c>
      <c r="BI228" s="1"/>
      <c r="BJ228" s="70" t="s">
        <v>1288</v>
      </c>
      <c r="BK228" s="57" t="s">
        <v>1288</v>
      </c>
      <c r="BL228" s="57" t="s">
        <v>1288</v>
      </c>
      <c r="BM228" s="57" t="s">
        <v>1288</v>
      </c>
      <c r="BN228" s="57" t="s">
        <v>1288</v>
      </c>
      <c r="BO228" s="57" t="s">
        <v>1288</v>
      </c>
      <c r="BP228" s="57" t="s">
        <v>1288</v>
      </c>
      <c r="BQ228" s="57" t="s">
        <v>1288</v>
      </c>
      <c r="BR228" s="57" t="s">
        <v>1288</v>
      </c>
      <c r="BS228" s="57" t="s">
        <v>1288</v>
      </c>
      <c r="BT228" s="57" t="s">
        <v>1288</v>
      </c>
      <c r="BU228" s="57" t="s">
        <v>1288</v>
      </c>
      <c r="BV228" s="70">
        <f t="shared" si="980"/>
        <v>57</v>
      </c>
      <c r="BW228" s="71">
        <f t="shared" si="981"/>
        <v>88</v>
      </c>
      <c r="BX228" s="72">
        <f t="shared" si="982"/>
        <v>92</v>
      </c>
      <c r="BY228" s="71">
        <f t="shared" si="983"/>
        <v>123</v>
      </c>
      <c r="BZ228" s="72">
        <f t="shared" si="984"/>
        <v>127</v>
      </c>
      <c r="CA228" s="71" t="str">
        <f t="shared" si="985"/>
        <v>-</v>
      </c>
      <c r="CB228" s="72">
        <f t="shared" si="986"/>
        <v>170</v>
      </c>
      <c r="CC228" s="71">
        <f t="shared" si="987"/>
        <v>210</v>
      </c>
      <c r="CD228" s="72">
        <f t="shared" si="988"/>
        <v>218</v>
      </c>
      <c r="CE228" s="71">
        <f t="shared" si="989"/>
        <v>267</v>
      </c>
      <c r="CF228" s="72">
        <f t="shared" si="990"/>
        <v>308</v>
      </c>
      <c r="CG228" s="71">
        <f t="shared" si="991"/>
        <v>334</v>
      </c>
      <c r="CH228" s="70">
        <f t="shared" si="992"/>
        <v>87</v>
      </c>
      <c r="CI228" s="71">
        <f t="shared" si="993"/>
        <v>91</v>
      </c>
      <c r="CJ228" s="72">
        <f t="shared" si="994"/>
        <v>122</v>
      </c>
      <c r="CK228" s="72">
        <f t="shared" si="995"/>
        <v>126</v>
      </c>
      <c r="CL228" s="72">
        <f t="shared" si="996"/>
        <v>162</v>
      </c>
      <c r="CM228" s="72" t="str">
        <f t="shared" si="997"/>
        <v>-</v>
      </c>
      <c r="CN228" s="72">
        <f t="shared" si="998"/>
        <v>197</v>
      </c>
      <c r="CO228" s="72">
        <f t="shared" si="999"/>
        <v>212</v>
      </c>
      <c r="CP228" s="72">
        <f t="shared" si="1000"/>
        <v>256</v>
      </c>
      <c r="CQ228" s="72">
        <f t="shared" si="1001"/>
        <v>300</v>
      </c>
      <c r="CR228" s="72">
        <f t="shared" si="1002"/>
        <v>333</v>
      </c>
      <c r="CS228" s="72">
        <f t="shared" si="1003"/>
        <v>346</v>
      </c>
      <c r="CT228" s="23">
        <f t="shared" si="1004"/>
        <v>1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</row>
    <row r="229" spans="1:1030" x14ac:dyDescent="0.2">
      <c r="A229" s="3" t="str">
        <f>CONCATENATE(B229,"_",C229)</f>
        <v>oprk_human_6B73</v>
      </c>
      <c r="B229" s="3" t="s">
        <v>336</v>
      </c>
      <c r="C229" s="3" t="s">
        <v>1464</v>
      </c>
      <c r="D229" s="3" t="str">
        <f>IFERROR(MID(VLOOKUP($B229,Seqs!$A:$B,2,0),E229,1),"")</f>
        <v>A</v>
      </c>
      <c r="E229" s="3">
        <v>57</v>
      </c>
      <c r="F229" s="3" t="str">
        <f>IFERROR(MID(VLOOKUP($B229,Seqs!$A:$B,2,0),G229,1),"")</f>
        <v>Y</v>
      </c>
      <c r="G229" s="3">
        <v>87</v>
      </c>
      <c r="H229" s="3" t="str">
        <f>IFERROR(MID(VLOOKUP($B229,Seqs!$A:$B,2,0),I229,1),"")</f>
        <v/>
      </c>
      <c r="I229" s="23" t="s">
        <v>23</v>
      </c>
      <c r="J229" s="3" t="str">
        <f>IFERROR(MID(VLOOKUP($B229,Seqs!$A:$B,2,0),K229,1),"")</f>
        <v/>
      </c>
      <c r="K229" s="23" t="s">
        <v>23</v>
      </c>
      <c r="L229" s="3" t="str">
        <f>IFERROR(MID(VLOOKUP($B229,Seqs!$A:$B,2,0),M229,1),"")</f>
        <v>T</v>
      </c>
      <c r="M229" s="3">
        <v>92</v>
      </c>
      <c r="N229" s="3" t="str">
        <f>IFERROR(MID(VLOOKUP($B229,Seqs!$A:$B,2,0),O229,1),"")</f>
        <v>N</v>
      </c>
      <c r="O229" s="3">
        <v>122</v>
      </c>
      <c r="P229" s="3" t="str">
        <f>IFERROR(MID(VLOOKUP($B229,Seqs!$A:$B,2,0),Q229,1),"")</f>
        <v>S</v>
      </c>
      <c r="Q229" s="3">
        <v>123</v>
      </c>
      <c r="R229" s="3" t="str">
        <f>IFERROR(MID(VLOOKUP($B229,Seqs!$A:$B,2,0),S229,1),"")</f>
        <v>F</v>
      </c>
      <c r="S229" s="3">
        <v>126</v>
      </c>
      <c r="T229" s="3" t="str">
        <f>IFERROR(MID(VLOOKUP($B229,Seqs!$A:$B,2,0),U229,1),"")</f>
        <v>G</v>
      </c>
      <c r="U229" s="3">
        <v>127</v>
      </c>
      <c r="V229" s="3" t="str">
        <f>IFERROR(MID(VLOOKUP($B229,Seqs!$A:$B,2,0),W229,1),"")</f>
        <v>H</v>
      </c>
      <c r="W229" s="3">
        <v>162</v>
      </c>
      <c r="X229" s="3" t="str">
        <f>IFERROR(MID(VLOOKUP($B229,Seqs!$A:$B,2,0),Y229,1),"")</f>
        <v>P</v>
      </c>
      <c r="Y229" s="3">
        <v>163</v>
      </c>
      <c r="Z229" s="3" t="str">
        <f>IFERROR(MID(VLOOKUP($B229,Seqs!$A:$B,2,0),AA229,1),"")</f>
        <v>R</v>
      </c>
      <c r="AA229" s="3">
        <v>170</v>
      </c>
      <c r="AB229" s="3" t="str">
        <f>IFERROR(MID(VLOOKUP($B229,Seqs!$A:$B,2,0),AC229,1),"")</f>
        <v>T</v>
      </c>
      <c r="AC229" s="3">
        <v>171</v>
      </c>
      <c r="AD229" s="3" t="str">
        <f>IFERROR(MID(VLOOKUP($B229,Seqs!$A:$B,2,0),AE229,1),"")</f>
        <v>G</v>
      </c>
      <c r="AE229" s="3">
        <v>197</v>
      </c>
      <c r="AF229" s="3" t="str">
        <f>IFERROR(MID(VLOOKUP($B229,Seqs!$A:$B,2,0),AG229,1),"")</f>
        <v>C</v>
      </c>
      <c r="AG229" s="3">
        <v>210</v>
      </c>
      <c r="AH229" s="3" t="str">
        <f>IFERROR(MID(VLOOKUP($B229,Seqs!$A:$B,2,0),AI229,1),"")</f>
        <v>L</v>
      </c>
      <c r="AI229" s="3">
        <v>212</v>
      </c>
      <c r="AJ229" s="3" t="str">
        <f>IFERROR(MID(VLOOKUP($B229,Seqs!$A:$B,2,0),AK229,1),"")</f>
        <v>W</v>
      </c>
      <c r="AK229" s="3">
        <v>221</v>
      </c>
      <c r="AL229" s="3" t="str">
        <f>IFERROR(MID(VLOOKUP($B229,Seqs!$A:$B,2,0),AM229,1),"")</f>
        <v>S</v>
      </c>
      <c r="AM229" s="3">
        <v>255</v>
      </c>
      <c r="AN229" s="3" t="str">
        <f>IFERROR(MID(VLOOKUP($B229,Seqs!$A:$B,2,0),AO229,1),"")</f>
        <v>S</v>
      </c>
      <c r="AO229" s="3">
        <v>262</v>
      </c>
      <c r="AP229" s="3" t="str">
        <f>IFERROR(MID(VLOOKUP($B229,Seqs!$A:$B,2,0),AQ229,1),"")</f>
        <v>G</v>
      </c>
      <c r="AQ229" s="3">
        <v>300</v>
      </c>
      <c r="AR229" s="3" t="str">
        <f>IFERROR(MID(VLOOKUP($B229,Seqs!$A:$B,2,0),AS229,1),"")</f>
        <v>S</v>
      </c>
      <c r="AS229" s="3">
        <v>305</v>
      </c>
      <c r="AT229" s="3" t="str">
        <f>IFERROR(MID(VLOOKUP($B229,Seqs!$A:$B,2,0),AU229,1),"")</f>
        <v>I</v>
      </c>
      <c r="AU229" s="3">
        <v>328</v>
      </c>
      <c r="AV229" s="3" t="str">
        <f>IFERROR(MID(VLOOKUP($B229,Seqs!$A:$B,2,0),AW229,1),"")</f>
        <v/>
      </c>
      <c r="AW229" s="3" t="s">
        <v>23</v>
      </c>
      <c r="AX229" s="3" t="str">
        <f>IFERROR(MID(VLOOKUP($B229,Seqs!$A:$B,2,0),AY229,1),"")</f>
        <v/>
      </c>
      <c r="AY229" s="3" t="s">
        <v>23</v>
      </c>
      <c r="AZ229" s="77" t="str">
        <f>VLOOKUP(B229,Classification!A:D,2,0)</f>
        <v>A</v>
      </c>
      <c r="BA229" s="94" t="str">
        <f>VLOOKUP(B229,Classification!A:D,4,0)</f>
        <v>Opioid</v>
      </c>
      <c r="BB229" s="27" t="b">
        <f>AND(E229&lt;G229,OR(G229&lt;I229,I229="-"),OR(I229&lt;K229,I229="-"),OR(K229&lt;M229,K229="-"),M229&lt;O229,OR(O229&lt;Q229,Q229="-"),OR(Q229&lt;S229,Q229="-"),OR(S229&lt;U229,S229="-"),U229&lt;W229,OR(W229&lt;Y229,Y229="-"),OR(Y229&lt;AA229,Y229="-"),OR(AA229&lt;AC229,AA229="-"),AC229&lt;AE229,OR(AE229&lt;AG229,AG229="-"),OR(AG229&lt;AI229,AG229="-"),OR(AI229&lt;AK229,AI229="-"),AK229&lt;AM229,AM229&lt;AO229,AO229&lt;AQ229,AQ229&lt;AS229,AS229&lt;AU229,OR(AU229&lt;AW229,AW229="-"),OR(AW229&lt;AY229,AW229="-"))</f>
        <v>1</v>
      </c>
      <c r="BC229" s="23">
        <f>_xlfn.AGGREGATE(9,6,CH229:CS229)-_xlfn.AGGREGATE(9,6,BV229:CG229)+12</f>
        <v>240</v>
      </c>
      <c r="BD229" s="2" t="s">
        <v>1376</v>
      </c>
      <c r="BE229" s="3" t="s">
        <v>1292</v>
      </c>
      <c r="BF229" s="119">
        <v>3.1</v>
      </c>
      <c r="BG229" s="49" t="s">
        <v>1</v>
      </c>
      <c r="BH229" s="49" t="s">
        <v>1</v>
      </c>
      <c r="BI229" s="1"/>
      <c r="BJ229" s="70" t="s">
        <v>1288</v>
      </c>
      <c r="BK229" s="57" t="s">
        <v>1288</v>
      </c>
      <c r="BL229" s="57" t="s">
        <v>1288</v>
      </c>
      <c r="BM229" s="57" t="s">
        <v>1288</v>
      </c>
      <c r="BN229" s="57" t="s">
        <v>1288</v>
      </c>
      <c r="BO229" s="57" t="s">
        <v>1288</v>
      </c>
      <c r="BP229" s="57" t="s">
        <v>1288</v>
      </c>
      <c r="BQ229" s="57" t="s">
        <v>1288</v>
      </c>
      <c r="BR229" s="57" t="s">
        <v>1288</v>
      </c>
      <c r="BS229" s="57" t="s">
        <v>1288</v>
      </c>
      <c r="BT229" s="57" t="s">
        <v>1288</v>
      </c>
      <c r="BU229" s="57" t="s">
        <v>1288</v>
      </c>
      <c r="BV229" s="70">
        <f>E229</f>
        <v>57</v>
      </c>
      <c r="BW229" s="71" t="str">
        <f>I229</f>
        <v>-</v>
      </c>
      <c r="BX229" s="72">
        <f>M229</f>
        <v>92</v>
      </c>
      <c r="BY229" s="71">
        <f>Q229</f>
        <v>123</v>
      </c>
      <c r="BZ229" s="72">
        <f>U229</f>
        <v>127</v>
      </c>
      <c r="CA229" s="71">
        <f>Y229</f>
        <v>163</v>
      </c>
      <c r="CB229" s="72">
        <f>AC229</f>
        <v>171</v>
      </c>
      <c r="CC229" s="71">
        <f>AG229</f>
        <v>210</v>
      </c>
      <c r="CD229" s="72">
        <f>AK229</f>
        <v>221</v>
      </c>
      <c r="CE229" s="71">
        <f>AO229</f>
        <v>262</v>
      </c>
      <c r="CF229" s="72">
        <f>AS229</f>
        <v>305</v>
      </c>
      <c r="CG229" s="71" t="str">
        <f>AW229</f>
        <v>-</v>
      </c>
      <c r="CH229" s="70">
        <f>G229</f>
        <v>87</v>
      </c>
      <c r="CI229" s="71" t="str">
        <f>K229</f>
        <v>-</v>
      </c>
      <c r="CJ229" s="72">
        <f>O229</f>
        <v>122</v>
      </c>
      <c r="CK229" s="72">
        <f>S229</f>
        <v>126</v>
      </c>
      <c r="CL229" s="72">
        <f>W229</f>
        <v>162</v>
      </c>
      <c r="CM229" s="72">
        <f>AA229</f>
        <v>170</v>
      </c>
      <c r="CN229" s="72">
        <f>AE229</f>
        <v>197</v>
      </c>
      <c r="CO229" s="72">
        <f>AI229</f>
        <v>212</v>
      </c>
      <c r="CP229" s="72">
        <f>AM229</f>
        <v>255</v>
      </c>
      <c r="CQ229" s="72">
        <f>AQ229</f>
        <v>300</v>
      </c>
      <c r="CR229" s="72">
        <f>AU229</f>
        <v>328</v>
      </c>
      <c r="CS229" s="72" t="str">
        <f>AY229</f>
        <v>-</v>
      </c>
      <c r="CT229" s="23" t="e">
        <f>M229-K229</f>
        <v>#VALUE!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30" x14ac:dyDescent="0.2">
      <c r="A230" s="3" t="str">
        <f t="shared" si="1005"/>
        <v>oprm_mouse__wt</v>
      </c>
      <c r="B230" s="3" t="s">
        <v>918</v>
      </c>
      <c r="C230" s="3" t="s">
        <v>100</v>
      </c>
      <c r="D230" s="3" t="str">
        <f>IFERROR(MID(VLOOKUP($B230,Seqs!$A:$B,2,0),E230,1),"")</f>
        <v>M</v>
      </c>
      <c r="E230" s="3">
        <v>65</v>
      </c>
      <c r="F230" s="3" t="str">
        <f>IFERROR(MID(VLOOKUP($B230,Seqs!$A:$B,2,0),G230,1),"")</f>
        <v>Y</v>
      </c>
      <c r="G230" s="3">
        <v>96</v>
      </c>
      <c r="H230" s="3" t="str">
        <f>IFERROR(MID(VLOOKUP($B230,Seqs!$A:$B,2,0),I230,1),"")</f>
        <v>T</v>
      </c>
      <c r="I230" s="23">
        <v>97</v>
      </c>
      <c r="J230" s="3" t="str">
        <f>IFERROR(MID(VLOOKUP($B230,Seqs!$A:$B,2,0),K230,1),"")</f>
        <v>K</v>
      </c>
      <c r="K230" s="23">
        <v>100</v>
      </c>
      <c r="L230" s="3" t="str">
        <f>IFERROR(MID(VLOOKUP($B230,Seqs!$A:$B,2,0),M230,1),"")</f>
        <v>T</v>
      </c>
      <c r="M230" s="3">
        <v>101</v>
      </c>
      <c r="N230" s="3" t="str">
        <f>IFERROR(MID(VLOOKUP($B230,Seqs!$A:$B,2,0),O230,1),"")</f>
        <v>M</v>
      </c>
      <c r="O230" s="3">
        <v>130</v>
      </c>
      <c r="P230" s="3" t="str">
        <f>IFERROR(MID(VLOOKUP($B230,Seqs!$A:$B,2,0),Q230,1),"")</f>
        <v>T</v>
      </c>
      <c r="Q230" s="3">
        <v>132</v>
      </c>
      <c r="R230" s="3" t="str">
        <f>IFERROR(MID(VLOOKUP($B230,Seqs!$A:$B,2,0),S230,1),"")</f>
        <v>F</v>
      </c>
      <c r="S230" s="3">
        <v>135</v>
      </c>
      <c r="T230" s="3" t="str">
        <f>IFERROR(MID(VLOOKUP($B230,Seqs!$A:$B,2,0),U230,1),"")</f>
        <v>G</v>
      </c>
      <c r="U230" s="3">
        <v>136</v>
      </c>
      <c r="V230" s="3" t="str">
        <f>IFERROR(MID(VLOOKUP($B230,Seqs!$A:$B,2,0),W230,1),"")</f>
        <v>H</v>
      </c>
      <c r="W230" s="3">
        <v>171</v>
      </c>
      <c r="X230" s="3" t="str">
        <f>IFERROR(MID(VLOOKUP($B230,Seqs!$A:$B,2,0),Y230,1),"")</f>
        <v>P</v>
      </c>
      <c r="Y230" s="3">
        <v>172</v>
      </c>
      <c r="Z230" s="3" t="str">
        <f>IFERROR(MID(VLOOKUP($B230,Seqs!$A:$B,2,0),AA230,1),"")</f>
        <v>R</v>
      </c>
      <c r="AA230" s="3">
        <v>179</v>
      </c>
      <c r="AB230" s="3" t="str">
        <f>IFERROR(MID(VLOOKUP($B230,Seqs!$A:$B,2,0),AC230,1),"")</f>
        <v>T</v>
      </c>
      <c r="AC230" s="3">
        <v>180</v>
      </c>
      <c r="AD230" s="3" t="str">
        <f>IFERROR(MID(VLOOKUP($B230,Seqs!$A:$B,2,0),AE230,1),"")</f>
        <v>A</v>
      </c>
      <c r="AE230" s="3">
        <v>206</v>
      </c>
      <c r="AF230" s="3" t="str">
        <f>IFERROR(MID(VLOOKUP($B230,Seqs!$A:$B,2,0),AG230,1),"")</f>
        <v>C</v>
      </c>
      <c r="AG230" s="3">
        <v>217</v>
      </c>
      <c r="AH230" s="3" t="str">
        <f>IFERROR(MID(VLOOKUP($B230,Seqs!$A:$B,2,0),AI230,1),"")</f>
        <v>L</v>
      </c>
      <c r="AI230" s="3">
        <v>219</v>
      </c>
      <c r="AJ230" s="3" t="str">
        <f>IFERROR(MID(VLOOKUP($B230,Seqs!$A:$B,2,0),AK230,1),"")</f>
        <v>T</v>
      </c>
      <c r="AK230" s="3">
        <v>225</v>
      </c>
      <c r="AL230" s="3" t="str">
        <f>IFERROR(MID(VLOOKUP($B230,Seqs!$A:$B,2,0),AM230,1),"")</f>
        <v>V</v>
      </c>
      <c r="AM230" s="3">
        <v>262</v>
      </c>
      <c r="AN230" s="3" t="str">
        <f>IFERROR(MID(VLOOKUP($B230,Seqs!$A:$B,2,0),AO230,1),"")</f>
        <v>S</v>
      </c>
      <c r="AO230" s="3">
        <v>268</v>
      </c>
      <c r="AP230" s="3" t="str">
        <f>IFERROR(MID(VLOOKUP($B230,Seqs!$A:$B,2,0),AQ230,1),"")</f>
        <v>I</v>
      </c>
      <c r="AQ230" s="3">
        <v>306</v>
      </c>
      <c r="AR230" s="3" t="str">
        <f>IFERROR(MID(VLOOKUP($B230,Seqs!$A:$B,2,0),AS230,1),"")</f>
        <v>T</v>
      </c>
      <c r="AS230" s="3">
        <v>311</v>
      </c>
      <c r="AT230" s="3" t="str">
        <f>IFERROR(MID(VLOOKUP($B230,Seqs!$A:$B,2,0),AU230,1),"")</f>
        <v>L</v>
      </c>
      <c r="AU230" s="3">
        <v>339</v>
      </c>
      <c r="AV230" s="3" t="str">
        <f>IFERROR(MID(VLOOKUP($B230,Seqs!$A:$B,2,0),AW230,1),"")</f>
        <v>D</v>
      </c>
      <c r="AW230" s="3">
        <v>340</v>
      </c>
      <c r="AX230" s="3" t="str">
        <f>IFERROR(MID(VLOOKUP($B230,Seqs!$A:$B,2,0),AY230,1),"")</f>
        <v>I</v>
      </c>
      <c r="AY230" s="3">
        <v>352</v>
      </c>
      <c r="AZ230" s="77" t="str">
        <f>VLOOKUP(B230,Classification!A:D,2,0)</f>
        <v>A</v>
      </c>
      <c r="BA230" s="94" t="str">
        <f>VLOOKUP(B230,Classification!A:D,4,0)</f>
        <v>Opioid</v>
      </c>
      <c r="BB230" s="27" t="b">
        <f t="shared" si="1006"/>
        <v>1</v>
      </c>
      <c r="BC230" s="23">
        <f t="shared" si="979"/>
        <v>263</v>
      </c>
      <c r="BD230" s="56" t="s">
        <v>23</v>
      </c>
      <c r="BE230" s="3" t="s">
        <v>23</v>
      </c>
      <c r="BF230" s="119" t="s">
        <v>23</v>
      </c>
      <c r="BG230" s="49" t="s">
        <v>1373</v>
      </c>
      <c r="BH230" s="49" t="s">
        <v>1378</v>
      </c>
      <c r="BI230" s="1"/>
      <c r="BJ230" s="70" t="s">
        <v>1288</v>
      </c>
      <c r="BK230" s="57" t="s">
        <v>1288</v>
      </c>
      <c r="BL230" s="57" t="s">
        <v>1288</v>
      </c>
      <c r="BM230" s="57" t="s">
        <v>1288</v>
      </c>
      <c r="BN230" s="57" t="s">
        <v>1288</v>
      </c>
      <c r="BO230" s="57" t="s">
        <v>1288</v>
      </c>
      <c r="BP230" s="57" t="s">
        <v>1288</v>
      </c>
      <c r="BQ230" s="57" t="s">
        <v>1288</v>
      </c>
      <c r="BR230" s="57" t="s">
        <v>1288</v>
      </c>
      <c r="BS230" s="57" t="s">
        <v>1288</v>
      </c>
      <c r="BT230" s="57" t="s">
        <v>1288</v>
      </c>
      <c r="BU230" s="57" t="s">
        <v>1288</v>
      </c>
      <c r="BV230" s="70">
        <f t="shared" si="980"/>
        <v>65</v>
      </c>
      <c r="BW230" s="71">
        <f t="shared" si="981"/>
        <v>97</v>
      </c>
      <c r="BX230" s="72">
        <f t="shared" si="982"/>
        <v>101</v>
      </c>
      <c r="BY230" s="71">
        <f t="shared" si="983"/>
        <v>132</v>
      </c>
      <c r="BZ230" s="72">
        <f t="shared" si="984"/>
        <v>136</v>
      </c>
      <c r="CA230" s="71">
        <f t="shared" si="985"/>
        <v>172</v>
      </c>
      <c r="CB230" s="72">
        <f t="shared" si="986"/>
        <v>180</v>
      </c>
      <c r="CC230" s="71">
        <f t="shared" si="987"/>
        <v>217</v>
      </c>
      <c r="CD230" s="72">
        <f t="shared" si="988"/>
        <v>225</v>
      </c>
      <c r="CE230" s="71">
        <f t="shared" si="989"/>
        <v>268</v>
      </c>
      <c r="CF230" s="72">
        <f t="shared" si="990"/>
        <v>311</v>
      </c>
      <c r="CG230" s="71">
        <f t="shared" si="991"/>
        <v>340</v>
      </c>
      <c r="CH230" s="70">
        <f t="shared" si="992"/>
        <v>96</v>
      </c>
      <c r="CI230" s="71">
        <f t="shared" si="993"/>
        <v>100</v>
      </c>
      <c r="CJ230" s="72">
        <f t="shared" si="994"/>
        <v>130</v>
      </c>
      <c r="CK230" s="72">
        <f t="shared" si="995"/>
        <v>135</v>
      </c>
      <c r="CL230" s="72">
        <f t="shared" si="996"/>
        <v>171</v>
      </c>
      <c r="CM230" s="72">
        <f t="shared" si="997"/>
        <v>179</v>
      </c>
      <c r="CN230" s="72">
        <f t="shared" si="998"/>
        <v>206</v>
      </c>
      <c r="CO230" s="72">
        <f t="shared" si="999"/>
        <v>219</v>
      </c>
      <c r="CP230" s="72">
        <f t="shared" si="1000"/>
        <v>262</v>
      </c>
      <c r="CQ230" s="72">
        <f t="shared" si="1001"/>
        <v>306</v>
      </c>
      <c r="CR230" s="72">
        <f t="shared" si="1002"/>
        <v>339</v>
      </c>
      <c r="CS230" s="72">
        <f t="shared" si="1003"/>
        <v>352</v>
      </c>
      <c r="CT230" s="23">
        <f t="shared" si="1004"/>
        <v>1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30" x14ac:dyDescent="0.2">
      <c r="A231" s="3" t="str">
        <f t="shared" si="1005"/>
        <v>oprm_mouse_4DKL</v>
      </c>
      <c r="B231" s="3" t="s">
        <v>918</v>
      </c>
      <c r="C231" s="3" t="s">
        <v>65</v>
      </c>
      <c r="D231" s="3" t="str">
        <f>IFERROR(MID(VLOOKUP($B231,Seqs!$A:$B,2,0),E231,1),"")</f>
        <v>M</v>
      </c>
      <c r="E231" s="3">
        <v>65</v>
      </c>
      <c r="F231" s="3" t="str">
        <f>IFERROR(MID(VLOOKUP($B231,Seqs!$A:$B,2,0),G231,1),"")</f>
        <v>Y</v>
      </c>
      <c r="G231" s="3">
        <v>96</v>
      </c>
      <c r="H231" s="3" t="str">
        <f>IFERROR(MID(VLOOKUP($B231,Seqs!$A:$B,2,0),I231,1),"")</f>
        <v>T</v>
      </c>
      <c r="I231" s="23">
        <v>97</v>
      </c>
      <c r="J231" s="3" t="str">
        <f>IFERROR(MID(VLOOKUP($B231,Seqs!$A:$B,2,0),K231,1),"")</f>
        <v>K</v>
      </c>
      <c r="K231" s="23">
        <v>100</v>
      </c>
      <c r="L231" s="3" t="str">
        <f>IFERROR(MID(VLOOKUP($B231,Seqs!$A:$B,2,0),M231,1),"")</f>
        <v>T</v>
      </c>
      <c r="M231" s="3">
        <v>101</v>
      </c>
      <c r="N231" s="3" t="str">
        <f>IFERROR(MID(VLOOKUP($B231,Seqs!$A:$B,2,0),O231,1),"")</f>
        <v>M</v>
      </c>
      <c r="O231" s="3">
        <v>130</v>
      </c>
      <c r="P231" s="3" t="str">
        <f>IFERROR(MID(VLOOKUP($B231,Seqs!$A:$B,2,0),Q231,1),"")</f>
        <v>T</v>
      </c>
      <c r="Q231" s="3">
        <v>132</v>
      </c>
      <c r="R231" s="3" t="str">
        <f>IFERROR(MID(VLOOKUP($B231,Seqs!$A:$B,2,0),S231,1),"")</f>
        <v>F</v>
      </c>
      <c r="S231" s="3">
        <v>135</v>
      </c>
      <c r="T231" s="3" t="str">
        <f>IFERROR(MID(VLOOKUP($B231,Seqs!$A:$B,2,0),U231,1),"")</f>
        <v>G</v>
      </c>
      <c r="U231" s="3">
        <v>136</v>
      </c>
      <c r="V231" s="3" t="str">
        <f>IFERROR(MID(VLOOKUP($B231,Seqs!$A:$B,2,0),W231,1),"")</f>
        <v>H</v>
      </c>
      <c r="W231" s="3">
        <v>171</v>
      </c>
      <c r="X231" s="3" t="str">
        <f>IFERROR(MID(VLOOKUP($B231,Seqs!$A:$B,2,0),Y231,1),"")</f>
        <v>P</v>
      </c>
      <c r="Y231" s="3">
        <v>172</v>
      </c>
      <c r="Z231" s="3" t="str">
        <f>IFERROR(MID(VLOOKUP($B231,Seqs!$A:$B,2,0),AA231,1),"")</f>
        <v>R</v>
      </c>
      <c r="AA231" s="3">
        <v>179</v>
      </c>
      <c r="AB231" s="3" t="str">
        <f>IFERROR(MID(VLOOKUP($B231,Seqs!$A:$B,2,0),AC231,1),"")</f>
        <v>T</v>
      </c>
      <c r="AC231" s="3">
        <v>180</v>
      </c>
      <c r="AD231" s="3" t="str">
        <f>IFERROR(MID(VLOOKUP($B231,Seqs!$A:$B,2,0),AE231,1),"")</f>
        <v>A</v>
      </c>
      <c r="AE231" s="3">
        <v>206</v>
      </c>
      <c r="AF231" s="3" t="str">
        <f>IFERROR(MID(VLOOKUP($B231,Seqs!$A:$B,2,0),AG231,1),"")</f>
        <v>C</v>
      </c>
      <c r="AG231" s="3">
        <v>217</v>
      </c>
      <c r="AH231" s="3" t="str">
        <f>IFERROR(MID(VLOOKUP($B231,Seqs!$A:$B,2,0),AI231,1),"")</f>
        <v>L</v>
      </c>
      <c r="AI231" s="3">
        <v>219</v>
      </c>
      <c r="AJ231" s="3" t="str">
        <f>IFERROR(MID(VLOOKUP($B231,Seqs!$A:$B,2,0),AK231,1),"")</f>
        <v>T</v>
      </c>
      <c r="AK231" s="3">
        <v>225</v>
      </c>
      <c r="AL231" s="3" t="str">
        <f>IFERROR(MID(VLOOKUP($B231,Seqs!$A:$B,2,0),AM231,1),"")</f>
        <v>L</v>
      </c>
      <c r="AM231" s="3">
        <v>257</v>
      </c>
      <c r="AN231" s="3" t="str">
        <f>IFERROR(MID(VLOOKUP($B231,Seqs!$A:$B,2,0),AO231,1),"")</f>
        <v>N</v>
      </c>
      <c r="AO231" s="3">
        <v>274</v>
      </c>
      <c r="AP231" s="3" t="str">
        <f>IFERROR(MID(VLOOKUP($B231,Seqs!$A:$B,2,0),AQ231,1),"")</f>
        <v>I</v>
      </c>
      <c r="AQ231" s="3">
        <v>306</v>
      </c>
      <c r="AR231" s="3" t="str">
        <f>IFERROR(MID(VLOOKUP($B231,Seqs!$A:$B,2,0),AS231,1),"")</f>
        <v>T</v>
      </c>
      <c r="AS231" s="3">
        <v>311</v>
      </c>
      <c r="AT231" s="3" t="str">
        <f>IFERROR(MID(VLOOKUP($B231,Seqs!$A:$B,2,0),AU231,1),"")</f>
        <v>L</v>
      </c>
      <c r="AU231" s="3">
        <v>339</v>
      </c>
      <c r="AV231" s="3" t="str">
        <f>IFERROR(MID(VLOOKUP($B231,Seqs!$A:$B,2,0),AW231,1),"")</f>
        <v>D</v>
      </c>
      <c r="AW231" s="3">
        <v>340</v>
      </c>
      <c r="AX231" s="3" t="str">
        <f>IFERROR(MID(VLOOKUP($B231,Seqs!$A:$B,2,0),AY231,1),"")</f>
        <v>I</v>
      </c>
      <c r="AY231" s="3">
        <v>352</v>
      </c>
      <c r="AZ231" s="77" t="str">
        <f>VLOOKUP(B231,Classification!A:D,2,0)</f>
        <v>A</v>
      </c>
      <c r="BA231" s="94" t="str">
        <f>VLOOKUP(B231,Classification!A:D,4,0)</f>
        <v>Opioid</v>
      </c>
      <c r="BB231" s="27" t="b">
        <f t="shared" si="1006"/>
        <v>1</v>
      </c>
      <c r="BC231" s="23">
        <f t="shared" si="979"/>
        <v>252</v>
      </c>
      <c r="BD231" s="2" t="s">
        <v>1377</v>
      </c>
      <c r="BE231" s="3" t="s">
        <v>1375</v>
      </c>
      <c r="BF231" s="119">
        <v>2.8</v>
      </c>
      <c r="BG231" s="49" t="s">
        <v>1378</v>
      </c>
      <c r="BH231" s="49" t="s">
        <v>1378</v>
      </c>
      <c r="BI231" s="1"/>
      <c r="BJ231" s="70" t="s">
        <v>1288</v>
      </c>
      <c r="BK231" s="57" t="s">
        <v>1288</v>
      </c>
      <c r="BL231" s="57" t="s">
        <v>1288</v>
      </c>
      <c r="BM231" s="57" t="s">
        <v>1288</v>
      </c>
      <c r="BN231" s="57" t="s">
        <v>1288</v>
      </c>
      <c r="BO231" s="57" t="s">
        <v>1288</v>
      </c>
      <c r="BP231" s="57" t="s">
        <v>1288</v>
      </c>
      <c r="BQ231" s="57" t="s">
        <v>1288</v>
      </c>
      <c r="BR231" s="57" t="s">
        <v>1288</v>
      </c>
      <c r="BS231" s="57" t="s">
        <v>1288</v>
      </c>
      <c r="BT231" s="57" t="s">
        <v>1288</v>
      </c>
      <c r="BU231" s="57" t="s">
        <v>1288</v>
      </c>
      <c r="BV231" s="70">
        <f t="shared" si="980"/>
        <v>65</v>
      </c>
      <c r="BW231" s="71">
        <f t="shared" si="981"/>
        <v>97</v>
      </c>
      <c r="BX231" s="72">
        <f t="shared" si="982"/>
        <v>101</v>
      </c>
      <c r="BY231" s="71">
        <f t="shared" si="983"/>
        <v>132</v>
      </c>
      <c r="BZ231" s="72">
        <f t="shared" si="984"/>
        <v>136</v>
      </c>
      <c r="CA231" s="71">
        <f t="shared" si="985"/>
        <v>172</v>
      </c>
      <c r="CB231" s="72">
        <f t="shared" si="986"/>
        <v>180</v>
      </c>
      <c r="CC231" s="71">
        <f t="shared" si="987"/>
        <v>217</v>
      </c>
      <c r="CD231" s="72">
        <f t="shared" si="988"/>
        <v>225</v>
      </c>
      <c r="CE231" s="71">
        <f t="shared" si="989"/>
        <v>274</v>
      </c>
      <c r="CF231" s="72">
        <f t="shared" si="990"/>
        <v>311</v>
      </c>
      <c r="CG231" s="71">
        <f t="shared" si="991"/>
        <v>340</v>
      </c>
      <c r="CH231" s="70">
        <f t="shared" si="992"/>
        <v>96</v>
      </c>
      <c r="CI231" s="71">
        <f t="shared" si="993"/>
        <v>100</v>
      </c>
      <c r="CJ231" s="72">
        <f t="shared" si="994"/>
        <v>130</v>
      </c>
      <c r="CK231" s="72">
        <f t="shared" si="995"/>
        <v>135</v>
      </c>
      <c r="CL231" s="72">
        <f t="shared" si="996"/>
        <v>171</v>
      </c>
      <c r="CM231" s="72">
        <f t="shared" si="997"/>
        <v>179</v>
      </c>
      <c r="CN231" s="72">
        <f t="shared" si="998"/>
        <v>206</v>
      </c>
      <c r="CO231" s="72">
        <f t="shared" si="999"/>
        <v>219</v>
      </c>
      <c r="CP231" s="72">
        <f t="shared" si="1000"/>
        <v>257</v>
      </c>
      <c r="CQ231" s="72">
        <f t="shared" si="1001"/>
        <v>306</v>
      </c>
      <c r="CR231" s="72">
        <f t="shared" si="1002"/>
        <v>339</v>
      </c>
      <c r="CS231" s="72">
        <f t="shared" si="1003"/>
        <v>352</v>
      </c>
      <c r="CT231" s="23">
        <f t="shared" si="1004"/>
        <v>1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30" x14ac:dyDescent="0.2">
      <c r="A232" s="3" t="str">
        <f t="shared" si="1005"/>
        <v>oprm_mouse_5C1M</v>
      </c>
      <c r="B232" s="3" t="s">
        <v>918</v>
      </c>
      <c r="C232" s="3" t="s">
        <v>84</v>
      </c>
      <c r="D232" s="3" t="str">
        <f>IFERROR(MID(VLOOKUP($B232,Seqs!$A:$B,2,0),E232,1),"")</f>
        <v>M</v>
      </c>
      <c r="E232" s="3">
        <v>65</v>
      </c>
      <c r="F232" s="3" t="str">
        <f>IFERROR(MID(VLOOKUP($B232,Seqs!$A:$B,2,0),G232,1),"")</f>
        <v>Y</v>
      </c>
      <c r="G232" s="3">
        <v>96</v>
      </c>
      <c r="H232" s="3" t="str">
        <f>IFERROR(MID(VLOOKUP($B232,Seqs!$A:$B,2,0),I232,1),"")</f>
        <v/>
      </c>
      <c r="I232" s="23" t="s">
        <v>23</v>
      </c>
      <c r="J232" s="3" t="str">
        <f>IFERROR(MID(VLOOKUP($B232,Seqs!$A:$B,2,0),K232,1),"")</f>
        <v/>
      </c>
      <c r="K232" s="23" t="s">
        <v>23</v>
      </c>
      <c r="L232" s="3" t="str">
        <f>IFERROR(MID(VLOOKUP($B232,Seqs!$A:$B,2,0),M232,1),"")</f>
        <v>T</v>
      </c>
      <c r="M232" s="3">
        <v>101</v>
      </c>
      <c r="N232" s="3" t="str">
        <f>IFERROR(MID(VLOOKUP($B232,Seqs!$A:$B,2,0),O232,1),"")</f>
        <v>M</v>
      </c>
      <c r="O232" s="3">
        <v>130</v>
      </c>
      <c r="P232" s="3" t="str">
        <f>IFERROR(MID(VLOOKUP($B232,Seqs!$A:$B,2,0),Q232,1),"")</f>
        <v>T</v>
      </c>
      <c r="Q232" s="3">
        <v>132</v>
      </c>
      <c r="R232" s="3" t="str">
        <f>IFERROR(MID(VLOOKUP($B232,Seqs!$A:$B,2,0),S232,1),"")</f>
        <v>F</v>
      </c>
      <c r="S232" s="3">
        <v>135</v>
      </c>
      <c r="T232" s="3" t="str">
        <f>IFERROR(MID(VLOOKUP($B232,Seqs!$A:$B,2,0),U232,1),"")</f>
        <v>G</v>
      </c>
      <c r="U232" s="3">
        <v>136</v>
      </c>
      <c r="V232" s="3" t="str">
        <f>IFERROR(MID(VLOOKUP($B232,Seqs!$A:$B,2,0),W232,1),"")</f>
        <v>H</v>
      </c>
      <c r="W232" s="3">
        <v>171</v>
      </c>
      <c r="X232" s="3" t="str">
        <f>IFERROR(MID(VLOOKUP($B232,Seqs!$A:$B,2,0),Y232,1),"")</f>
        <v>P</v>
      </c>
      <c r="Y232" s="3">
        <v>172</v>
      </c>
      <c r="Z232" s="3" t="str">
        <f>IFERROR(MID(VLOOKUP($B232,Seqs!$A:$B,2,0),AA232,1),"")</f>
        <v>R</v>
      </c>
      <c r="AA232" s="3">
        <v>179</v>
      </c>
      <c r="AB232" s="3" t="str">
        <f>IFERROR(MID(VLOOKUP($B232,Seqs!$A:$B,2,0),AC232,1),"")</f>
        <v>T</v>
      </c>
      <c r="AC232" s="3">
        <v>180</v>
      </c>
      <c r="AD232" s="3" t="str">
        <f>IFERROR(MID(VLOOKUP($B232,Seqs!$A:$B,2,0),AE232,1),"")</f>
        <v>A</v>
      </c>
      <c r="AE232" s="3">
        <v>206</v>
      </c>
      <c r="AF232" s="3" t="str">
        <f>IFERROR(MID(VLOOKUP($B232,Seqs!$A:$B,2,0),AG232,1),"")</f>
        <v>C</v>
      </c>
      <c r="AG232" s="3">
        <v>217</v>
      </c>
      <c r="AH232" s="3" t="str">
        <f>IFERROR(MID(VLOOKUP($B232,Seqs!$A:$B,2,0),AI232,1),"")</f>
        <v>L</v>
      </c>
      <c r="AI232" s="3">
        <v>219</v>
      </c>
      <c r="AJ232" s="3" t="str">
        <f>IFERROR(MID(VLOOKUP($B232,Seqs!$A:$B,2,0),AK232,1),"")</f>
        <v>T</v>
      </c>
      <c r="AK232" s="3">
        <v>225</v>
      </c>
      <c r="AL232" s="3" t="str">
        <f>IFERROR(MID(VLOOKUP($B232,Seqs!$A:$B,2,0),AM232,1),"")</f>
        <v>V</v>
      </c>
      <c r="AM232" s="3">
        <v>262</v>
      </c>
      <c r="AN232" s="3" t="str">
        <f>IFERROR(MID(VLOOKUP($B232,Seqs!$A:$B,2,0),AO232,1),"")</f>
        <v>S</v>
      </c>
      <c r="AO232" s="3">
        <v>268</v>
      </c>
      <c r="AP232" s="3" t="str">
        <f>IFERROR(MID(VLOOKUP($B232,Seqs!$A:$B,2,0),AQ232,1),"")</f>
        <v>I</v>
      </c>
      <c r="AQ232" s="3">
        <v>306</v>
      </c>
      <c r="AR232" s="3" t="str">
        <f>IFERROR(MID(VLOOKUP($B232,Seqs!$A:$B,2,0),AS232,1),"")</f>
        <v>T</v>
      </c>
      <c r="AS232" s="3">
        <v>311</v>
      </c>
      <c r="AT232" s="3" t="str">
        <f>IFERROR(MID(VLOOKUP($B232,Seqs!$A:$B,2,0),AU232,1),"")</f>
        <v>P</v>
      </c>
      <c r="AU232" s="3">
        <v>333</v>
      </c>
      <c r="AV232" s="3" t="str">
        <f>IFERROR(MID(VLOOKUP($B232,Seqs!$A:$B,2,0),AW232,1),"")</f>
        <v/>
      </c>
      <c r="AW232" s="3" t="s">
        <v>23</v>
      </c>
      <c r="AX232" s="3" t="str">
        <f>IFERROR(MID(VLOOKUP($B232,Seqs!$A:$B,2,0),AY232,1),"")</f>
        <v/>
      </c>
      <c r="AY232" s="3" t="s">
        <v>23</v>
      </c>
      <c r="AZ232" s="77" t="str">
        <f>VLOOKUP(B232,Classification!A:D,2,0)</f>
        <v>A</v>
      </c>
      <c r="BA232" s="94" t="str">
        <f>VLOOKUP(B232,Classification!A:D,4,0)</f>
        <v>Opioid</v>
      </c>
      <c r="BB232" s="27" t="b">
        <f t="shared" si="1006"/>
        <v>1</v>
      </c>
      <c r="BC232" s="23">
        <f t="shared" si="979"/>
        <v>242</v>
      </c>
      <c r="BD232" s="5" t="s">
        <v>1376</v>
      </c>
      <c r="BE232" s="3" t="s">
        <v>1292</v>
      </c>
      <c r="BF232" s="119">
        <v>2.1</v>
      </c>
      <c r="BG232" s="49" t="s">
        <v>1378</v>
      </c>
      <c r="BH232" s="49" t="s">
        <v>1378</v>
      </c>
      <c r="BI232" s="1"/>
      <c r="BJ232" s="70" t="s">
        <v>1288</v>
      </c>
      <c r="BK232" s="57" t="s">
        <v>1288</v>
      </c>
      <c r="BL232" s="57" t="s">
        <v>1288</v>
      </c>
      <c r="BM232" s="57" t="s">
        <v>1288</v>
      </c>
      <c r="BN232" s="57" t="s">
        <v>1288</v>
      </c>
      <c r="BO232" s="57" t="s">
        <v>1288</v>
      </c>
      <c r="BP232" s="57" t="s">
        <v>1288</v>
      </c>
      <c r="BQ232" s="57" t="s">
        <v>1288</v>
      </c>
      <c r="BR232" s="57" t="s">
        <v>1288</v>
      </c>
      <c r="BS232" s="57" t="s">
        <v>1288</v>
      </c>
      <c r="BT232" s="57" t="s">
        <v>1288</v>
      </c>
      <c r="BU232" s="57" t="s">
        <v>1288</v>
      </c>
      <c r="BV232" s="70">
        <f t="shared" si="980"/>
        <v>65</v>
      </c>
      <c r="BW232" s="71" t="str">
        <f t="shared" si="981"/>
        <v>-</v>
      </c>
      <c r="BX232" s="72">
        <f t="shared" si="982"/>
        <v>101</v>
      </c>
      <c r="BY232" s="71">
        <f t="shared" si="983"/>
        <v>132</v>
      </c>
      <c r="BZ232" s="72">
        <f t="shared" si="984"/>
        <v>136</v>
      </c>
      <c r="CA232" s="71">
        <f t="shared" si="985"/>
        <v>172</v>
      </c>
      <c r="CB232" s="72">
        <f t="shared" si="986"/>
        <v>180</v>
      </c>
      <c r="CC232" s="71">
        <f t="shared" si="987"/>
        <v>217</v>
      </c>
      <c r="CD232" s="72">
        <f t="shared" si="988"/>
        <v>225</v>
      </c>
      <c r="CE232" s="71">
        <f t="shared" si="989"/>
        <v>268</v>
      </c>
      <c r="CF232" s="72">
        <f t="shared" si="990"/>
        <v>311</v>
      </c>
      <c r="CG232" s="71" t="str">
        <f t="shared" si="991"/>
        <v>-</v>
      </c>
      <c r="CH232" s="70">
        <f t="shared" si="992"/>
        <v>96</v>
      </c>
      <c r="CI232" s="71" t="str">
        <f t="shared" si="993"/>
        <v>-</v>
      </c>
      <c r="CJ232" s="72">
        <f t="shared" si="994"/>
        <v>130</v>
      </c>
      <c r="CK232" s="72">
        <f t="shared" si="995"/>
        <v>135</v>
      </c>
      <c r="CL232" s="72">
        <f t="shared" si="996"/>
        <v>171</v>
      </c>
      <c r="CM232" s="72">
        <f t="shared" si="997"/>
        <v>179</v>
      </c>
      <c r="CN232" s="72">
        <f t="shared" si="998"/>
        <v>206</v>
      </c>
      <c r="CO232" s="72">
        <f t="shared" si="999"/>
        <v>219</v>
      </c>
      <c r="CP232" s="72">
        <f t="shared" si="1000"/>
        <v>262</v>
      </c>
      <c r="CQ232" s="72">
        <f t="shared" si="1001"/>
        <v>306</v>
      </c>
      <c r="CR232" s="72">
        <f t="shared" si="1002"/>
        <v>333</v>
      </c>
      <c r="CS232" s="72" t="str">
        <f t="shared" si="1003"/>
        <v>-</v>
      </c>
      <c r="CT232" s="23" t="e">
        <f t="shared" si="1004"/>
        <v>#VALUE!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30" x14ac:dyDescent="0.2">
      <c r="A233" s="3" t="str">
        <f>CONCATENATE(B233,"_",C233)</f>
        <v>oprm_mouse_6DDE</v>
      </c>
      <c r="B233" s="3" t="s">
        <v>918</v>
      </c>
      <c r="C233" s="3" t="s">
        <v>1501</v>
      </c>
      <c r="D233" s="3" t="str">
        <f>IFERROR(MID(VLOOKUP($B233,Seqs!$A:$B,2,0),E233,1),"")</f>
        <v>T</v>
      </c>
      <c r="E233" s="3">
        <v>67</v>
      </c>
      <c r="F233" s="3" t="str">
        <f>IFERROR(MID(VLOOKUP($B233,Seqs!$A:$B,2,0),G233,1),"")</f>
        <v>K</v>
      </c>
      <c r="G233" s="3">
        <v>98</v>
      </c>
      <c r="H233" s="3" t="str">
        <f>IFERROR(MID(VLOOKUP($B233,Seqs!$A:$B,2,0),I233,1),"")</f>
        <v/>
      </c>
      <c r="I233" s="23" t="s">
        <v>23</v>
      </c>
      <c r="J233" s="3" t="str">
        <f>IFERROR(MID(VLOOKUP($B233,Seqs!$A:$B,2,0),K233,1),"")</f>
        <v/>
      </c>
      <c r="K233" s="23" t="s">
        <v>23</v>
      </c>
      <c r="L233" s="3" t="str">
        <f>IFERROR(MID(VLOOKUP($B233,Seqs!$A:$B,2,0),M233,1),"")</f>
        <v>A</v>
      </c>
      <c r="M233" s="3">
        <v>102</v>
      </c>
      <c r="N233" s="3" t="str">
        <f>IFERROR(MID(VLOOKUP($B233,Seqs!$A:$B,2,0),O233,1),"")</f>
        <v>G</v>
      </c>
      <c r="O233" s="3">
        <v>131</v>
      </c>
      <c r="P233" s="3" t="str">
        <f>IFERROR(MID(VLOOKUP($B233,Seqs!$A:$B,2,0),Q233,1),"")</f>
        <v>T</v>
      </c>
      <c r="Q233" s="3">
        <v>132</v>
      </c>
      <c r="R233" s="3" t="str">
        <f>IFERROR(MID(VLOOKUP($B233,Seqs!$A:$B,2,0),S233,1),"")</f>
        <v>F</v>
      </c>
      <c r="S233" s="3">
        <v>135</v>
      </c>
      <c r="T233" s="3" t="str">
        <f>IFERROR(MID(VLOOKUP($B233,Seqs!$A:$B,2,0),U233,1),"")</f>
        <v>G</v>
      </c>
      <c r="U233" s="3">
        <v>136</v>
      </c>
      <c r="V233" s="3" t="str">
        <f>IFERROR(MID(VLOOKUP($B233,Seqs!$A:$B,2,0),W233,1),"")</f>
        <v>H</v>
      </c>
      <c r="W233" s="3">
        <v>171</v>
      </c>
      <c r="X233" s="3" t="str">
        <f>IFERROR(MID(VLOOKUP($B233,Seqs!$A:$B,2,0),Y233,1),"")</f>
        <v>P</v>
      </c>
      <c r="Y233" s="3">
        <v>172</v>
      </c>
      <c r="Z233" s="3" t="str">
        <f>IFERROR(MID(VLOOKUP($B233,Seqs!$A:$B,2,0),AA233,1),"")</f>
        <v>R</v>
      </c>
      <c r="AA233" s="3">
        <v>179</v>
      </c>
      <c r="AB233" s="3" t="str">
        <f>IFERROR(MID(VLOOKUP($B233,Seqs!$A:$B,2,0),AC233,1),"")</f>
        <v>T</v>
      </c>
      <c r="AC233" s="3">
        <v>180</v>
      </c>
      <c r="AD233" s="3" t="str">
        <f>IFERROR(MID(VLOOKUP($B233,Seqs!$A:$B,2,0),AE233,1),"")</f>
        <v>F</v>
      </c>
      <c r="AE233" s="3">
        <v>204</v>
      </c>
      <c r="AF233" s="3" t="str">
        <f>IFERROR(MID(VLOOKUP($B233,Seqs!$A:$B,2,0),AG233,1),"")</f>
        <v>C</v>
      </c>
      <c r="AG233" s="3">
        <v>217</v>
      </c>
      <c r="AH233" s="3" t="str">
        <f>IFERROR(MID(VLOOKUP($B233,Seqs!$A:$B,2,0),AI233,1),"")</f>
        <v>L</v>
      </c>
      <c r="AI233" s="3">
        <v>219</v>
      </c>
      <c r="AJ233" s="3" t="str">
        <f>IFERROR(MID(VLOOKUP($B233,Seqs!$A:$B,2,0),AK233,1),"")</f>
        <v>Y</v>
      </c>
      <c r="AK233" s="3">
        <v>227</v>
      </c>
      <c r="AL233" s="3" t="str">
        <f>IFERROR(MID(VLOOKUP($B233,Seqs!$A:$B,2,0),AM233,1),"")</f>
        <v>V</v>
      </c>
      <c r="AM233" s="3">
        <v>262</v>
      </c>
      <c r="AN233" s="3" t="str">
        <f>IFERROR(MID(VLOOKUP($B233,Seqs!$A:$B,2,0),AO233,1),"")</f>
        <v>S</v>
      </c>
      <c r="AO233" s="3">
        <v>268</v>
      </c>
      <c r="AP233" s="3" t="str">
        <f>IFERROR(MID(VLOOKUP($B233,Seqs!$A:$B,2,0),AQ233,1),"")</f>
        <v>I</v>
      </c>
      <c r="AQ233" s="3">
        <v>306</v>
      </c>
      <c r="AR233" s="3" t="str">
        <f>IFERROR(MID(VLOOKUP($B233,Seqs!$A:$B,2,0),AS233,1),"")</f>
        <v>F</v>
      </c>
      <c r="AS233" s="3">
        <v>313</v>
      </c>
      <c r="AT233" s="3" t="str">
        <f>IFERROR(MID(VLOOKUP($B233,Seqs!$A:$B,2,0),AU233,1),"")</f>
        <v>Y</v>
      </c>
      <c r="AU233" s="3">
        <v>336</v>
      </c>
      <c r="AV233" s="3" t="str">
        <f>IFERROR(MID(VLOOKUP($B233,Seqs!$A:$B,2,0),AW233,1),"")</f>
        <v/>
      </c>
      <c r="AW233" s="3" t="s">
        <v>23</v>
      </c>
      <c r="AX233" s="3" t="str">
        <f>IFERROR(MID(VLOOKUP($B233,Seqs!$A:$B,2,0),AY233,1),"")</f>
        <v/>
      </c>
      <c r="AY233" s="3" t="s">
        <v>23</v>
      </c>
      <c r="AZ233" s="77" t="str">
        <f>VLOOKUP(B233,Classification!A:D,2,0)</f>
        <v>A</v>
      </c>
      <c r="BA233" s="94" t="str">
        <f>VLOOKUP(B233,Classification!A:D,4,0)</f>
        <v>Opioid</v>
      </c>
      <c r="BB233" s="27" t="b">
        <f>AND(E233&lt;G233,OR(G233&lt;I233,I233="-"),OR(I233&lt;K233,I233="-"),OR(K233&lt;M233,K233="-"),M233&lt;O233,OR(O233&lt;Q233,Q233="-"),OR(Q233&lt;S233,Q233="-"),OR(S233&lt;U233,S233="-"),U233&lt;W233,OR(W233&lt;Y233,Y233="-"),OR(Y233&lt;AA233,Y233="-"),OR(AA233&lt;AC233,AA233="-"),AC233&lt;AE233,OR(AE233&lt;AG233,AG233="-"),OR(AG233&lt;AI233,AG233="-"),OR(AI233&lt;AK233,AI233="-"),AK233&lt;AM233,AM233&lt;AO233,AO233&lt;AQ233,AQ233&lt;AS233,AS233&lt;AU233,OR(AU233&lt;AW233,AW233="-"),OR(AW233&lt;AY233,AW233="-"))</f>
        <v>1</v>
      </c>
      <c r="BC233" s="23">
        <f>_xlfn.AGGREGATE(9,6,CH233:CS233)-_xlfn.AGGREGATE(9,6,BV233:CG233)+12</f>
        <v>239</v>
      </c>
      <c r="BD233" s="5" t="s">
        <v>23</v>
      </c>
      <c r="BE233" s="3" t="s">
        <v>1292</v>
      </c>
      <c r="BF233" s="119">
        <v>3.5</v>
      </c>
      <c r="BG233" s="49" t="s">
        <v>1423</v>
      </c>
      <c r="BH233" s="49" t="s">
        <v>1423</v>
      </c>
      <c r="BI233" s="1"/>
      <c r="BJ233" s="70" t="s">
        <v>1288</v>
      </c>
      <c r="BK233" s="57" t="s">
        <v>1288</v>
      </c>
      <c r="BL233" s="57" t="s">
        <v>1288</v>
      </c>
      <c r="BM233" s="57" t="s">
        <v>1288</v>
      </c>
      <c r="BN233" s="57" t="s">
        <v>1288</v>
      </c>
      <c r="BO233" s="57" t="s">
        <v>1288</v>
      </c>
      <c r="BP233" s="57" t="s">
        <v>1288</v>
      </c>
      <c r="BQ233" s="57" t="s">
        <v>1288</v>
      </c>
      <c r="BR233" s="57" t="s">
        <v>1288</v>
      </c>
      <c r="BS233" s="57" t="s">
        <v>1288</v>
      </c>
      <c r="BT233" s="57" t="s">
        <v>1288</v>
      </c>
      <c r="BU233" s="57" t="s">
        <v>1288</v>
      </c>
      <c r="BV233" s="70">
        <f>E233</f>
        <v>67</v>
      </c>
      <c r="BW233" s="71" t="str">
        <f>I233</f>
        <v>-</v>
      </c>
      <c r="BX233" s="72">
        <f>M233</f>
        <v>102</v>
      </c>
      <c r="BY233" s="71">
        <f>Q233</f>
        <v>132</v>
      </c>
      <c r="BZ233" s="72">
        <f>U233</f>
        <v>136</v>
      </c>
      <c r="CA233" s="71">
        <f>Y233</f>
        <v>172</v>
      </c>
      <c r="CB233" s="72">
        <f>AC233</f>
        <v>180</v>
      </c>
      <c r="CC233" s="71">
        <f>AG233</f>
        <v>217</v>
      </c>
      <c r="CD233" s="72">
        <f>AK233</f>
        <v>227</v>
      </c>
      <c r="CE233" s="71">
        <f>AO233</f>
        <v>268</v>
      </c>
      <c r="CF233" s="72">
        <f>AS233</f>
        <v>313</v>
      </c>
      <c r="CG233" s="71" t="str">
        <f>AW233</f>
        <v>-</v>
      </c>
      <c r="CH233" s="70">
        <f>G233</f>
        <v>98</v>
      </c>
      <c r="CI233" s="71" t="str">
        <f>K233</f>
        <v>-</v>
      </c>
      <c r="CJ233" s="72">
        <f>O233</f>
        <v>131</v>
      </c>
      <c r="CK233" s="72">
        <f>S233</f>
        <v>135</v>
      </c>
      <c r="CL233" s="72">
        <f>W233</f>
        <v>171</v>
      </c>
      <c r="CM233" s="72">
        <f>AA233</f>
        <v>179</v>
      </c>
      <c r="CN233" s="72">
        <f>AE233</f>
        <v>204</v>
      </c>
      <c r="CO233" s="72">
        <f>AI233</f>
        <v>219</v>
      </c>
      <c r="CP233" s="72">
        <f>AM233</f>
        <v>262</v>
      </c>
      <c r="CQ233" s="72">
        <f>AQ233</f>
        <v>306</v>
      </c>
      <c r="CR233" s="72">
        <f>AU233</f>
        <v>336</v>
      </c>
      <c r="CS233" s="72" t="str">
        <f>AY233</f>
        <v>-</v>
      </c>
      <c r="CT233" s="23" t="e">
        <f>M233-K233</f>
        <v>#VALUE!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30" x14ac:dyDescent="0.2">
      <c r="A234" s="3" t="str">
        <f>CONCATENATE(B234,"_",C234)</f>
        <v>oprm_mouse_6DDF</v>
      </c>
      <c r="B234" s="3" t="s">
        <v>918</v>
      </c>
      <c r="C234" s="3" t="s">
        <v>1502</v>
      </c>
      <c r="D234" s="3" t="str">
        <f>IFERROR(MID(VLOOKUP($B234,Seqs!$A:$B,2,0),E234,1),"")</f>
        <v>T</v>
      </c>
      <c r="E234" s="3">
        <v>67</v>
      </c>
      <c r="F234" s="3" t="str">
        <f>IFERROR(MID(VLOOKUP($B234,Seqs!$A:$B,2,0),G234,1),"")</f>
        <v>K</v>
      </c>
      <c r="G234" s="3">
        <v>98</v>
      </c>
      <c r="H234" s="3" t="str">
        <f>IFERROR(MID(VLOOKUP($B234,Seqs!$A:$B,2,0),I234,1),"")</f>
        <v/>
      </c>
      <c r="I234" s="23" t="s">
        <v>23</v>
      </c>
      <c r="J234" s="3" t="str">
        <f>IFERROR(MID(VLOOKUP($B234,Seqs!$A:$B,2,0),K234,1),"")</f>
        <v/>
      </c>
      <c r="K234" s="23" t="s">
        <v>23</v>
      </c>
      <c r="L234" s="3" t="str">
        <f>IFERROR(MID(VLOOKUP($B234,Seqs!$A:$B,2,0),M234,1),"")</f>
        <v>A</v>
      </c>
      <c r="M234" s="3">
        <v>102</v>
      </c>
      <c r="N234" s="3" t="str">
        <f>IFERROR(MID(VLOOKUP($B234,Seqs!$A:$B,2,0),O234,1),"")</f>
        <v>G</v>
      </c>
      <c r="O234" s="3">
        <v>131</v>
      </c>
      <c r="P234" s="3" t="str">
        <f>IFERROR(MID(VLOOKUP($B234,Seqs!$A:$B,2,0),Q234,1),"")</f>
        <v>T</v>
      </c>
      <c r="Q234" s="3">
        <v>132</v>
      </c>
      <c r="R234" s="3" t="str">
        <f>IFERROR(MID(VLOOKUP($B234,Seqs!$A:$B,2,0),S234,1),"")</f>
        <v>F</v>
      </c>
      <c r="S234" s="3">
        <v>135</v>
      </c>
      <c r="T234" s="3" t="str">
        <f>IFERROR(MID(VLOOKUP($B234,Seqs!$A:$B,2,0),U234,1),"")</f>
        <v>G</v>
      </c>
      <c r="U234" s="3">
        <v>136</v>
      </c>
      <c r="V234" s="3" t="str">
        <f>IFERROR(MID(VLOOKUP($B234,Seqs!$A:$B,2,0),W234,1),"")</f>
        <v>H</v>
      </c>
      <c r="W234" s="3">
        <v>171</v>
      </c>
      <c r="X234" s="3" t="str">
        <f>IFERROR(MID(VLOOKUP($B234,Seqs!$A:$B,2,0),Y234,1),"")</f>
        <v>P</v>
      </c>
      <c r="Y234" s="3">
        <v>172</v>
      </c>
      <c r="Z234" s="3" t="str">
        <f>IFERROR(MID(VLOOKUP($B234,Seqs!$A:$B,2,0),AA234,1),"")</f>
        <v>R</v>
      </c>
      <c r="AA234" s="3">
        <v>179</v>
      </c>
      <c r="AB234" s="3" t="str">
        <f>IFERROR(MID(VLOOKUP($B234,Seqs!$A:$B,2,0),AC234,1),"")</f>
        <v>T</v>
      </c>
      <c r="AC234" s="3">
        <v>180</v>
      </c>
      <c r="AD234" s="3" t="str">
        <f>IFERROR(MID(VLOOKUP($B234,Seqs!$A:$B,2,0),AE234,1),"")</f>
        <v>F</v>
      </c>
      <c r="AE234" s="3">
        <v>204</v>
      </c>
      <c r="AF234" s="3" t="str">
        <f>IFERROR(MID(VLOOKUP($B234,Seqs!$A:$B,2,0),AG234,1),"")</f>
        <v>C</v>
      </c>
      <c r="AG234" s="3">
        <v>217</v>
      </c>
      <c r="AH234" s="3" t="str">
        <f>IFERROR(MID(VLOOKUP($B234,Seqs!$A:$B,2,0),AI234,1),"")</f>
        <v>L</v>
      </c>
      <c r="AI234" s="3">
        <v>219</v>
      </c>
      <c r="AJ234" s="3" t="str">
        <f>IFERROR(MID(VLOOKUP($B234,Seqs!$A:$B,2,0),AK234,1),"")</f>
        <v>Y</v>
      </c>
      <c r="AK234" s="3">
        <v>227</v>
      </c>
      <c r="AL234" s="3" t="str">
        <f>IFERROR(MID(VLOOKUP($B234,Seqs!$A:$B,2,0),AM234,1),"")</f>
        <v>V</v>
      </c>
      <c r="AM234" s="3">
        <v>262</v>
      </c>
      <c r="AN234" s="3" t="str">
        <f>IFERROR(MID(VLOOKUP($B234,Seqs!$A:$B,2,0),AO234,1),"")</f>
        <v>S</v>
      </c>
      <c r="AO234" s="3">
        <v>268</v>
      </c>
      <c r="AP234" s="3" t="str">
        <f>IFERROR(MID(VLOOKUP($B234,Seqs!$A:$B,2,0),AQ234,1),"")</f>
        <v>I</v>
      </c>
      <c r="AQ234" s="3">
        <v>306</v>
      </c>
      <c r="AR234" s="3" t="str">
        <f>IFERROR(MID(VLOOKUP($B234,Seqs!$A:$B,2,0),AS234,1),"")</f>
        <v>F</v>
      </c>
      <c r="AS234" s="3">
        <v>313</v>
      </c>
      <c r="AT234" s="3" t="str">
        <f>IFERROR(MID(VLOOKUP($B234,Seqs!$A:$B,2,0),AU234,1),"")</f>
        <v>Y</v>
      </c>
      <c r="AU234" s="3">
        <v>336</v>
      </c>
      <c r="AV234" s="3" t="str">
        <f>IFERROR(MID(VLOOKUP($B234,Seqs!$A:$B,2,0),AW234,1),"")</f>
        <v/>
      </c>
      <c r="AW234" s="3" t="s">
        <v>23</v>
      </c>
      <c r="AX234" s="3" t="str">
        <f>IFERROR(MID(VLOOKUP($B234,Seqs!$A:$B,2,0),AY234,1),"")</f>
        <v/>
      </c>
      <c r="AY234" s="3" t="s">
        <v>23</v>
      </c>
      <c r="AZ234" s="77" t="str">
        <f>VLOOKUP(B234,Classification!A:D,2,0)</f>
        <v>A</v>
      </c>
      <c r="BA234" s="94" t="str">
        <f>VLOOKUP(B234,Classification!A:D,4,0)</f>
        <v>Opioid</v>
      </c>
      <c r="BB234" s="27" t="b">
        <f>AND(E234&lt;G234,OR(G234&lt;I234,I234="-"),OR(I234&lt;K234,I234="-"),OR(K234&lt;M234,K234="-"),M234&lt;O234,OR(O234&lt;Q234,Q234="-"),OR(Q234&lt;S234,Q234="-"),OR(S234&lt;U234,S234="-"),U234&lt;W234,OR(W234&lt;Y234,Y234="-"),OR(Y234&lt;AA234,Y234="-"),OR(AA234&lt;AC234,AA234="-"),AC234&lt;AE234,OR(AE234&lt;AG234,AG234="-"),OR(AG234&lt;AI234,AG234="-"),OR(AI234&lt;AK234,AI234="-"),AK234&lt;AM234,AM234&lt;AO234,AO234&lt;AQ234,AQ234&lt;AS234,AS234&lt;AU234,OR(AU234&lt;AW234,AW234="-"),OR(AW234&lt;AY234,AW234="-"))</f>
        <v>1</v>
      </c>
      <c r="BC234" s="23">
        <f>_xlfn.AGGREGATE(9,6,CH234:CS234)-_xlfn.AGGREGATE(9,6,BV234:CG234)+12</f>
        <v>239</v>
      </c>
      <c r="BD234" s="5" t="s">
        <v>23</v>
      </c>
      <c r="BE234" s="3" t="s">
        <v>1292</v>
      </c>
      <c r="BF234" s="119">
        <v>4.5</v>
      </c>
      <c r="BG234" s="49" t="s">
        <v>1423</v>
      </c>
      <c r="BH234" s="49" t="s">
        <v>1423</v>
      </c>
      <c r="BI234" s="1"/>
      <c r="BJ234" s="70" t="s">
        <v>1288</v>
      </c>
      <c r="BK234" s="57" t="s">
        <v>1288</v>
      </c>
      <c r="BL234" s="57" t="s">
        <v>1288</v>
      </c>
      <c r="BM234" s="57" t="s">
        <v>1288</v>
      </c>
      <c r="BN234" s="57" t="s">
        <v>1288</v>
      </c>
      <c r="BO234" s="57" t="s">
        <v>1288</v>
      </c>
      <c r="BP234" s="57" t="s">
        <v>1288</v>
      </c>
      <c r="BQ234" s="57" t="s">
        <v>1288</v>
      </c>
      <c r="BR234" s="57" t="s">
        <v>1288</v>
      </c>
      <c r="BS234" s="57" t="s">
        <v>1288</v>
      </c>
      <c r="BT234" s="57" t="s">
        <v>1288</v>
      </c>
      <c r="BU234" s="57" t="s">
        <v>1288</v>
      </c>
      <c r="BV234" s="70">
        <f>E234</f>
        <v>67</v>
      </c>
      <c r="BW234" s="71" t="str">
        <f>I234</f>
        <v>-</v>
      </c>
      <c r="BX234" s="72">
        <f>M234</f>
        <v>102</v>
      </c>
      <c r="BY234" s="71">
        <f>Q234</f>
        <v>132</v>
      </c>
      <c r="BZ234" s="72">
        <f>U234</f>
        <v>136</v>
      </c>
      <c r="CA234" s="71">
        <f>Y234</f>
        <v>172</v>
      </c>
      <c r="CB234" s="72">
        <f>AC234</f>
        <v>180</v>
      </c>
      <c r="CC234" s="71">
        <f>AG234</f>
        <v>217</v>
      </c>
      <c r="CD234" s="72">
        <f>AK234</f>
        <v>227</v>
      </c>
      <c r="CE234" s="71">
        <f>AO234</f>
        <v>268</v>
      </c>
      <c r="CF234" s="72">
        <f>AS234</f>
        <v>313</v>
      </c>
      <c r="CG234" s="71" t="str">
        <f>AW234</f>
        <v>-</v>
      </c>
      <c r="CH234" s="70">
        <f>G234</f>
        <v>98</v>
      </c>
      <c r="CI234" s="71" t="str">
        <f>K234</f>
        <v>-</v>
      </c>
      <c r="CJ234" s="72">
        <f>O234</f>
        <v>131</v>
      </c>
      <c r="CK234" s="72">
        <f>S234</f>
        <v>135</v>
      </c>
      <c r="CL234" s="72">
        <f>W234</f>
        <v>171</v>
      </c>
      <c r="CM234" s="72">
        <f>AA234</f>
        <v>179</v>
      </c>
      <c r="CN234" s="72">
        <f>AE234</f>
        <v>204</v>
      </c>
      <c r="CO234" s="72">
        <f>AI234</f>
        <v>219</v>
      </c>
      <c r="CP234" s="72">
        <f>AM234</f>
        <v>262</v>
      </c>
      <c r="CQ234" s="72">
        <f>AQ234</f>
        <v>306</v>
      </c>
      <c r="CR234" s="72">
        <f>AU234</f>
        <v>336</v>
      </c>
      <c r="CS234" s="72" t="str">
        <f>AY234</f>
        <v>-</v>
      </c>
      <c r="CT234" s="23" t="e">
        <f>M234-K234</f>
        <v>#VALUE!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30" x14ac:dyDescent="0.2">
      <c r="A235" s="3" t="str">
        <f t="shared" si="1005"/>
        <v>oprx_human__wt</v>
      </c>
      <c r="B235" s="3" t="s">
        <v>1174</v>
      </c>
      <c r="C235" s="3" t="s">
        <v>100</v>
      </c>
      <c r="D235" s="3" t="str">
        <f>IFERROR(MID(VLOOKUP($B235,Seqs!$A:$B,2,0),E235,1),"")</f>
        <v>L</v>
      </c>
      <c r="E235" s="3">
        <v>48</v>
      </c>
      <c r="F235" s="3" t="str">
        <f>IFERROR(MID(VLOOKUP($B235,Seqs!$A:$B,2,0),G235,1),"")</f>
        <v>H</v>
      </c>
      <c r="G235" s="3">
        <v>79</v>
      </c>
      <c r="H235" s="3" t="str">
        <f>IFERROR(MID(VLOOKUP($B235,Seqs!$A:$B,2,0),I235,1),"")</f>
        <v>T</v>
      </c>
      <c r="I235" s="23">
        <v>80</v>
      </c>
      <c r="J235" s="3" t="str">
        <f>IFERROR(MID(VLOOKUP($B235,Seqs!$A:$B,2,0),K235,1),"")</f>
        <v>K</v>
      </c>
      <c r="K235" s="23">
        <v>83</v>
      </c>
      <c r="L235" s="3" t="str">
        <f>IFERROR(MID(VLOOKUP($B235,Seqs!$A:$B,2,0),M235,1),"")</f>
        <v>T</v>
      </c>
      <c r="M235" s="3">
        <v>84</v>
      </c>
      <c r="N235" s="3" t="str">
        <f>IFERROR(MID(VLOOKUP($B235,Seqs!$A:$B,2,0),O235,1),"")</f>
        <v>L</v>
      </c>
      <c r="O235" s="3">
        <v>113</v>
      </c>
      <c r="P235" s="3" t="str">
        <f>IFERROR(MID(VLOOKUP($B235,Seqs!$A:$B,2,0),Q235,1),"")</f>
        <v>F</v>
      </c>
      <c r="Q235" s="3">
        <v>115</v>
      </c>
      <c r="R235" s="3" t="str">
        <f>IFERROR(MID(VLOOKUP($B235,Seqs!$A:$B,2,0),S235,1),"")</f>
        <v>F</v>
      </c>
      <c r="S235" s="3">
        <v>118</v>
      </c>
      <c r="T235" s="3" t="str">
        <f>IFERROR(MID(VLOOKUP($B235,Seqs!$A:$B,2,0),U235,1),"")</f>
        <v>G</v>
      </c>
      <c r="U235" s="3">
        <v>119</v>
      </c>
      <c r="V235" s="3" t="str">
        <f>IFERROR(MID(VLOOKUP($B235,Seqs!$A:$B,2,0),W235,1),"")</f>
        <v>H</v>
      </c>
      <c r="W235" s="3">
        <v>154</v>
      </c>
      <c r="X235" s="3" t="str">
        <f>IFERROR(MID(VLOOKUP($B235,Seqs!$A:$B,2,0),Y235,1),"")</f>
        <v>P</v>
      </c>
      <c r="Y235" s="3">
        <v>155</v>
      </c>
      <c r="Z235" s="3" t="str">
        <f>IFERROR(MID(VLOOKUP($B235,Seqs!$A:$B,2,0),AA235,1),"")</f>
        <v>R</v>
      </c>
      <c r="AA235" s="3">
        <v>162</v>
      </c>
      <c r="AB235" s="3" t="str">
        <f>IFERROR(MID(VLOOKUP($B235,Seqs!$A:$B,2,0),AC235,1),"")</f>
        <v>T</v>
      </c>
      <c r="AC235" s="9">
        <v>163</v>
      </c>
      <c r="AD235" s="3" t="str">
        <f>IFERROR(MID(VLOOKUP($B235,Seqs!$A:$B,2,0),AE235,1),"")</f>
        <v>G</v>
      </c>
      <c r="AE235" s="3">
        <v>189</v>
      </c>
      <c r="AF235" s="3" t="str">
        <f>IFERROR(MID(VLOOKUP($B235,Seqs!$A:$B,2,0),AG235,1),"")</f>
        <v>C</v>
      </c>
      <c r="AG235" s="3">
        <v>200</v>
      </c>
      <c r="AH235" s="3" t="str">
        <f>IFERROR(MID(VLOOKUP($B235,Seqs!$A:$B,2,0),AI235,1),"")</f>
        <v>V</v>
      </c>
      <c r="AI235" s="3">
        <v>202</v>
      </c>
      <c r="AJ235" s="3" t="str">
        <f>IFERROR(MID(VLOOKUP($B235,Seqs!$A:$B,2,0),AK235,1),"")</f>
        <v>Q</v>
      </c>
      <c r="AK235" s="3">
        <v>208</v>
      </c>
      <c r="AL235" s="3" t="str">
        <f>IFERROR(MID(VLOOKUP($B235,Seqs!$A:$B,2,0),AM235,1),"")</f>
        <v>V</v>
      </c>
      <c r="AM235" s="3">
        <v>245</v>
      </c>
      <c r="AN235" s="3" t="str">
        <f>IFERROR(MID(VLOOKUP($B235,Seqs!$A:$B,2,0),AO235,1),"")</f>
        <v>S</v>
      </c>
      <c r="AO235" s="3">
        <v>251</v>
      </c>
      <c r="AP235" s="3" t="str">
        <f>IFERROR(MID(VLOOKUP($B235,Seqs!$A:$B,2,0),AQ235,1),"")</f>
        <v>G</v>
      </c>
      <c r="AQ235" s="3">
        <v>289</v>
      </c>
      <c r="AR235" s="3" t="str">
        <f>IFERROR(MID(VLOOKUP($B235,Seqs!$A:$B,2,0),AS235,1),"")</f>
        <v>S</v>
      </c>
      <c r="AS235" s="3">
        <v>294</v>
      </c>
      <c r="AT235" s="3" t="str">
        <f>IFERROR(MID(VLOOKUP($B235,Seqs!$A:$B,2,0),AU235,1),"")</f>
        <v>L</v>
      </c>
      <c r="AU235" s="3">
        <v>322</v>
      </c>
      <c r="AV235" s="3" t="str">
        <f>IFERROR(MID(VLOOKUP($B235,Seqs!$A:$B,2,0),AW235,1),"")</f>
        <v>D</v>
      </c>
      <c r="AW235" s="3">
        <v>323</v>
      </c>
      <c r="AX235" s="3" t="str">
        <f>IFERROR(MID(VLOOKUP($B235,Seqs!$A:$B,2,0),AY235,1),"")</f>
        <v>C</v>
      </c>
      <c r="AY235" s="3">
        <v>335</v>
      </c>
      <c r="AZ235" s="77" t="str">
        <f>VLOOKUP(B235,Classification!A:D,2,0)</f>
        <v>A</v>
      </c>
      <c r="BA235" s="94" t="str">
        <f>VLOOKUP(B235,Classification!A:D,4,0)</f>
        <v>Opioid</v>
      </c>
      <c r="BB235" s="27" t="b">
        <f t="shared" si="1006"/>
        <v>1</v>
      </c>
      <c r="BC235" s="23">
        <f t="shared" si="979"/>
        <v>263</v>
      </c>
      <c r="BD235" s="56" t="s">
        <v>23</v>
      </c>
      <c r="BE235" s="3" t="s">
        <v>23</v>
      </c>
      <c r="BF235" s="119" t="s">
        <v>23</v>
      </c>
      <c r="BG235" s="49" t="s">
        <v>1373</v>
      </c>
      <c r="BH235" s="49" t="s">
        <v>1378</v>
      </c>
      <c r="BI235" s="1"/>
      <c r="BJ235" s="70" t="s">
        <v>1288</v>
      </c>
      <c r="BK235" s="57" t="s">
        <v>1288</v>
      </c>
      <c r="BL235" s="57" t="s">
        <v>1288</v>
      </c>
      <c r="BM235" s="57" t="s">
        <v>1288</v>
      </c>
      <c r="BN235" s="57" t="s">
        <v>1288</v>
      </c>
      <c r="BO235" s="57" t="s">
        <v>1288</v>
      </c>
      <c r="BP235" s="57" t="s">
        <v>1288</v>
      </c>
      <c r="BQ235" s="57" t="s">
        <v>1288</v>
      </c>
      <c r="BR235" s="57" t="s">
        <v>1288</v>
      </c>
      <c r="BS235" s="57" t="s">
        <v>1288</v>
      </c>
      <c r="BT235" s="57" t="s">
        <v>1288</v>
      </c>
      <c r="BU235" s="57" t="s">
        <v>1288</v>
      </c>
      <c r="BV235" s="70">
        <f t="shared" si="980"/>
        <v>48</v>
      </c>
      <c r="BW235" s="71">
        <f t="shared" si="981"/>
        <v>80</v>
      </c>
      <c r="BX235" s="72">
        <f t="shared" si="982"/>
        <v>84</v>
      </c>
      <c r="BY235" s="71">
        <f t="shared" si="983"/>
        <v>115</v>
      </c>
      <c r="BZ235" s="72">
        <f t="shared" si="984"/>
        <v>119</v>
      </c>
      <c r="CA235" s="71">
        <f t="shared" si="985"/>
        <v>155</v>
      </c>
      <c r="CB235" s="72">
        <f t="shared" si="986"/>
        <v>163</v>
      </c>
      <c r="CC235" s="71">
        <f t="shared" si="987"/>
        <v>200</v>
      </c>
      <c r="CD235" s="72">
        <f t="shared" si="988"/>
        <v>208</v>
      </c>
      <c r="CE235" s="71">
        <f t="shared" si="989"/>
        <v>251</v>
      </c>
      <c r="CF235" s="72">
        <f t="shared" si="990"/>
        <v>294</v>
      </c>
      <c r="CG235" s="71">
        <f t="shared" si="991"/>
        <v>323</v>
      </c>
      <c r="CH235" s="70">
        <f t="shared" si="992"/>
        <v>79</v>
      </c>
      <c r="CI235" s="71">
        <f t="shared" si="993"/>
        <v>83</v>
      </c>
      <c r="CJ235" s="72">
        <f t="shared" si="994"/>
        <v>113</v>
      </c>
      <c r="CK235" s="72">
        <f t="shared" si="995"/>
        <v>118</v>
      </c>
      <c r="CL235" s="72">
        <f t="shared" si="996"/>
        <v>154</v>
      </c>
      <c r="CM235" s="72">
        <f t="shared" si="997"/>
        <v>162</v>
      </c>
      <c r="CN235" s="72">
        <f t="shared" si="998"/>
        <v>189</v>
      </c>
      <c r="CO235" s="72">
        <f t="shared" si="999"/>
        <v>202</v>
      </c>
      <c r="CP235" s="72">
        <f t="shared" si="1000"/>
        <v>245</v>
      </c>
      <c r="CQ235" s="72">
        <f t="shared" si="1001"/>
        <v>289</v>
      </c>
      <c r="CR235" s="72">
        <f t="shared" si="1002"/>
        <v>322</v>
      </c>
      <c r="CS235" s="72">
        <f t="shared" si="1003"/>
        <v>335</v>
      </c>
      <c r="CT235" s="23">
        <f t="shared" si="1004"/>
        <v>1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30" x14ac:dyDescent="0.2">
      <c r="A236" s="3" t="str">
        <f t="shared" si="1005"/>
        <v>oprx_human_4EA3</v>
      </c>
      <c r="B236" s="3" t="s">
        <v>1174</v>
      </c>
      <c r="C236" s="3" t="s">
        <v>67</v>
      </c>
      <c r="D236" s="3" t="str">
        <f>IFERROR(MID(VLOOKUP($B236,Seqs!$A:$B,2,0),E236,1),"")</f>
        <v>L</v>
      </c>
      <c r="E236" s="3">
        <v>48</v>
      </c>
      <c r="F236" s="3" t="str">
        <f>IFERROR(MID(VLOOKUP($B236,Seqs!$A:$B,2,0),G236,1),"")</f>
        <v>H</v>
      </c>
      <c r="G236" s="3">
        <v>79</v>
      </c>
      <c r="H236" s="3" t="str">
        <f>IFERROR(MID(VLOOKUP($B236,Seqs!$A:$B,2,0),I236,1),"")</f>
        <v/>
      </c>
      <c r="I236" s="23" t="s">
        <v>23</v>
      </c>
      <c r="J236" s="3" t="str">
        <f>IFERROR(MID(VLOOKUP($B236,Seqs!$A:$B,2,0),K236,1),"")</f>
        <v/>
      </c>
      <c r="K236" s="23" t="s">
        <v>23</v>
      </c>
      <c r="L236" s="3" t="str">
        <f>IFERROR(MID(VLOOKUP($B236,Seqs!$A:$B,2,0),M236,1),"")</f>
        <v>T</v>
      </c>
      <c r="M236" s="3">
        <v>84</v>
      </c>
      <c r="N236" s="3" t="str">
        <f>IFERROR(MID(VLOOKUP($B236,Seqs!$A:$B,2,0),O236,1),"")</f>
        <v>L</v>
      </c>
      <c r="O236" s="3">
        <v>113</v>
      </c>
      <c r="P236" s="3" t="str">
        <f>IFERROR(MID(VLOOKUP($B236,Seqs!$A:$B,2,0),Q236,1),"")</f>
        <v>F</v>
      </c>
      <c r="Q236" s="3">
        <v>115</v>
      </c>
      <c r="R236" s="3" t="str">
        <f>IFERROR(MID(VLOOKUP($B236,Seqs!$A:$B,2,0),S236,1),"")</f>
        <v>F</v>
      </c>
      <c r="S236" s="3">
        <v>118</v>
      </c>
      <c r="T236" s="3" t="str">
        <f>IFERROR(MID(VLOOKUP($B236,Seqs!$A:$B,2,0),U236,1),"")</f>
        <v>G</v>
      </c>
      <c r="U236" s="3">
        <v>119</v>
      </c>
      <c r="V236" s="3" t="str">
        <f>IFERROR(MID(VLOOKUP($B236,Seqs!$A:$B,2,0),W236,1),"")</f>
        <v>H</v>
      </c>
      <c r="W236" s="3">
        <v>154</v>
      </c>
      <c r="X236" s="3" t="str">
        <f>IFERROR(MID(VLOOKUP($B236,Seqs!$A:$B,2,0),Y236,1),"")</f>
        <v/>
      </c>
      <c r="Y236" s="3" t="s">
        <v>23</v>
      </c>
      <c r="Z236" s="3" t="str">
        <f>IFERROR(MID(VLOOKUP($B236,Seqs!$A:$B,2,0),AA236,1),"")</f>
        <v/>
      </c>
      <c r="AA236" s="3" t="s">
        <v>23</v>
      </c>
      <c r="AB236" s="3" t="str">
        <f>IFERROR(MID(VLOOKUP($B236,Seqs!$A:$B,2,0),AC236,1),"")</f>
        <v>T</v>
      </c>
      <c r="AC236" s="9">
        <v>163</v>
      </c>
      <c r="AD236" s="3" t="str">
        <f>IFERROR(MID(VLOOKUP($B236,Seqs!$A:$B,2,0),AE236,1),"")</f>
        <v>G</v>
      </c>
      <c r="AE236" s="3">
        <v>189</v>
      </c>
      <c r="AF236" s="3" t="str">
        <f>IFERROR(MID(VLOOKUP($B236,Seqs!$A:$B,2,0),AG236,1),"")</f>
        <v>C</v>
      </c>
      <c r="AG236" s="3">
        <v>200</v>
      </c>
      <c r="AH236" s="3" t="str">
        <f>IFERROR(MID(VLOOKUP($B236,Seqs!$A:$B,2,0),AI236,1),"")</f>
        <v>V</v>
      </c>
      <c r="AI236" s="3">
        <v>202</v>
      </c>
      <c r="AJ236" s="3" t="str">
        <f>IFERROR(MID(VLOOKUP($B236,Seqs!$A:$B,2,0),AK236,1),"")</f>
        <v>Q</v>
      </c>
      <c r="AK236" s="3">
        <v>208</v>
      </c>
      <c r="AL236" s="3" t="str">
        <f>IFERROR(MID(VLOOKUP($B236,Seqs!$A:$B,2,0),AM236,1),"")</f>
        <v>L</v>
      </c>
      <c r="AM236" s="3">
        <v>242</v>
      </c>
      <c r="AN236" s="3" t="str">
        <f>IFERROR(MID(VLOOKUP($B236,Seqs!$A:$B,2,0),AO236,1),"")</f>
        <v>S</v>
      </c>
      <c r="AO236" s="3">
        <v>251</v>
      </c>
      <c r="AP236" s="3" t="str">
        <f>IFERROR(MID(VLOOKUP($B236,Seqs!$A:$B,2,0),AQ236,1),"")</f>
        <v>G</v>
      </c>
      <c r="AQ236" s="3">
        <v>289</v>
      </c>
      <c r="AR236" s="3" t="str">
        <f>IFERROR(MID(VLOOKUP($B236,Seqs!$A:$B,2,0),AS236,1),"")</f>
        <v>S</v>
      </c>
      <c r="AS236" s="3">
        <v>294</v>
      </c>
      <c r="AT236" s="3" t="str">
        <f>IFERROR(MID(VLOOKUP($B236,Seqs!$A:$B,2,0),AU236,1),"")</f>
        <v>L</v>
      </c>
      <c r="AU236" s="3">
        <v>322</v>
      </c>
      <c r="AV236" s="3" t="str">
        <f>IFERROR(MID(VLOOKUP($B236,Seqs!$A:$B,2,0),AW236,1),"")</f>
        <v>D</v>
      </c>
      <c r="AW236" s="3">
        <v>323</v>
      </c>
      <c r="AX236" s="3" t="str">
        <f>IFERROR(MID(VLOOKUP($B236,Seqs!$A:$B,2,0),AY236,1),"")</f>
        <v>R</v>
      </c>
      <c r="AY236" s="3">
        <v>331</v>
      </c>
      <c r="AZ236" s="77" t="str">
        <f>VLOOKUP(B236,Classification!A:D,2,0)</f>
        <v>A</v>
      </c>
      <c r="BA236" s="94" t="str">
        <f>VLOOKUP(B236,Classification!A:D,4,0)</f>
        <v>Opioid</v>
      </c>
      <c r="BB236" s="27" t="b">
        <f t="shared" si="1006"/>
        <v>1</v>
      </c>
      <c r="BC236" s="23">
        <f t="shared" si="979"/>
        <v>246</v>
      </c>
      <c r="BD236" s="5" t="s">
        <v>23</v>
      </c>
      <c r="BE236" s="3" t="s">
        <v>1375</v>
      </c>
      <c r="BF236" s="119">
        <v>3.01</v>
      </c>
      <c r="BG236" s="49" t="s">
        <v>1378</v>
      </c>
      <c r="BH236" s="49" t="s">
        <v>1378</v>
      </c>
      <c r="BI236" s="1"/>
      <c r="BJ236" s="70" t="s">
        <v>1288</v>
      </c>
      <c r="BK236" s="57" t="s">
        <v>1288</v>
      </c>
      <c r="BL236" s="57" t="s">
        <v>1288</v>
      </c>
      <c r="BM236" s="57" t="s">
        <v>1288</v>
      </c>
      <c r="BN236" s="57" t="s">
        <v>1288</v>
      </c>
      <c r="BO236" s="57" t="s">
        <v>1288</v>
      </c>
      <c r="BP236" s="57" t="s">
        <v>1288</v>
      </c>
      <c r="BQ236" s="57" t="s">
        <v>1288</v>
      </c>
      <c r="BR236" s="57" t="s">
        <v>1288</v>
      </c>
      <c r="BS236" s="57" t="s">
        <v>1288</v>
      </c>
      <c r="BT236" s="57" t="s">
        <v>1288</v>
      </c>
      <c r="BU236" s="57" t="s">
        <v>1288</v>
      </c>
      <c r="BV236" s="70">
        <f t="shared" si="980"/>
        <v>48</v>
      </c>
      <c r="BW236" s="71" t="str">
        <f t="shared" si="981"/>
        <v>-</v>
      </c>
      <c r="BX236" s="72">
        <f t="shared" si="982"/>
        <v>84</v>
      </c>
      <c r="BY236" s="71">
        <f t="shared" si="983"/>
        <v>115</v>
      </c>
      <c r="BZ236" s="72">
        <f t="shared" si="984"/>
        <v>119</v>
      </c>
      <c r="CA236" s="71" t="str">
        <f t="shared" si="985"/>
        <v>-</v>
      </c>
      <c r="CB236" s="72">
        <f t="shared" si="986"/>
        <v>163</v>
      </c>
      <c r="CC236" s="71">
        <f t="shared" si="987"/>
        <v>200</v>
      </c>
      <c r="CD236" s="72">
        <f t="shared" si="988"/>
        <v>208</v>
      </c>
      <c r="CE236" s="71">
        <f t="shared" si="989"/>
        <v>251</v>
      </c>
      <c r="CF236" s="72">
        <f t="shared" si="990"/>
        <v>294</v>
      </c>
      <c r="CG236" s="71">
        <f t="shared" si="991"/>
        <v>323</v>
      </c>
      <c r="CH236" s="70">
        <f t="shared" si="992"/>
        <v>79</v>
      </c>
      <c r="CI236" s="71" t="str">
        <f t="shared" si="993"/>
        <v>-</v>
      </c>
      <c r="CJ236" s="72">
        <f t="shared" si="994"/>
        <v>113</v>
      </c>
      <c r="CK236" s="72">
        <f t="shared" si="995"/>
        <v>118</v>
      </c>
      <c r="CL236" s="72">
        <f t="shared" si="996"/>
        <v>154</v>
      </c>
      <c r="CM236" s="72" t="str">
        <f t="shared" si="997"/>
        <v>-</v>
      </c>
      <c r="CN236" s="72">
        <f t="shared" si="998"/>
        <v>189</v>
      </c>
      <c r="CO236" s="72">
        <f t="shared" si="999"/>
        <v>202</v>
      </c>
      <c r="CP236" s="72">
        <f t="shared" si="1000"/>
        <v>242</v>
      </c>
      <c r="CQ236" s="72">
        <f t="shared" si="1001"/>
        <v>289</v>
      </c>
      <c r="CR236" s="72">
        <f t="shared" si="1002"/>
        <v>322</v>
      </c>
      <c r="CS236" s="72">
        <f t="shared" si="1003"/>
        <v>331</v>
      </c>
      <c r="CT236" s="23" t="e">
        <f t="shared" si="1004"/>
        <v>#VALUE!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30" x14ac:dyDescent="0.2">
      <c r="A237" s="3" t="str">
        <f t="shared" si="1005"/>
        <v>oprx_human_5DHG</v>
      </c>
      <c r="B237" s="3" t="s">
        <v>1174</v>
      </c>
      <c r="C237" s="3" t="s">
        <v>1356</v>
      </c>
      <c r="D237" s="3" t="str">
        <f>IFERROR(MID(VLOOKUP($B237,Seqs!$A:$B,2,0),E237,1),"")</f>
        <v>L</v>
      </c>
      <c r="E237" s="3">
        <v>48</v>
      </c>
      <c r="F237" s="3" t="str">
        <f>IFERROR(MID(VLOOKUP($B237,Seqs!$A:$B,2,0),G237,1),"")</f>
        <v>H</v>
      </c>
      <c r="G237" s="3">
        <v>79</v>
      </c>
      <c r="H237" s="3" t="str">
        <f>IFERROR(MID(VLOOKUP($B237,Seqs!$A:$B,2,0),I237,1),"")</f>
        <v/>
      </c>
      <c r="I237" s="23" t="s">
        <v>23</v>
      </c>
      <c r="J237" s="3" t="str">
        <f>IFERROR(MID(VLOOKUP($B237,Seqs!$A:$B,2,0),K237,1),"")</f>
        <v/>
      </c>
      <c r="K237" s="23" t="s">
        <v>23</v>
      </c>
      <c r="L237" s="3" t="str">
        <f>IFERROR(MID(VLOOKUP($B237,Seqs!$A:$B,2,0),M237,1),"")</f>
        <v>T</v>
      </c>
      <c r="M237" s="3">
        <v>84</v>
      </c>
      <c r="N237" s="3" t="str">
        <f>IFERROR(MID(VLOOKUP($B237,Seqs!$A:$B,2,0),O237,1),"")</f>
        <v>L</v>
      </c>
      <c r="O237" s="3">
        <v>113</v>
      </c>
      <c r="P237" s="3" t="str">
        <f>IFERROR(MID(VLOOKUP($B237,Seqs!$A:$B,2,0),Q237,1),"")</f>
        <v>F</v>
      </c>
      <c r="Q237" s="3">
        <v>115</v>
      </c>
      <c r="R237" s="3" t="str">
        <f>IFERROR(MID(VLOOKUP($B237,Seqs!$A:$B,2,0),S237,1),"")</f>
        <v>F</v>
      </c>
      <c r="S237" s="3">
        <v>118</v>
      </c>
      <c r="T237" s="3" t="str">
        <f>IFERROR(MID(VLOOKUP($B237,Seqs!$A:$B,2,0),U237,1),"")</f>
        <v>G</v>
      </c>
      <c r="U237" s="3">
        <v>119</v>
      </c>
      <c r="V237" s="3" t="str">
        <f>IFERROR(MID(VLOOKUP($B237,Seqs!$A:$B,2,0),W237,1),"")</f>
        <v>H</v>
      </c>
      <c r="W237" s="3">
        <v>154</v>
      </c>
      <c r="X237" s="3" t="str">
        <f>IFERROR(MID(VLOOKUP($B237,Seqs!$A:$B,2,0),Y237,1),"")</f>
        <v/>
      </c>
      <c r="Y237" s="3" t="s">
        <v>23</v>
      </c>
      <c r="Z237" s="3" t="str">
        <f>IFERROR(MID(VLOOKUP($B237,Seqs!$A:$B,2,0),AA237,1),"")</f>
        <v/>
      </c>
      <c r="AA237" s="3" t="s">
        <v>23</v>
      </c>
      <c r="AB237" s="3" t="str">
        <f>IFERROR(MID(VLOOKUP($B237,Seqs!$A:$B,2,0),AC237,1),"")</f>
        <v>T</v>
      </c>
      <c r="AC237" s="9">
        <v>163</v>
      </c>
      <c r="AD237" s="3" t="str">
        <f>IFERROR(MID(VLOOKUP($B237,Seqs!$A:$B,2,0),AE237,1),"")</f>
        <v>G</v>
      </c>
      <c r="AE237" s="3">
        <v>189</v>
      </c>
      <c r="AF237" s="3" t="str">
        <f>IFERROR(MID(VLOOKUP($B237,Seqs!$A:$B,2,0),AG237,1),"")</f>
        <v>C</v>
      </c>
      <c r="AG237" s="3">
        <v>200</v>
      </c>
      <c r="AH237" s="3" t="str">
        <f>IFERROR(MID(VLOOKUP($B237,Seqs!$A:$B,2,0),AI237,1),"")</f>
        <v>V</v>
      </c>
      <c r="AI237" s="3">
        <v>202</v>
      </c>
      <c r="AJ237" s="3" t="str">
        <f>IFERROR(MID(VLOOKUP($B237,Seqs!$A:$B,2,0),AK237,1),"")</f>
        <v>Q</v>
      </c>
      <c r="AK237" s="3">
        <v>208</v>
      </c>
      <c r="AL237" s="3" t="str">
        <f>IFERROR(MID(VLOOKUP($B237,Seqs!$A:$B,2,0),AM237,1),"")</f>
        <v>L</v>
      </c>
      <c r="AM237" s="3">
        <v>242</v>
      </c>
      <c r="AN237" s="3" t="str">
        <f>IFERROR(MID(VLOOKUP($B237,Seqs!$A:$B,2,0),AO237,1),"")</f>
        <v>S</v>
      </c>
      <c r="AO237" s="3">
        <v>251</v>
      </c>
      <c r="AP237" s="3" t="str">
        <f>IFERROR(MID(VLOOKUP($B237,Seqs!$A:$B,2,0),AQ237,1),"")</f>
        <v>G</v>
      </c>
      <c r="AQ237" s="3">
        <v>289</v>
      </c>
      <c r="AR237" s="3" t="str">
        <f>IFERROR(MID(VLOOKUP($B237,Seqs!$A:$B,2,0),AS237,1),"")</f>
        <v>S</v>
      </c>
      <c r="AS237" s="3">
        <v>294</v>
      </c>
      <c r="AT237" s="3" t="str">
        <f>IFERROR(MID(VLOOKUP($B237,Seqs!$A:$B,2,0),AU237,1),"")</f>
        <v>L</v>
      </c>
      <c r="AU237" s="3">
        <v>322</v>
      </c>
      <c r="AV237" s="3" t="str">
        <f>IFERROR(MID(VLOOKUP($B237,Seqs!$A:$B,2,0),AW237,1),"")</f>
        <v>D</v>
      </c>
      <c r="AW237" s="3">
        <v>323</v>
      </c>
      <c r="AX237" s="3" t="str">
        <f>IFERROR(MID(VLOOKUP($B237,Seqs!$A:$B,2,0),AY237,1),"")</f>
        <v>F</v>
      </c>
      <c r="AY237" s="3">
        <v>333</v>
      </c>
      <c r="AZ237" s="77" t="str">
        <f>VLOOKUP(B237,Classification!A:D,2,0)</f>
        <v>A</v>
      </c>
      <c r="BA237" s="94" t="str">
        <f>VLOOKUP(B237,Classification!A:D,4,0)</f>
        <v>Opioid</v>
      </c>
      <c r="BB237" s="27" t="b">
        <f t="shared" si="1006"/>
        <v>1</v>
      </c>
      <c r="BC237" s="23">
        <f t="shared" si="979"/>
        <v>248</v>
      </c>
      <c r="BD237" s="16" t="s">
        <v>1377</v>
      </c>
      <c r="BE237" s="3" t="s">
        <v>1375</v>
      </c>
      <c r="BF237" s="119">
        <v>3</v>
      </c>
      <c r="BG237" s="49" t="s">
        <v>1282</v>
      </c>
      <c r="BH237" s="49" t="s">
        <v>1378</v>
      </c>
      <c r="BI237" s="1"/>
      <c r="BJ237" s="70" t="s">
        <v>1288</v>
      </c>
      <c r="BK237" s="57" t="s">
        <v>1288</v>
      </c>
      <c r="BL237" s="57" t="s">
        <v>1288</v>
      </c>
      <c r="BM237" s="57" t="s">
        <v>1288</v>
      </c>
      <c r="BN237" s="57" t="s">
        <v>1288</v>
      </c>
      <c r="BO237" s="57" t="s">
        <v>1288</v>
      </c>
      <c r="BP237" s="57" t="s">
        <v>1288</v>
      </c>
      <c r="BQ237" s="57" t="s">
        <v>1288</v>
      </c>
      <c r="BR237" s="57" t="s">
        <v>1288</v>
      </c>
      <c r="BS237" s="57" t="s">
        <v>1288</v>
      </c>
      <c r="BT237" s="57" t="s">
        <v>1288</v>
      </c>
      <c r="BU237" s="57" t="s">
        <v>1288</v>
      </c>
      <c r="BV237" s="70">
        <f t="shared" si="980"/>
        <v>48</v>
      </c>
      <c r="BW237" s="71" t="str">
        <f t="shared" si="981"/>
        <v>-</v>
      </c>
      <c r="BX237" s="72">
        <f t="shared" si="982"/>
        <v>84</v>
      </c>
      <c r="BY237" s="71">
        <f t="shared" si="983"/>
        <v>115</v>
      </c>
      <c r="BZ237" s="72">
        <f t="shared" si="984"/>
        <v>119</v>
      </c>
      <c r="CA237" s="71" t="str">
        <f t="shared" si="985"/>
        <v>-</v>
      </c>
      <c r="CB237" s="72">
        <f t="shared" si="986"/>
        <v>163</v>
      </c>
      <c r="CC237" s="71">
        <f t="shared" si="987"/>
        <v>200</v>
      </c>
      <c r="CD237" s="72">
        <f t="shared" si="988"/>
        <v>208</v>
      </c>
      <c r="CE237" s="71">
        <f t="shared" si="989"/>
        <v>251</v>
      </c>
      <c r="CF237" s="72">
        <f t="shared" si="990"/>
        <v>294</v>
      </c>
      <c r="CG237" s="71">
        <f t="shared" si="991"/>
        <v>323</v>
      </c>
      <c r="CH237" s="70">
        <f t="shared" si="992"/>
        <v>79</v>
      </c>
      <c r="CI237" s="71" t="str">
        <f t="shared" si="993"/>
        <v>-</v>
      </c>
      <c r="CJ237" s="72">
        <f t="shared" si="994"/>
        <v>113</v>
      </c>
      <c r="CK237" s="72">
        <f t="shared" si="995"/>
        <v>118</v>
      </c>
      <c r="CL237" s="72">
        <f t="shared" si="996"/>
        <v>154</v>
      </c>
      <c r="CM237" s="72" t="str">
        <f t="shared" si="997"/>
        <v>-</v>
      </c>
      <c r="CN237" s="72">
        <f t="shared" si="998"/>
        <v>189</v>
      </c>
      <c r="CO237" s="72">
        <f t="shared" si="999"/>
        <v>202</v>
      </c>
      <c r="CP237" s="72">
        <f t="shared" si="1000"/>
        <v>242</v>
      </c>
      <c r="CQ237" s="72">
        <f t="shared" si="1001"/>
        <v>289</v>
      </c>
      <c r="CR237" s="72">
        <f t="shared" si="1002"/>
        <v>322</v>
      </c>
      <c r="CS237" s="72">
        <f t="shared" si="1003"/>
        <v>333</v>
      </c>
      <c r="CT237" s="23" t="e">
        <f t="shared" si="1004"/>
        <v>#VALUE!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30" x14ac:dyDescent="0.2">
      <c r="A238" s="3" t="str">
        <f t="shared" si="1005"/>
        <v>oprx_human_5DHH</v>
      </c>
      <c r="B238" s="3" t="s">
        <v>1174</v>
      </c>
      <c r="C238" s="3" t="s">
        <v>1357</v>
      </c>
      <c r="D238" s="3" t="str">
        <f>IFERROR(MID(VLOOKUP($B238,Seqs!$A:$B,2,0),E238,1),"")</f>
        <v>L</v>
      </c>
      <c r="E238" s="3">
        <v>48</v>
      </c>
      <c r="F238" s="3" t="str">
        <f>IFERROR(MID(VLOOKUP($B238,Seqs!$A:$B,2,0),G238,1),"")</f>
        <v>H</v>
      </c>
      <c r="G238" s="3">
        <v>79</v>
      </c>
      <c r="H238" s="3" t="str">
        <f>IFERROR(MID(VLOOKUP($B238,Seqs!$A:$B,2,0),I238,1),"")</f>
        <v/>
      </c>
      <c r="I238" s="23" t="s">
        <v>23</v>
      </c>
      <c r="J238" s="3" t="str">
        <f>IFERROR(MID(VLOOKUP($B238,Seqs!$A:$B,2,0),K238,1),"")</f>
        <v/>
      </c>
      <c r="K238" s="23" t="s">
        <v>23</v>
      </c>
      <c r="L238" s="3" t="str">
        <f>IFERROR(MID(VLOOKUP($B238,Seqs!$A:$B,2,0),M238,1),"")</f>
        <v>T</v>
      </c>
      <c r="M238" s="3">
        <v>84</v>
      </c>
      <c r="N238" s="3" t="str">
        <f>IFERROR(MID(VLOOKUP($B238,Seqs!$A:$B,2,0),O238,1),"")</f>
        <v>L</v>
      </c>
      <c r="O238" s="3">
        <v>113</v>
      </c>
      <c r="P238" s="3" t="str">
        <f>IFERROR(MID(VLOOKUP($B238,Seqs!$A:$B,2,0),Q238,1),"")</f>
        <v>F</v>
      </c>
      <c r="Q238" s="3">
        <v>115</v>
      </c>
      <c r="R238" s="3" t="str">
        <f>IFERROR(MID(VLOOKUP($B238,Seqs!$A:$B,2,0),S238,1),"")</f>
        <v>F</v>
      </c>
      <c r="S238" s="3">
        <v>118</v>
      </c>
      <c r="T238" s="3" t="str">
        <f>IFERROR(MID(VLOOKUP($B238,Seqs!$A:$B,2,0),U238,1),"")</f>
        <v>G</v>
      </c>
      <c r="U238" s="3">
        <v>119</v>
      </c>
      <c r="V238" s="3" t="str">
        <f>IFERROR(MID(VLOOKUP($B238,Seqs!$A:$B,2,0),W238,1),"")</f>
        <v>H</v>
      </c>
      <c r="W238" s="3">
        <v>154</v>
      </c>
      <c r="X238" s="3" t="str">
        <f>IFERROR(MID(VLOOKUP($B238,Seqs!$A:$B,2,0),Y238,1),"")</f>
        <v/>
      </c>
      <c r="Y238" s="3" t="s">
        <v>23</v>
      </c>
      <c r="Z238" s="3" t="str">
        <f>IFERROR(MID(VLOOKUP($B238,Seqs!$A:$B,2,0),AA238,1),"")</f>
        <v/>
      </c>
      <c r="AA238" s="3" t="s">
        <v>23</v>
      </c>
      <c r="AB238" s="3" t="str">
        <f>IFERROR(MID(VLOOKUP($B238,Seqs!$A:$B,2,0),AC238,1),"")</f>
        <v>T</v>
      </c>
      <c r="AC238" s="9">
        <v>163</v>
      </c>
      <c r="AD238" s="3" t="str">
        <f>IFERROR(MID(VLOOKUP($B238,Seqs!$A:$B,2,0),AE238,1),"")</f>
        <v>G</v>
      </c>
      <c r="AE238" s="3">
        <v>189</v>
      </c>
      <c r="AF238" s="3" t="str">
        <f>IFERROR(MID(VLOOKUP($B238,Seqs!$A:$B,2,0),AG238,1),"")</f>
        <v>C</v>
      </c>
      <c r="AG238" s="3">
        <v>200</v>
      </c>
      <c r="AH238" s="3" t="str">
        <f>IFERROR(MID(VLOOKUP($B238,Seqs!$A:$B,2,0),AI238,1),"")</f>
        <v>V</v>
      </c>
      <c r="AI238" s="3">
        <v>202</v>
      </c>
      <c r="AJ238" s="3" t="str">
        <f>IFERROR(MID(VLOOKUP($B238,Seqs!$A:$B,2,0),AK238,1),"")</f>
        <v>Q</v>
      </c>
      <c r="AK238" s="3">
        <v>208</v>
      </c>
      <c r="AL238" s="3" t="str">
        <f>IFERROR(MID(VLOOKUP($B238,Seqs!$A:$B,2,0),AM238,1),"")</f>
        <v>L</v>
      </c>
      <c r="AM238" s="3">
        <v>242</v>
      </c>
      <c r="AN238" s="3" t="str">
        <f>IFERROR(MID(VLOOKUP($B238,Seqs!$A:$B,2,0),AO238,1),"")</f>
        <v>S</v>
      </c>
      <c r="AO238" s="3">
        <v>251</v>
      </c>
      <c r="AP238" s="3" t="str">
        <f>IFERROR(MID(VLOOKUP($B238,Seqs!$A:$B,2,0),AQ238,1),"")</f>
        <v>G</v>
      </c>
      <c r="AQ238" s="3">
        <v>289</v>
      </c>
      <c r="AR238" s="3" t="str">
        <f>IFERROR(MID(VLOOKUP($B238,Seqs!$A:$B,2,0),AS238,1),"")</f>
        <v>S</v>
      </c>
      <c r="AS238" s="3">
        <v>294</v>
      </c>
      <c r="AT238" s="3" t="str">
        <f>IFERROR(MID(VLOOKUP($B238,Seqs!$A:$B,2,0),AU238,1),"")</f>
        <v>L</v>
      </c>
      <c r="AU238" s="3">
        <v>322</v>
      </c>
      <c r="AV238" s="3" t="str">
        <f>IFERROR(MID(VLOOKUP($B238,Seqs!$A:$B,2,0),AW238,1),"")</f>
        <v>D</v>
      </c>
      <c r="AW238" s="3">
        <v>323</v>
      </c>
      <c r="AX238" s="3" t="str">
        <f>IFERROR(MID(VLOOKUP($B238,Seqs!$A:$B,2,0),AY238,1),"")</f>
        <v>R</v>
      </c>
      <c r="AY238" s="3">
        <v>331</v>
      </c>
      <c r="AZ238" s="77" t="str">
        <f>VLOOKUP(B238,Classification!A:D,2,0)</f>
        <v>A</v>
      </c>
      <c r="BA238" s="94" t="str">
        <f>VLOOKUP(B238,Classification!A:D,4,0)</f>
        <v>Opioid</v>
      </c>
      <c r="BB238" s="27" t="b">
        <f t="shared" si="1006"/>
        <v>1</v>
      </c>
      <c r="BC238" s="23">
        <f t="shared" si="979"/>
        <v>246</v>
      </c>
      <c r="BD238" s="5" t="s">
        <v>23</v>
      </c>
      <c r="BE238" s="3" t="s">
        <v>1375</v>
      </c>
      <c r="BF238" s="119">
        <v>3</v>
      </c>
      <c r="BG238" s="49" t="s">
        <v>1</v>
      </c>
      <c r="BH238" s="49" t="s">
        <v>1378</v>
      </c>
      <c r="BI238" s="1" t="s">
        <v>1361</v>
      </c>
      <c r="BJ238" s="70" t="s">
        <v>1288</v>
      </c>
      <c r="BK238" s="57" t="s">
        <v>1288</v>
      </c>
      <c r="BL238" s="57" t="s">
        <v>1288</v>
      </c>
      <c r="BM238" s="57" t="s">
        <v>1288</v>
      </c>
      <c r="BN238" s="57" t="s">
        <v>1288</v>
      </c>
      <c r="BO238" s="57" t="s">
        <v>1288</v>
      </c>
      <c r="BP238" s="57" t="s">
        <v>1288</v>
      </c>
      <c r="BQ238" s="57" t="s">
        <v>1288</v>
      </c>
      <c r="BR238" s="57" t="s">
        <v>1288</v>
      </c>
      <c r="BS238" s="57" t="s">
        <v>1288</v>
      </c>
      <c r="BT238" s="57" t="s">
        <v>1288</v>
      </c>
      <c r="BU238" s="57" t="s">
        <v>1288</v>
      </c>
      <c r="BV238" s="70">
        <f t="shared" si="980"/>
        <v>48</v>
      </c>
      <c r="BW238" s="71" t="str">
        <f t="shared" si="981"/>
        <v>-</v>
      </c>
      <c r="BX238" s="72">
        <f t="shared" si="982"/>
        <v>84</v>
      </c>
      <c r="BY238" s="71">
        <f t="shared" si="983"/>
        <v>115</v>
      </c>
      <c r="BZ238" s="72">
        <f t="shared" si="984"/>
        <v>119</v>
      </c>
      <c r="CA238" s="71" t="str">
        <f t="shared" si="985"/>
        <v>-</v>
      </c>
      <c r="CB238" s="72">
        <f t="shared" si="986"/>
        <v>163</v>
      </c>
      <c r="CC238" s="71">
        <f t="shared" si="987"/>
        <v>200</v>
      </c>
      <c r="CD238" s="72">
        <f t="shared" si="988"/>
        <v>208</v>
      </c>
      <c r="CE238" s="71">
        <f t="shared" si="989"/>
        <v>251</v>
      </c>
      <c r="CF238" s="72">
        <f t="shared" si="990"/>
        <v>294</v>
      </c>
      <c r="CG238" s="71">
        <f t="shared" si="991"/>
        <v>323</v>
      </c>
      <c r="CH238" s="70">
        <f t="shared" si="992"/>
        <v>79</v>
      </c>
      <c r="CI238" s="71" t="str">
        <f t="shared" si="993"/>
        <v>-</v>
      </c>
      <c r="CJ238" s="72">
        <f t="shared" si="994"/>
        <v>113</v>
      </c>
      <c r="CK238" s="72">
        <f t="shared" si="995"/>
        <v>118</v>
      </c>
      <c r="CL238" s="72">
        <f t="shared" si="996"/>
        <v>154</v>
      </c>
      <c r="CM238" s="72" t="str">
        <f t="shared" si="997"/>
        <v>-</v>
      </c>
      <c r="CN238" s="72">
        <f t="shared" si="998"/>
        <v>189</v>
      </c>
      <c r="CO238" s="72">
        <f t="shared" si="999"/>
        <v>202</v>
      </c>
      <c r="CP238" s="72">
        <f t="shared" si="1000"/>
        <v>242</v>
      </c>
      <c r="CQ238" s="72">
        <f t="shared" si="1001"/>
        <v>289</v>
      </c>
      <c r="CR238" s="72">
        <f t="shared" si="1002"/>
        <v>322</v>
      </c>
      <c r="CS238" s="72">
        <f t="shared" si="1003"/>
        <v>331</v>
      </c>
      <c r="CT238" s="23" t="e">
        <f t="shared" si="1004"/>
        <v>#VALUE!</v>
      </c>
    </row>
    <row r="239" spans="1:1030" x14ac:dyDescent="0.2">
      <c r="A239" s="3" t="str">
        <f t="shared" si="1005"/>
        <v>opsd_bovin__wt</v>
      </c>
      <c r="B239" s="3" t="s">
        <v>920</v>
      </c>
      <c r="C239" s="3" t="s">
        <v>100</v>
      </c>
      <c r="D239" s="3" t="str">
        <f>IFERROR(MID(VLOOKUP($B239,Seqs!$A:$B,2,0),E239,1),"")</f>
        <v>E</v>
      </c>
      <c r="E239" s="105">
        <v>33</v>
      </c>
      <c r="F239" s="3" t="str">
        <f>IFERROR(MID(VLOOKUP($B239,Seqs!$A:$B,2,0),G239,1),"")</f>
        <v>H</v>
      </c>
      <c r="G239" s="3">
        <v>65</v>
      </c>
      <c r="H239" s="3" t="str">
        <f>IFERROR(MID(VLOOKUP($B239,Seqs!$A:$B,2,0),I239,1),"")</f>
        <v>K</v>
      </c>
      <c r="I239" s="23">
        <v>66</v>
      </c>
      <c r="J239" s="3" t="str">
        <f>IFERROR(MID(VLOOKUP($B239,Seqs!$A:$B,2,0),K239,1),"")</f>
        <v>R</v>
      </c>
      <c r="K239" s="23">
        <v>69</v>
      </c>
      <c r="L239" s="3" t="str">
        <f>IFERROR(MID(VLOOKUP($B239,Seqs!$A:$B,2,0),M239,1),"")</f>
        <v>T</v>
      </c>
      <c r="M239" s="3">
        <v>70</v>
      </c>
      <c r="N239" s="3" t="str">
        <f>IFERROR(MID(VLOOKUP($B239,Seqs!$A:$B,2,0),O239,1),"")</f>
        <v>H</v>
      </c>
      <c r="O239" s="3">
        <v>100</v>
      </c>
      <c r="P239" s="3" t="str">
        <f>IFERROR(MID(VLOOKUP($B239,Seqs!$A:$B,2,0),Q239,1),"")</f>
        <v>Y</v>
      </c>
      <c r="Q239" s="3">
        <v>102</v>
      </c>
      <c r="R239" s="3" t="str">
        <f>IFERROR(MID(VLOOKUP($B239,Seqs!$A:$B,2,0),S239,1),"")</f>
        <v>F</v>
      </c>
      <c r="S239" s="3">
        <v>105</v>
      </c>
      <c r="T239" s="3" t="str">
        <f>IFERROR(MID(VLOOKUP($B239,Seqs!$A:$B,2,0),U239,1),"")</f>
        <v>G</v>
      </c>
      <c r="U239" s="3">
        <v>106</v>
      </c>
      <c r="V239" s="3" t="str">
        <f>IFERROR(MID(VLOOKUP($B239,Seqs!$A:$B,2,0),W239,1),"")</f>
        <v>K</v>
      </c>
      <c r="W239" s="3">
        <v>141</v>
      </c>
      <c r="X239" s="3" t="str">
        <f>IFERROR(MID(VLOOKUP($B239,Seqs!$A:$B,2,0),Y239,1),"")</f>
        <v>P</v>
      </c>
      <c r="Y239" s="3">
        <v>142</v>
      </c>
      <c r="Z239" s="3" t="str">
        <f>IFERROR(MID(VLOOKUP($B239,Seqs!$A:$B,2,0),AA239,1),"")</f>
        <v>F</v>
      </c>
      <c r="AA239" s="105">
        <v>148</v>
      </c>
      <c r="AB239" s="3" t="str">
        <f>IFERROR(MID(VLOOKUP($B239,Seqs!$A:$B,2,0),AC239,1),"")</f>
        <v>G</v>
      </c>
      <c r="AC239" s="105">
        <v>149</v>
      </c>
      <c r="AD239" s="3" t="str">
        <f>IFERROR(MID(VLOOKUP($B239,Seqs!$A:$B,2,0),AE239,1),"")</f>
        <v>V</v>
      </c>
      <c r="AE239" s="3">
        <v>173</v>
      </c>
      <c r="AF239" s="3" t="str">
        <f>IFERROR(MID(VLOOKUP($B239,Seqs!$A:$B,2,0),AG239,1),"")</f>
        <v>C</v>
      </c>
      <c r="AG239" s="3">
        <v>187</v>
      </c>
      <c r="AH239" s="3" t="str">
        <f>IFERROR(MID(VLOOKUP($B239,Seqs!$A:$B,2,0),AI239,1),"")</f>
        <v>I</v>
      </c>
      <c r="AI239" s="3">
        <v>189</v>
      </c>
      <c r="AJ239" s="3" t="str">
        <f>IFERROR(MID(VLOOKUP($B239,Seqs!$A:$B,2,0),AK239,1),"")</f>
        <v>N</v>
      </c>
      <c r="AK239" s="3">
        <v>199</v>
      </c>
      <c r="AL239" s="3" t="str">
        <f>IFERROR(MID(VLOOKUP($B239,Seqs!$A:$B,2,0),AM239,1),"")</f>
        <v>Q</v>
      </c>
      <c r="AM239" s="3">
        <v>237</v>
      </c>
      <c r="AN239" s="3" t="str">
        <f>IFERROR(MID(VLOOKUP($B239,Seqs!$A:$B,2,0),AO239,1),"")</f>
        <v>A</v>
      </c>
      <c r="AO239" s="3">
        <v>241</v>
      </c>
      <c r="AP239" s="3" t="str">
        <f>IFERROR(MID(VLOOKUP($B239,Seqs!$A:$B,2,0),AQ239,1),"")</f>
        <v>H</v>
      </c>
      <c r="AQ239" s="3">
        <v>278</v>
      </c>
      <c r="AR239" s="3" t="str">
        <f>IFERROR(MID(VLOOKUP($B239,Seqs!$A:$B,2,0),AS239,1),"")</f>
        <v>G</v>
      </c>
      <c r="AS239" s="3">
        <v>284</v>
      </c>
      <c r="AT239" s="3" t="str">
        <f>IFERROR(MID(VLOOKUP($B239,Seqs!$A:$B,2,0),AU239,1),"")</f>
        <v>M</v>
      </c>
      <c r="AU239" s="3">
        <v>309</v>
      </c>
      <c r="AV239" s="3" t="str">
        <f>IFERROR(MID(VLOOKUP($B239,Seqs!$A:$B,2,0),AW239,1),"")</f>
        <v>N</v>
      </c>
      <c r="AW239" s="3">
        <v>310</v>
      </c>
      <c r="AX239" s="3" t="str">
        <f>IFERROR(MID(VLOOKUP($B239,Seqs!$A:$B,2,0),AY239,1),"")</f>
        <v>C</v>
      </c>
      <c r="AY239" s="3">
        <v>322</v>
      </c>
      <c r="AZ239" s="77" t="str">
        <f>VLOOKUP(B239,Classification!A:D,2,0)</f>
        <v>A</v>
      </c>
      <c r="BA239" s="94" t="str">
        <f>VLOOKUP(B239,Classification!A:D,4,0)</f>
        <v>Opsins</v>
      </c>
      <c r="BB239" s="27" t="b">
        <f t="shared" si="1006"/>
        <v>1</v>
      </c>
      <c r="BC239" s="23">
        <f t="shared" si="979"/>
        <v>259</v>
      </c>
      <c r="BD239" s="34" t="s">
        <v>23</v>
      </c>
      <c r="BE239" s="3" t="s">
        <v>23</v>
      </c>
      <c r="BF239" s="119" t="s">
        <v>23</v>
      </c>
      <c r="BG239" s="49" t="s">
        <v>1373</v>
      </c>
      <c r="BH239" s="49" t="s">
        <v>1378</v>
      </c>
      <c r="BI239" s="1"/>
      <c r="BJ239" s="70" t="s">
        <v>1288</v>
      </c>
      <c r="BK239" s="57" t="s">
        <v>1288</v>
      </c>
      <c r="BL239" s="57" t="s">
        <v>1288</v>
      </c>
      <c r="BM239" s="57" t="s">
        <v>1288</v>
      </c>
      <c r="BN239" s="57" t="s">
        <v>1288</v>
      </c>
      <c r="BO239" s="57" t="s">
        <v>1288</v>
      </c>
      <c r="BP239" s="57" t="s">
        <v>1288</v>
      </c>
      <c r="BQ239" s="57" t="s">
        <v>1288</v>
      </c>
      <c r="BR239" s="57" t="s">
        <v>1288</v>
      </c>
      <c r="BS239" s="57" t="s">
        <v>1288</v>
      </c>
      <c r="BT239" s="57" t="s">
        <v>1288</v>
      </c>
      <c r="BU239" s="57" t="s">
        <v>1288</v>
      </c>
      <c r="BV239" s="70">
        <f t="shared" si="980"/>
        <v>33</v>
      </c>
      <c r="BW239" s="71">
        <f t="shared" si="981"/>
        <v>66</v>
      </c>
      <c r="BX239" s="72">
        <f t="shared" si="982"/>
        <v>70</v>
      </c>
      <c r="BY239" s="71">
        <f t="shared" si="983"/>
        <v>102</v>
      </c>
      <c r="BZ239" s="72">
        <f t="shared" si="984"/>
        <v>106</v>
      </c>
      <c r="CA239" s="71">
        <f t="shared" si="985"/>
        <v>142</v>
      </c>
      <c r="CB239" s="72">
        <f t="shared" si="986"/>
        <v>149</v>
      </c>
      <c r="CC239" s="71">
        <f t="shared" si="987"/>
        <v>187</v>
      </c>
      <c r="CD239" s="72">
        <f t="shared" si="988"/>
        <v>199</v>
      </c>
      <c r="CE239" s="71">
        <f t="shared" si="989"/>
        <v>241</v>
      </c>
      <c r="CF239" s="72">
        <f t="shared" si="990"/>
        <v>284</v>
      </c>
      <c r="CG239" s="71">
        <f t="shared" si="991"/>
        <v>310</v>
      </c>
      <c r="CH239" s="70">
        <f t="shared" si="992"/>
        <v>65</v>
      </c>
      <c r="CI239" s="71">
        <f t="shared" si="993"/>
        <v>69</v>
      </c>
      <c r="CJ239" s="72">
        <f t="shared" si="994"/>
        <v>100</v>
      </c>
      <c r="CK239" s="72">
        <f t="shared" si="995"/>
        <v>105</v>
      </c>
      <c r="CL239" s="72">
        <f t="shared" si="996"/>
        <v>141</v>
      </c>
      <c r="CM239" s="72">
        <f t="shared" si="997"/>
        <v>148</v>
      </c>
      <c r="CN239" s="72">
        <f t="shared" si="998"/>
        <v>173</v>
      </c>
      <c r="CO239" s="72">
        <f t="shared" si="999"/>
        <v>189</v>
      </c>
      <c r="CP239" s="72">
        <f t="shared" si="1000"/>
        <v>237</v>
      </c>
      <c r="CQ239" s="72">
        <f t="shared" si="1001"/>
        <v>278</v>
      </c>
      <c r="CR239" s="72">
        <f t="shared" si="1002"/>
        <v>309</v>
      </c>
      <c r="CS239" s="72">
        <f t="shared" si="1003"/>
        <v>322</v>
      </c>
      <c r="CT239" s="23">
        <f t="shared" si="1004"/>
        <v>1</v>
      </c>
    </row>
    <row r="240" spans="1:1030" x14ac:dyDescent="0.2">
      <c r="A240" s="3" t="str">
        <f t="shared" si="1005"/>
        <v>opsd_bovin_1GZM</v>
      </c>
      <c r="B240" s="3" t="s">
        <v>920</v>
      </c>
      <c r="C240" s="3" t="s">
        <v>1338</v>
      </c>
      <c r="D240" s="3" t="str">
        <f>IFERROR(MID(VLOOKUP($B240,Seqs!$A:$B,2,0),E240,1),"")</f>
        <v>E</v>
      </c>
      <c r="E240" s="105">
        <v>33</v>
      </c>
      <c r="F240" s="3" t="str">
        <f>IFERROR(MID(VLOOKUP($B240,Seqs!$A:$B,2,0),G240,1),"")</f>
        <v>H</v>
      </c>
      <c r="G240" s="3">
        <v>65</v>
      </c>
      <c r="H240" s="3" t="str">
        <f>IFERROR(MID(VLOOKUP($B240,Seqs!$A:$B,2,0),I240,1),"")</f>
        <v>K</v>
      </c>
      <c r="I240" s="23">
        <v>66</v>
      </c>
      <c r="J240" s="3" t="str">
        <f>IFERROR(MID(VLOOKUP($B240,Seqs!$A:$B,2,0),K240,1),"")</f>
        <v>R</v>
      </c>
      <c r="K240" s="23">
        <v>69</v>
      </c>
      <c r="L240" s="3" t="str">
        <f>IFERROR(MID(VLOOKUP($B240,Seqs!$A:$B,2,0),M240,1),"")</f>
        <v>T</v>
      </c>
      <c r="M240" s="3">
        <v>70</v>
      </c>
      <c r="N240" s="3" t="str">
        <f>IFERROR(MID(VLOOKUP($B240,Seqs!$A:$B,2,0),O240,1),"")</f>
        <v>H</v>
      </c>
      <c r="O240" s="3">
        <v>100</v>
      </c>
      <c r="P240" s="3" t="str">
        <f>IFERROR(MID(VLOOKUP($B240,Seqs!$A:$B,2,0),Q240,1),"")</f>
        <v>Y</v>
      </c>
      <c r="Q240" s="3">
        <v>102</v>
      </c>
      <c r="R240" s="3" t="str">
        <f>IFERROR(MID(VLOOKUP($B240,Seqs!$A:$B,2,0),S240,1),"")</f>
        <v>F</v>
      </c>
      <c r="S240" s="3">
        <v>105</v>
      </c>
      <c r="T240" s="3" t="str">
        <f>IFERROR(MID(VLOOKUP($B240,Seqs!$A:$B,2,0),U240,1),"")</f>
        <v>G</v>
      </c>
      <c r="U240" s="3">
        <v>106</v>
      </c>
      <c r="V240" s="3" t="str">
        <f>IFERROR(MID(VLOOKUP($B240,Seqs!$A:$B,2,0),W240,1),"")</f>
        <v>K</v>
      </c>
      <c r="W240" s="3">
        <v>141</v>
      </c>
      <c r="X240" s="3" t="str">
        <f>IFERROR(MID(VLOOKUP($B240,Seqs!$A:$B,2,0),Y240,1),"")</f>
        <v/>
      </c>
      <c r="Y240" s="3" t="s">
        <v>23</v>
      </c>
      <c r="Z240" s="3" t="str">
        <f>IFERROR(MID(VLOOKUP($B240,Seqs!$A:$B,2,0),AA240,1),"")</f>
        <v/>
      </c>
      <c r="AA240" s="3" t="s">
        <v>23</v>
      </c>
      <c r="AB240" s="3" t="str">
        <f>IFERROR(MID(VLOOKUP($B240,Seqs!$A:$B,2,0),AC240,1),"")</f>
        <v>G</v>
      </c>
      <c r="AC240" s="9">
        <v>149</v>
      </c>
      <c r="AD240" s="3" t="str">
        <f>IFERROR(MID(VLOOKUP($B240,Seqs!$A:$B,2,0),AE240,1),"")</f>
        <v>V</v>
      </c>
      <c r="AE240" s="3">
        <v>173</v>
      </c>
      <c r="AF240" s="3" t="str">
        <f>IFERROR(MID(VLOOKUP($B240,Seqs!$A:$B,2,0),AG240,1),"")</f>
        <v>C</v>
      </c>
      <c r="AG240" s="3">
        <v>187</v>
      </c>
      <c r="AH240" s="3" t="str">
        <f>IFERROR(MID(VLOOKUP($B240,Seqs!$A:$B,2,0),AI240,1),"")</f>
        <v>I</v>
      </c>
      <c r="AI240" s="3">
        <v>189</v>
      </c>
      <c r="AJ240" s="3" t="str">
        <f>IFERROR(MID(VLOOKUP($B240,Seqs!$A:$B,2,0),AK240,1),"")</f>
        <v>N</v>
      </c>
      <c r="AK240" s="3">
        <v>199</v>
      </c>
      <c r="AL240" s="3" t="str">
        <f>IFERROR(MID(VLOOKUP($B240,Seqs!$A:$B,2,0),AM240,1),"")</f>
        <v>A</v>
      </c>
      <c r="AM240" s="3">
        <v>233</v>
      </c>
      <c r="AN240" s="3" t="str">
        <f>IFERROR(MID(VLOOKUP($B240,Seqs!$A:$B,2,0),AO240,1),"")</f>
        <v>A</v>
      </c>
      <c r="AO240" s="3">
        <v>241</v>
      </c>
      <c r="AP240" s="3" t="str">
        <f>IFERROR(MID(VLOOKUP($B240,Seqs!$A:$B,2,0),AQ240,1),"")</f>
        <v>H</v>
      </c>
      <c r="AQ240" s="3">
        <v>278</v>
      </c>
      <c r="AR240" s="3" t="str">
        <f>IFERROR(MID(VLOOKUP($B240,Seqs!$A:$B,2,0),AS240,1),"")</f>
        <v>G</v>
      </c>
      <c r="AS240" s="3">
        <v>284</v>
      </c>
      <c r="AT240" s="3" t="str">
        <f>IFERROR(MID(VLOOKUP($B240,Seqs!$A:$B,2,0),AU240,1),"")</f>
        <v>M</v>
      </c>
      <c r="AU240" s="3">
        <v>309</v>
      </c>
      <c r="AV240" s="3" t="str">
        <f>IFERROR(MID(VLOOKUP($B240,Seqs!$A:$B,2,0),AW240,1),"")</f>
        <v>N</v>
      </c>
      <c r="AW240" s="3">
        <v>310</v>
      </c>
      <c r="AX240" s="3" t="str">
        <f>IFERROR(MID(VLOOKUP($B240,Seqs!$A:$B,2,0),AY240,1),"")</f>
        <v>C</v>
      </c>
      <c r="AY240" s="3">
        <v>322</v>
      </c>
      <c r="AZ240" s="77" t="str">
        <f>VLOOKUP(B240,Classification!A:D,2,0)</f>
        <v>A</v>
      </c>
      <c r="BA240" s="94" t="str">
        <f>VLOOKUP(B240,Classification!A:D,4,0)</f>
        <v>Opsins</v>
      </c>
      <c r="BB240" s="27" t="b">
        <f t="shared" si="1006"/>
        <v>1</v>
      </c>
      <c r="BC240" s="23">
        <f t="shared" si="979"/>
        <v>249</v>
      </c>
      <c r="BD240" s="56" t="s">
        <v>1377</v>
      </c>
      <c r="BE240" s="3" t="s">
        <v>1375</v>
      </c>
      <c r="BF240" s="119">
        <v>2.65</v>
      </c>
      <c r="BG240" s="49" t="s">
        <v>1378</v>
      </c>
      <c r="BH240" s="49" t="s">
        <v>1378</v>
      </c>
      <c r="BI240" s="1"/>
      <c r="BJ240" s="70" t="s">
        <v>1288</v>
      </c>
      <c r="BK240" s="57" t="s">
        <v>1288</v>
      </c>
      <c r="BL240" s="57" t="s">
        <v>1288</v>
      </c>
      <c r="BM240" s="57" t="s">
        <v>1288</v>
      </c>
      <c r="BN240" s="57" t="s">
        <v>1288</v>
      </c>
      <c r="BO240" s="57" t="s">
        <v>1288</v>
      </c>
      <c r="BP240" s="57" t="s">
        <v>1288</v>
      </c>
      <c r="BQ240" s="57" t="s">
        <v>1288</v>
      </c>
      <c r="BR240" s="57" t="s">
        <v>1288</v>
      </c>
      <c r="BS240" s="57" t="s">
        <v>1288</v>
      </c>
      <c r="BT240" s="57" t="s">
        <v>1288</v>
      </c>
      <c r="BU240" s="57" t="s">
        <v>1288</v>
      </c>
      <c r="BV240" s="70">
        <f t="shared" si="980"/>
        <v>33</v>
      </c>
      <c r="BW240" s="71">
        <f t="shared" si="981"/>
        <v>66</v>
      </c>
      <c r="BX240" s="72">
        <f t="shared" si="982"/>
        <v>70</v>
      </c>
      <c r="BY240" s="71">
        <f t="shared" si="983"/>
        <v>102</v>
      </c>
      <c r="BZ240" s="72">
        <f t="shared" si="984"/>
        <v>106</v>
      </c>
      <c r="CA240" s="71" t="str">
        <f t="shared" si="985"/>
        <v>-</v>
      </c>
      <c r="CB240" s="72">
        <f t="shared" si="986"/>
        <v>149</v>
      </c>
      <c r="CC240" s="71">
        <f t="shared" si="987"/>
        <v>187</v>
      </c>
      <c r="CD240" s="72">
        <f t="shared" si="988"/>
        <v>199</v>
      </c>
      <c r="CE240" s="71">
        <f t="shared" si="989"/>
        <v>241</v>
      </c>
      <c r="CF240" s="72">
        <f t="shared" si="990"/>
        <v>284</v>
      </c>
      <c r="CG240" s="71">
        <f t="shared" si="991"/>
        <v>310</v>
      </c>
      <c r="CH240" s="70">
        <f t="shared" si="992"/>
        <v>65</v>
      </c>
      <c r="CI240" s="71">
        <f t="shared" si="993"/>
        <v>69</v>
      </c>
      <c r="CJ240" s="72">
        <f t="shared" si="994"/>
        <v>100</v>
      </c>
      <c r="CK240" s="72">
        <f t="shared" si="995"/>
        <v>105</v>
      </c>
      <c r="CL240" s="72">
        <f t="shared" si="996"/>
        <v>141</v>
      </c>
      <c r="CM240" s="72" t="str">
        <f t="shared" si="997"/>
        <v>-</v>
      </c>
      <c r="CN240" s="72">
        <f t="shared" si="998"/>
        <v>173</v>
      </c>
      <c r="CO240" s="72">
        <f t="shared" si="999"/>
        <v>189</v>
      </c>
      <c r="CP240" s="72">
        <f t="shared" si="1000"/>
        <v>233</v>
      </c>
      <c r="CQ240" s="72">
        <f t="shared" si="1001"/>
        <v>278</v>
      </c>
      <c r="CR240" s="72">
        <f t="shared" si="1002"/>
        <v>309</v>
      </c>
      <c r="CS240" s="72">
        <f t="shared" si="1003"/>
        <v>322</v>
      </c>
      <c r="CT240" s="23">
        <f t="shared" si="1004"/>
        <v>1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30" x14ac:dyDescent="0.2">
      <c r="A241" s="3" t="str">
        <f t="shared" si="1005"/>
        <v>opsd_bovin_1U19</v>
      </c>
      <c r="B241" s="3" t="s">
        <v>920</v>
      </c>
      <c r="C241" s="3" t="s">
        <v>53</v>
      </c>
      <c r="D241" s="3" t="str">
        <f>IFERROR(MID(VLOOKUP($B241,Seqs!$A:$B,2,0),E241,1),"")</f>
        <v>E</v>
      </c>
      <c r="E241" s="105">
        <v>33</v>
      </c>
      <c r="F241" s="3" t="str">
        <f>IFERROR(MID(VLOOKUP($B241,Seqs!$A:$B,2,0),G241,1),"")</f>
        <v>H</v>
      </c>
      <c r="G241" s="3">
        <v>65</v>
      </c>
      <c r="H241" s="3" t="str">
        <f>IFERROR(MID(VLOOKUP($B241,Seqs!$A:$B,2,0),I241,1),"")</f>
        <v>K</v>
      </c>
      <c r="I241" s="23">
        <v>66</v>
      </c>
      <c r="J241" s="3" t="str">
        <f>IFERROR(MID(VLOOKUP($B241,Seqs!$A:$B,2,0),K241,1),"")</f>
        <v>R</v>
      </c>
      <c r="K241" s="23">
        <v>69</v>
      </c>
      <c r="L241" s="3" t="str">
        <f>IFERROR(MID(VLOOKUP($B241,Seqs!$A:$B,2,0),M241,1),"")</f>
        <v>T</v>
      </c>
      <c r="M241" s="3">
        <v>70</v>
      </c>
      <c r="N241" s="3" t="str">
        <f>IFERROR(MID(VLOOKUP($B241,Seqs!$A:$B,2,0),O241,1),"")</f>
        <v>H</v>
      </c>
      <c r="O241" s="3">
        <v>100</v>
      </c>
      <c r="P241" s="3" t="str">
        <f>IFERROR(MID(VLOOKUP($B241,Seqs!$A:$B,2,0),Q241,1),"")</f>
        <v>Y</v>
      </c>
      <c r="Q241" s="3">
        <v>102</v>
      </c>
      <c r="R241" s="3" t="str">
        <f>IFERROR(MID(VLOOKUP($B241,Seqs!$A:$B,2,0),S241,1),"")</f>
        <v>F</v>
      </c>
      <c r="S241" s="3">
        <v>105</v>
      </c>
      <c r="T241" s="3" t="str">
        <f>IFERROR(MID(VLOOKUP($B241,Seqs!$A:$B,2,0),U241,1),"")</f>
        <v>G</v>
      </c>
      <c r="U241" s="3">
        <v>106</v>
      </c>
      <c r="V241" s="3" t="str">
        <f>IFERROR(MID(VLOOKUP($B241,Seqs!$A:$B,2,0),W241,1),"")</f>
        <v>K</v>
      </c>
      <c r="W241" s="3">
        <v>141</v>
      </c>
      <c r="X241" s="3" t="str">
        <f>IFERROR(MID(VLOOKUP($B241,Seqs!$A:$B,2,0),Y241,1),"")</f>
        <v/>
      </c>
      <c r="Y241" s="3" t="s">
        <v>23</v>
      </c>
      <c r="Z241" s="3" t="str">
        <f>IFERROR(MID(VLOOKUP($B241,Seqs!$A:$B,2,0),AA241,1),"")</f>
        <v/>
      </c>
      <c r="AA241" s="3" t="s">
        <v>23</v>
      </c>
      <c r="AB241" s="3" t="str">
        <f>IFERROR(MID(VLOOKUP($B241,Seqs!$A:$B,2,0),AC241,1),"")</f>
        <v>G</v>
      </c>
      <c r="AC241" s="9">
        <v>149</v>
      </c>
      <c r="AD241" s="3" t="str">
        <f>IFERROR(MID(VLOOKUP($B241,Seqs!$A:$B,2,0),AE241,1),"")</f>
        <v>V</v>
      </c>
      <c r="AE241" s="3">
        <v>173</v>
      </c>
      <c r="AF241" s="3" t="str">
        <f>IFERROR(MID(VLOOKUP($B241,Seqs!$A:$B,2,0),AG241,1),"")</f>
        <v>C</v>
      </c>
      <c r="AG241" s="3">
        <v>187</v>
      </c>
      <c r="AH241" s="3" t="str">
        <f>IFERROR(MID(VLOOKUP($B241,Seqs!$A:$B,2,0),AI241,1),"")</f>
        <v>I</v>
      </c>
      <c r="AI241" s="3">
        <v>189</v>
      </c>
      <c r="AJ241" s="3" t="str">
        <f>IFERROR(MID(VLOOKUP($B241,Seqs!$A:$B,2,0),AK241,1),"")</f>
        <v>N</v>
      </c>
      <c r="AK241" s="3">
        <v>199</v>
      </c>
      <c r="AL241" s="3" t="str">
        <f>IFERROR(MID(VLOOKUP($B241,Seqs!$A:$B,2,0),AM241,1),"")</f>
        <v>Q</v>
      </c>
      <c r="AM241" s="3">
        <v>225</v>
      </c>
      <c r="AN241" s="3" t="str">
        <f>IFERROR(MID(VLOOKUP($B241,Seqs!$A:$B,2,0),AO241,1),"")</f>
        <v>T</v>
      </c>
      <c r="AO241" s="3">
        <v>243</v>
      </c>
      <c r="AP241" s="3" t="str">
        <f>IFERROR(MID(VLOOKUP($B241,Seqs!$A:$B,2,0),AQ241,1),"")</f>
        <v>H</v>
      </c>
      <c r="AQ241" s="3">
        <v>278</v>
      </c>
      <c r="AR241" s="3" t="str">
        <f>IFERROR(MID(VLOOKUP($B241,Seqs!$A:$B,2,0),AS241,1),"")</f>
        <v>G</v>
      </c>
      <c r="AS241" s="3">
        <v>284</v>
      </c>
      <c r="AT241" s="3" t="str">
        <f>IFERROR(MID(VLOOKUP($B241,Seqs!$A:$B,2,0),AU241,1),"")</f>
        <v>M</v>
      </c>
      <c r="AU241" s="3">
        <v>309</v>
      </c>
      <c r="AV241" s="3" t="str">
        <f>IFERROR(MID(VLOOKUP($B241,Seqs!$A:$B,2,0),AW241,1),"")</f>
        <v>N</v>
      </c>
      <c r="AW241" s="3">
        <v>310</v>
      </c>
      <c r="AX241" s="3" t="str">
        <f>IFERROR(MID(VLOOKUP($B241,Seqs!$A:$B,2,0),AY241,1),"")</f>
        <v>C</v>
      </c>
      <c r="AY241" s="3">
        <v>322</v>
      </c>
      <c r="AZ241" s="77" t="str">
        <f>VLOOKUP(B241,Classification!A:D,2,0)</f>
        <v>A</v>
      </c>
      <c r="BA241" s="94" t="str">
        <f>VLOOKUP(B241,Classification!A:D,4,0)</f>
        <v>Opsins</v>
      </c>
      <c r="BB241" s="27" t="b">
        <f t="shared" si="1006"/>
        <v>1</v>
      </c>
      <c r="BC241" s="23">
        <f t="shared" si="979"/>
        <v>239</v>
      </c>
      <c r="BD241" s="74" t="s">
        <v>23</v>
      </c>
      <c r="BE241" s="3" t="s">
        <v>1375</v>
      </c>
      <c r="BF241" s="119">
        <v>2.2000000000000002</v>
      </c>
      <c r="BG241" s="49" t="s">
        <v>1</v>
      </c>
      <c r="BH241" s="49" t="s">
        <v>1378</v>
      </c>
      <c r="BI241" s="1"/>
      <c r="BJ241" s="70" t="s">
        <v>1288</v>
      </c>
      <c r="BK241" s="57" t="s">
        <v>1288</v>
      </c>
      <c r="BL241" s="57" t="s">
        <v>1288</v>
      </c>
      <c r="BM241" s="57" t="s">
        <v>1288</v>
      </c>
      <c r="BN241" s="57" t="s">
        <v>1288</v>
      </c>
      <c r="BO241" s="57" t="s">
        <v>1288</v>
      </c>
      <c r="BP241" s="57" t="s">
        <v>1288</v>
      </c>
      <c r="BQ241" s="57" t="s">
        <v>1288</v>
      </c>
      <c r="BR241" s="57" t="s">
        <v>1288</v>
      </c>
      <c r="BS241" s="57" t="s">
        <v>1288</v>
      </c>
      <c r="BT241" s="57" t="s">
        <v>1288</v>
      </c>
      <c r="BU241" s="57" t="s">
        <v>1288</v>
      </c>
      <c r="BV241" s="70">
        <f t="shared" si="980"/>
        <v>33</v>
      </c>
      <c r="BW241" s="71">
        <f t="shared" si="981"/>
        <v>66</v>
      </c>
      <c r="BX241" s="72">
        <f t="shared" si="982"/>
        <v>70</v>
      </c>
      <c r="BY241" s="71">
        <f t="shared" si="983"/>
        <v>102</v>
      </c>
      <c r="BZ241" s="72">
        <f t="shared" si="984"/>
        <v>106</v>
      </c>
      <c r="CA241" s="71" t="str">
        <f t="shared" si="985"/>
        <v>-</v>
      </c>
      <c r="CB241" s="72">
        <f t="shared" si="986"/>
        <v>149</v>
      </c>
      <c r="CC241" s="71">
        <f t="shared" si="987"/>
        <v>187</v>
      </c>
      <c r="CD241" s="72">
        <f t="shared" si="988"/>
        <v>199</v>
      </c>
      <c r="CE241" s="71">
        <f t="shared" si="989"/>
        <v>243</v>
      </c>
      <c r="CF241" s="72">
        <f t="shared" si="990"/>
        <v>284</v>
      </c>
      <c r="CG241" s="71">
        <f t="shared" si="991"/>
        <v>310</v>
      </c>
      <c r="CH241" s="70">
        <f t="shared" si="992"/>
        <v>65</v>
      </c>
      <c r="CI241" s="71">
        <f t="shared" si="993"/>
        <v>69</v>
      </c>
      <c r="CJ241" s="72">
        <f t="shared" si="994"/>
        <v>100</v>
      </c>
      <c r="CK241" s="72">
        <f t="shared" si="995"/>
        <v>105</v>
      </c>
      <c r="CL241" s="72">
        <f t="shared" si="996"/>
        <v>141</v>
      </c>
      <c r="CM241" s="72" t="str">
        <f t="shared" si="997"/>
        <v>-</v>
      </c>
      <c r="CN241" s="72">
        <f t="shared" si="998"/>
        <v>173</v>
      </c>
      <c r="CO241" s="72">
        <f t="shared" si="999"/>
        <v>189</v>
      </c>
      <c r="CP241" s="72">
        <f t="shared" si="1000"/>
        <v>225</v>
      </c>
      <c r="CQ241" s="72">
        <f t="shared" si="1001"/>
        <v>278</v>
      </c>
      <c r="CR241" s="72">
        <f t="shared" si="1002"/>
        <v>309</v>
      </c>
      <c r="CS241" s="72">
        <f t="shared" si="1003"/>
        <v>322</v>
      </c>
      <c r="CT241" s="23">
        <f t="shared" si="1004"/>
        <v>1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30" x14ac:dyDescent="0.2">
      <c r="A242" s="3" t="str">
        <f t="shared" si="1005"/>
        <v>opsd_bovin_2X72</v>
      </c>
      <c r="B242" s="2" t="s">
        <v>920</v>
      </c>
      <c r="C242" s="3" t="s">
        <v>1370</v>
      </c>
      <c r="D242" s="3" t="str">
        <f>IFERROR(MID(VLOOKUP($B242,Seqs!$A:$B,2,0),E242,1),"")</f>
        <v>E</v>
      </c>
      <c r="E242" s="105">
        <v>33</v>
      </c>
      <c r="F242" s="3" t="str">
        <f>IFERROR(MID(VLOOKUP($B242,Seqs!$A:$B,2,0),G242,1),"")</f>
        <v>H</v>
      </c>
      <c r="G242" s="3">
        <v>65</v>
      </c>
      <c r="H242" s="3" t="str">
        <f>IFERROR(MID(VLOOKUP($B242,Seqs!$A:$B,2,0),I242,1),"")</f>
        <v>K</v>
      </c>
      <c r="I242" s="23">
        <v>66</v>
      </c>
      <c r="J242" s="3" t="str">
        <f>IFERROR(MID(VLOOKUP($B242,Seqs!$A:$B,2,0),K242,1),"")</f>
        <v>R</v>
      </c>
      <c r="K242" s="23">
        <v>69</v>
      </c>
      <c r="L242" s="3" t="str">
        <f>IFERROR(MID(VLOOKUP($B242,Seqs!$A:$B,2,0),M242,1),"")</f>
        <v>T</v>
      </c>
      <c r="M242" s="3">
        <v>70</v>
      </c>
      <c r="N242" s="3" t="str">
        <f>IFERROR(MID(VLOOKUP($B242,Seqs!$A:$B,2,0),O242,1),"")</f>
        <v>H</v>
      </c>
      <c r="O242" s="3">
        <v>100</v>
      </c>
      <c r="P242" s="3" t="str">
        <f>IFERROR(MID(VLOOKUP($B242,Seqs!$A:$B,2,0),Q242,1),"")</f>
        <v>Y</v>
      </c>
      <c r="Q242" s="3">
        <v>102</v>
      </c>
      <c r="R242" s="3" t="str">
        <f>IFERROR(MID(VLOOKUP($B242,Seqs!$A:$B,2,0),S242,1),"")</f>
        <v>F</v>
      </c>
      <c r="S242" s="3">
        <v>105</v>
      </c>
      <c r="T242" s="3" t="str">
        <f>IFERROR(MID(VLOOKUP($B242,Seqs!$A:$B,2,0),U242,1),"")</f>
        <v>G</v>
      </c>
      <c r="U242" s="3">
        <v>106</v>
      </c>
      <c r="V242" s="3" t="str">
        <f>IFERROR(MID(VLOOKUP($B242,Seqs!$A:$B,2,0),W242,1),"")</f>
        <v>K</v>
      </c>
      <c r="W242" s="3">
        <v>141</v>
      </c>
      <c r="X242" s="3" t="str">
        <f>IFERROR(MID(VLOOKUP($B242,Seqs!$A:$B,2,0),Y242,1),"")</f>
        <v/>
      </c>
      <c r="Y242" s="3" t="s">
        <v>23</v>
      </c>
      <c r="Z242" s="3" t="str">
        <f>IFERROR(MID(VLOOKUP($B242,Seqs!$A:$B,2,0),AA242,1),"")</f>
        <v/>
      </c>
      <c r="AA242" s="3" t="s">
        <v>23</v>
      </c>
      <c r="AB242" s="3" t="str">
        <f>IFERROR(MID(VLOOKUP($B242,Seqs!$A:$B,2,0),AC242,1),"")</f>
        <v>G</v>
      </c>
      <c r="AC242" s="9">
        <v>149</v>
      </c>
      <c r="AD242" s="3" t="str">
        <f>IFERROR(MID(VLOOKUP($B242,Seqs!$A:$B,2,0),AE242,1),"")</f>
        <v>V</v>
      </c>
      <c r="AE242" s="3">
        <v>173</v>
      </c>
      <c r="AF242" s="3" t="str">
        <f>IFERROR(MID(VLOOKUP($B242,Seqs!$A:$B,2,0),AG242,1),"")</f>
        <v>C</v>
      </c>
      <c r="AG242" s="3">
        <v>187</v>
      </c>
      <c r="AH242" s="3" t="str">
        <f>IFERROR(MID(VLOOKUP($B242,Seqs!$A:$B,2,0),AI242,1),"")</f>
        <v>I</v>
      </c>
      <c r="AI242" s="3">
        <v>189</v>
      </c>
      <c r="AJ242" s="3" t="str">
        <f>IFERROR(MID(VLOOKUP($B242,Seqs!$A:$B,2,0),AK242,1),"")</f>
        <v>N</v>
      </c>
      <c r="AK242" s="3">
        <v>199</v>
      </c>
      <c r="AL242" s="3" t="str">
        <f>IFERROR(MID(VLOOKUP($B242,Seqs!$A:$B,2,0),AM242,1),"")</f>
        <v>Q</v>
      </c>
      <c r="AM242" s="3">
        <v>237</v>
      </c>
      <c r="AN242" s="3" t="str">
        <f>IFERROR(MID(VLOOKUP($B242,Seqs!$A:$B,2,0),AO242,1),"")</f>
        <v>A</v>
      </c>
      <c r="AO242" s="3">
        <v>241</v>
      </c>
      <c r="AP242" s="3" t="str">
        <f>IFERROR(MID(VLOOKUP($B242,Seqs!$A:$B,2,0),AQ242,1),"")</f>
        <v>H</v>
      </c>
      <c r="AQ242" s="3">
        <v>278</v>
      </c>
      <c r="AR242" s="3" t="str">
        <f>IFERROR(MID(VLOOKUP($B242,Seqs!$A:$B,2,0),AS242,1),"")</f>
        <v>G</v>
      </c>
      <c r="AS242" s="3">
        <v>284</v>
      </c>
      <c r="AT242" s="3" t="str">
        <f>IFERROR(MID(VLOOKUP($B242,Seqs!$A:$B,2,0),AU242,1),"")</f>
        <v>M</v>
      </c>
      <c r="AU242" s="3">
        <v>309</v>
      </c>
      <c r="AV242" s="3" t="str">
        <f>IFERROR(MID(VLOOKUP($B242,Seqs!$A:$B,2,0),AW242,1),"")</f>
        <v>N</v>
      </c>
      <c r="AW242" s="3">
        <v>310</v>
      </c>
      <c r="AX242" s="3" t="str">
        <f>IFERROR(MID(VLOOKUP($B242,Seqs!$A:$B,2,0),AY242,1),"")</f>
        <v>C</v>
      </c>
      <c r="AY242" s="3">
        <v>322</v>
      </c>
      <c r="AZ242" s="77" t="str">
        <f>VLOOKUP(B242,Classification!A:D,2,0)</f>
        <v>A</v>
      </c>
      <c r="BA242" s="94" t="str">
        <f>VLOOKUP(B242,Classification!A:D,4,0)</f>
        <v>Opsins</v>
      </c>
      <c r="BB242" s="27" t="b">
        <f>AND(E242&lt;G242,OR(G242&lt;I242,I242="-"),OR(I242&lt;K242,I242="-"),OR(K242&lt;M242,K242="-"),M242&lt;O242,OR(O242&lt;Q242,Q242="-"),OR(Q242&lt;S242,Q242="-"),OR(S242&lt;U242,S242="-"),U242&lt;W242,OR(W242&lt;Y242,Y242="-"),OR(Y242&lt;AA242,Y242="-"),OR(AA242&lt;AC242,AA242="-"),AC242&lt;AE242,OR(AE242&lt;AG242,AG242="-"),OR(AG242&lt;AI242,AG242="-"),OR(AI242&lt;AK242,AI242="-"),AK242&lt;AM242,AM242&lt;AO242,AO242&lt;AQ242,AQ242&lt;AS242,AS242&lt;AU242,OR(AU242&lt;AW242,AW242="-"),OR(AW242&lt;AY242,AW242="-"))</f>
        <v>1</v>
      </c>
      <c r="BC242" s="23">
        <f>_xlfn.AGGREGATE(9,6,CH242:CS242)-_xlfn.AGGREGATE(9,6,BV242:CG242)+12</f>
        <v>253</v>
      </c>
      <c r="BD242" s="56" t="s">
        <v>23</v>
      </c>
      <c r="BE242" s="3" t="s">
        <v>1292</v>
      </c>
      <c r="BF242" s="119">
        <v>3</v>
      </c>
      <c r="BG242" s="49" t="s">
        <v>1378</v>
      </c>
      <c r="BH242" s="49" t="s">
        <v>1378</v>
      </c>
      <c r="BI242" s="1"/>
      <c r="BJ242" s="70" t="s">
        <v>1288</v>
      </c>
      <c r="BK242" s="57" t="s">
        <v>1288</v>
      </c>
      <c r="BL242" s="57" t="s">
        <v>1288</v>
      </c>
      <c r="BM242" s="57" t="s">
        <v>1288</v>
      </c>
      <c r="BN242" s="57" t="s">
        <v>1288</v>
      </c>
      <c r="BO242" s="57" t="s">
        <v>1288</v>
      </c>
      <c r="BP242" s="57" t="s">
        <v>1288</v>
      </c>
      <c r="BQ242" s="57" t="s">
        <v>1288</v>
      </c>
      <c r="BR242" s="57" t="s">
        <v>1288</v>
      </c>
      <c r="BS242" s="57" t="s">
        <v>1288</v>
      </c>
      <c r="BT242" s="57" t="s">
        <v>1288</v>
      </c>
      <c r="BU242" s="57" t="s">
        <v>1288</v>
      </c>
      <c r="BV242" s="70">
        <f>E242</f>
        <v>33</v>
      </c>
      <c r="BW242" s="71">
        <f>I242</f>
        <v>66</v>
      </c>
      <c r="BX242" s="72">
        <f>M242</f>
        <v>70</v>
      </c>
      <c r="BY242" s="71">
        <f>Q242</f>
        <v>102</v>
      </c>
      <c r="BZ242" s="72">
        <f>U242</f>
        <v>106</v>
      </c>
      <c r="CA242" s="71" t="str">
        <f>Y242</f>
        <v>-</v>
      </c>
      <c r="CB242" s="72">
        <f>AC242</f>
        <v>149</v>
      </c>
      <c r="CC242" s="71">
        <f>AG242</f>
        <v>187</v>
      </c>
      <c r="CD242" s="72">
        <f>AK242</f>
        <v>199</v>
      </c>
      <c r="CE242" s="71">
        <f>AO242</f>
        <v>241</v>
      </c>
      <c r="CF242" s="72">
        <f>AS242</f>
        <v>284</v>
      </c>
      <c r="CG242" s="71">
        <f>AW242</f>
        <v>310</v>
      </c>
      <c r="CH242" s="70">
        <f>G242</f>
        <v>65</v>
      </c>
      <c r="CI242" s="71">
        <f>K242</f>
        <v>69</v>
      </c>
      <c r="CJ242" s="72">
        <f>O242</f>
        <v>100</v>
      </c>
      <c r="CK242" s="72">
        <f>S242</f>
        <v>105</v>
      </c>
      <c r="CL242" s="72">
        <f>W242</f>
        <v>141</v>
      </c>
      <c r="CM242" s="72" t="str">
        <f>AA242</f>
        <v>-</v>
      </c>
      <c r="CN242" s="72">
        <f>AE242</f>
        <v>173</v>
      </c>
      <c r="CO242" s="72">
        <f>AI242</f>
        <v>189</v>
      </c>
      <c r="CP242" s="72">
        <f>AM242</f>
        <v>237</v>
      </c>
      <c r="CQ242" s="72">
        <f>AQ242</f>
        <v>278</v>
      </c>
      <c r="CR242" s="72">
        <f>AU242</f>
        <v>309</v>
      </c>
      <c r="CS242" s="72">
        <f>AY242</f>
        <v>322</v>
      </c>
      <c r="CT242" s="23">
        <f>M242-K242</f>
        <v>1</v>
      </c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r="HM242" s="6"/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6"/>
      <c r="IQ242" s="6"/>
      <c r="IR242" s="6"/>
      <c r="IS242" s="6"/>
      <c r="IT242" s="6"/>
      <c r="IU242" s="6"/>
      <c r="IV242" s="6"/>
      <c r="IW242" s="6"/>
      <c r="IX242" s="6"/>
      <c r="IY242" s="6"/>
      <c r="IZ242" s="6"/>
      <c r="JA242" s="6"/>
      <c r="JB242" s="6"/>
      <c r="JC242" s="6"/>
      <c r="JD242" s="6"/>
      <c r="JE242" s="6"/>
      <c r="JF242" s="6"/>
      <c r="JG242" s="6"/>
      <c r="JH242" s="6"/>
      <c r="JI242" s="6"/>
      <c r="JJ242" s="6"/>
      <c r="JK242" s="6"/>
      <c r="JL242" s="6"/>
      <c r="JM242" s="6"/>
      <c r="JN242" s="6"/>
      <c r="JO242" s="6"/>
      <c r="JP242" s="6"/>
      <c r="JQ242" s="6"/>
      <c r="JR242" s="6"/>
      <c r="JS242" s="6"/>
      <c r="JT242" s="6"/>
      <c r="JU242" s="6"/>
      <c r="JV242" s="6"/>
      <c r="JW242" s="6"/>
      <c r="JX242" s="6"/>
      <c r="JY242" s="6"/>
      <c r="JZ242" s="6"/>
      <c r="KA242" s="6"/>
      <c r="KB242" s="6"/>
      <c r="KC242" s="6"/>
      <c r="KD242" s="6"/>
      <c r="KE242" s="6"/>
      <c r="KF242" s="6"/>
      <c r="KG242" s="6"/>
      <c r="KH242" s="6"/>
      <c r="KI242" s="6"/>
      <c r="KJ242" s="6"/>
      <c r="KK242" s="6"/>
      <c r="KL242" s="6"/>
      <c r="KM242" s="6"/>
      <c r="KN242" s="6"/>
      <c r="KO242" s="6"/>
      <c r="KP242" s="6"/>
      <c r="KQ242" s="6"/>
      <c r="KR242" s="6"/>
      <c r="KS242" s="6"/>
      <c r="KT242" s="6"/>
      <c r="KU242" s="6"/>
      <c r="KV242" s="6"/>
      <c r="KW242" s="6"/>
      <c r="KX242" s="6"/>
      <c r="KY242" s="6"/>
      <c r="KZ242" s="6"/>
      <c r="LA242" s="6"/>
      <c r="LB242" s="6"/>
      <c r="LC242" s="6"/>
      <c r="LD242" s="6"/>
      <c r="LE242" s="6"/>
      <c r="LF242" s="6"/>
      <c r="LG242" s="6"/>
      <c r="LH242" s="6"/>
      <c r="LI242" s="6"/>
      <c r="LJ242" s="6"/>
      <c r="LK242" s="6"/>
      <c r="LL242" s="6"/>
      <c r="LM242" s="6"/>
      <c r="LN242" s="6"/>
      <c r="LO242" s="6"/>
      <c r="LP242" s="6"/>
      <c r="LQ242" s="6"/>
      <c r="LR242" s="6"/>
      <c r="LS242" s="6"/>
      <c r="LT242" s="6"/>
      <c r="LU242" s="6"/>
      <c r="LV242" s="6"/>
      <c r="LW242" s="6"/>
      <c r="LX242" s="6"/>
      <c r="LY242" s="6"/>
      <c r="LZ242" s="6"/>
      <c r="MA242" s="6"/>
      <c r="MB242" s="6"/>
      <c r="MC242" s="6"/>
      <c r="MD242" s="6"/>
      <c r="ME242" s="6"/>
      <c r="MF242" s="6"/>
      <c r="MG242" s="6"/>
      <c r="MH242" s="6"/>
      <c r="MI242" s="6"/>
      <c r="MJ242" s="6"/>
      <c r="MK242" s="6"/>
      <c r="ML242" s="6"/>
      <c r="MM242" s="6"/>
      <c r="MN242" s="6"/>
      <c r="MO242" s="6"/>
      <c r="MP242" s="6"/>
      <c r="MQ242" s="6"/>
      <c r="MR242" s="6"/>
      <c r="MS242" s="6"/>
      <c r="MT242" s="6"/>
      <c r="MU242" s="6"/>
      <c r="MV242" s="6"/>
      <c r="MW242" s="6"/>
      <c r="MX242" s="6"/>
      <c r="MY242" s="6"/>
      <c r="MZ242" s="6"/>
      <c r="NA242" s="6"/>
      <c r="NB242" s="6"/>
      <c r="NC242" s="6"/>
      <c r="ND242" s="6"/>
      <c r="NE242" s="6"/>
      <c r="NF242" s="6"/>
      <c r="NG242" s="6"/>
      <c r="NH242" s="6"/>
      <c r="NI242" s="6"/>
      <c r="NJ242" s="6"/>
      <c r="NK242" s="6"/>
      <c r="NL242" s="6"/>
      <c r="NM242" s="6"/>
      <c r="NN242" s="6"/>
      <c r="NO242" s="6"/>
      <c r="NP242" s="6"/>
      <c r="NQ242" s="6"/>
      <c r="NR242" s="6"/>
      <c r="NS242" s="6"/>
      <c r="NT242" s="6"/>
      <c r="NU242" s="6"/>
      <c r="NV242" s="6"/>
      <c r="NW242" s="6"/>
      <c r="NX242" s="6"/>
      <c r="NY242" s="6"/>
      <c r="NZ242" s="6"/>
      <c r="OA242" s="6"/>
      <c r="OB242" s="6"/>
      <c r="OC242" s="6"/>
      <c r="OD242" s="6"/>
      <c r="OE242" s="6"/>
      <c r="OF242" s="6"/>
      <c r="OG242" s="6"/>
      <c r="OH242" s="6"/>
      <c r="OI242" s="6"/>
      <c r="OJ242" s="6"/>
      <c r="OK242" s="6"/>
      <c r="OL242" s="6"/>
      <c r="OM242" s="6"/>
      <c r="ON242" s="6"/>
      <c r="OO242" s="6"/>
      <c r="OP242" s="6"/>
      <c r="OQ242" s="6"/>
      <c r="OR242" s="6"/>
      <c r="OS242" s="6"/>
      <c r="OT242" s="6"/>
      <c r="OU242" s="6"/>
      <c r="OV242" s="6"/>
      <c r="OW242" s="6"/>
      <c r="OX242" s="6"/>
      <c r="OY242" s="6"/>
      <c r="OZ242" s="6"/>
      <c r="PA242" s="6"/>
      <c r="PB242" s="6"/>
      <c r="PC242" s="6"/>
      <c r="PD242" s="6"/>
      <c r="PE242" s="6"/>
      <c r="PF242" s="6"/>
      <c r="PG242" s="6"/>
      <c r="PH242" s="6"/>
      <c r="PI242" s="6"/>
      <c r="PJ242" s="6"/>
      <c r="PK242" s="6"/>
      <c r="PL242" s="6"/>
      <c r="PM242" s="6"/>
      <c r="PN242" s="6"/>
      <c r="PO242" s="6"/>
      <c r="PP242" s="6"/>
      <c r="PQ242" s="6"/>
      <c r="PR242" s="6"/>
      <c r="PS242" s="6"/>
      <c r="PT242" s="6"/>
      <c r="PU242" s="6"/>
      <c r="PV242" s="6"/>
      <c r="PW242" s="6"/>
      <c r="PX242" s="6"/>
      <c r="PY242" s="6"/>
      <c r="PZ242" s="6"/>
      <c r="QA242" s="6"/>
      <c r="QB242" s="6"/>
      <c r="QC242" s="6"/>
      <c r="QD242" s="6"/>
      <c r="QE242" s="6"/>
      <c r="QF242" s="6"/>
      <c r="QG242" s="6"/>
      <c r="QH242" s="6"/>
      <c r="QI242" s="6"/>
      <c r="QJ242" s="6"/>
      <c r="QK242" s="6"/>
      <c r="QL242" s="6"/>
      <c r="QM242" s="6"/>
      <c r="QN242" s="6"/>
      <c r="QO242" s="6"/>
      <c r="QP242" s="6"/>
      <c r="QQ242" s="6"/>
      <c r="QR242" s="6"/>
      <c r="QS242" s="6"/>
      <c r="QT242" s="6"/>
      <c r="QU242" s="6"/>
      <c r="QV242" s="6"/>
      <c r="QW242" s="6"/>
      <c r="QX242" s="6"/>
      <c r="QY242" s="6"/>
      <c r="QZ242" s="6"/>
      <c r="RA242" s="6"/>
      <c r="RB242" s="6"/>
      <c r="RC242" s="6"/>
      <c r="RD242" s="6"/>
      <c r="RE242" s="6"/>
      <c r="RF242" s="6"/>
      <c r="RG242" s="6"/>
      <c r="RH242" s="6"/>
      <c r="RI242" s="6"/>
      <c r="RJ242" s="6"/>
      <c r="RK242" s="6"/>
      <c r="RL242" s="6"/>
      <c r="RM242" s="6"/>
      <c r="RN242" s="6"/>
      <c r="RO242" s="6"/>
      <c r="RP242" s="6"/>
      <c r="RQ242" s="6"/>
      <c r="RR242" s="6"/>
      <c r="RS242" s="6"/>
      <c r="RT242" s="6"/>
      <c r="RU242" s="6"/>
      <c r="RV242" s="6"/>
      <c r="RW242" s="6"/>
      <c r="RX242" s="6"/>
      <c r="RY242" s="6"/>
      <c r="RZ242" s="6"/>
      <c r="SA242" s="6"/>
      <c r="SB242" s="6"/>
      <c r="SC242" s="6"/>
      <c r="SD242" s="6"/>
      <c r="SE242" s="6"/>
      <c r="SF242" s="6"/>
      <c r="SG242" s="6"/>
      <c r="SH242" s="6"/>
      <c r="SI242" s="6"/>
      <c r="SJ242" s="6"/>
      <c r="SK242" s="6"/>
      <c r="SL242" s="6"/>
      <c r="SM242" s="6"/>
      <c r="SN242" s="6"/>
      <c r="SO242" s="6"/>
      <c r="SP242" s="6"/>
      <c r="SQ242" s="6"/>
      <c r="SR242" s="6"/>
      <c r="SS242" s="6"/>
      <c r="ST242" s="6"/>
      <c r="SU242" s="6"/>
      <c r="SV242" s="6"/>
      <c r="SW242" s="6"/>
      <c r="SX242" s="6"/>
      <c r="SY242" s="6"/>
      <c r="SZ242" s="6"/>
      <c r="TA242" s="6"/>
      <c r="TB242" s="6"/>
      <c r="TC242" s="6"/>
      <c r="TD242" s="6"/>
      <c r="TE242" s="6"/>
      <c r="TF242" s="6"/>
      <c r="TG242" s="6"/>
      <c r="TH242" s="6"/>
      <c r="TI242" s="6"/>
      <c r="TJ242" s="6"/>
      <c r="TK242" s="6"/>
      <c r="TL242" s="6"/>
      <c r="TM242" s="6"/>
      <c r="TN242" s="6"/>
      <c r="TO242" s="6"/>
      <c r="TP242" s="6"/>
      <c r="TQ242" s="6"/>
      <c r="TR242" s="6"/>
      <c r="TS242" s="6"/>
      <c r="TT242" s="6"/>
      <c r="TU242" s="6"/>
      <c r="TV242" s="6"/>
      <c r="TW242" s="6"/>
      <c r="TX242" s="6"/>
      <c r="TY242" s="6"/>
      <c r="TZ242" s="6"/>
      <c r="UA242" s="6"/>
      <c r="UB242" s="6"/>
      <c r="UC242" s="6"/>
      <c r="UD242" s="6"/>
      <c r="UE242" s="6"/>
      <c r="UF242" s="6"/>
      <c r="UG242" s="6"/>
      <c r="UH242" s="6"/>
      <c r="UI242" s="6"/>
      <c r="UJ242" s="6"/>
      <c r="UK242" s="6"/>
      <c r="UL242" s="6"/>
      <c r="UM242" s="6"/>
      <c r="UN242" s="6"/>
      <c r="UO242" s="6"/>
      <c r="UP242" s="6"/>
      <c r="UQ242" s="6"/>
      <c r="UR242" s="6"/>
      <c r="US242" s="6"/>
      <c r="UT242" s="6"/>
      <c r="UU242" s="6"/>
      <c r="UV242" s="6"/>
      <c r="UW242" s="6"/>
      <c r="UX242" s="6"/>
      <c r="UY242" s="6"/>
      <c r="UZ242" s="6"/>
      <c r="VA242" s="6"/>
      <c r="VB242" s="6"/>
      <c r="VC242" s="6"/>
      <c r="VD242" s="6"/>
      <c r="VE242" s="6"/>
      <c r="VF242" s="6"/>
      <c r="VG242" s="6"/>
      <c r="VH242" s="6"/>
      <c r="VI242" s="6"/>
      <c r="VJ242" s="6"/>
      <c r="VK242" s="6"/>
      <c r="VL242" s="6"/>
      <c r="VM242" s="6"/>
      <c r="VN242" s="6"/>
      <c r="VO242" s="6"/>
      <c r="VP242" s="6"/>
      <c r="VQ242" s="6"/>
      <c r="VR242" s="6"/>
      <c r="VS242" s="6"/>
      <c r="VT242" s="6"/>
      <c r="VU242" s="6"/>
      <c r="VV242" s="6"/>
      <c r="VW242" s="6"/>
      <c r="VX242" s="6"/>
      <c r="VY242" s="6"/>
      <c r="VZ242" s="6"/>
      <c r="WA242" s="6"/>
      <c r="WB242" s="6"/>
      <c r="WC242" s="6"/>
      <c r="WD242" s="6"/>
      <c r="WE242" s="6"/>
      <c r="WF242" s="6"/>
      <c r="WG242" s="6"/>
      <c r="WH242" s="6"/>
      <c r="WI242" s="6"/>
      <c r="WJ242" s="6"/>
      <c r="WK242" s="6"/>
      <c r="WL242" s="6"/>
      <c r="WM242" s="6"/>
      <c r="WN242" s="6"/>
      <c r="WO242" s="6"/>
      <c r="WP242" s="6"/>
      <c r="WQ242" s="6"/>
      <c r="WR242" s="6"/>
      <c r="WS242" s="6"/>
      <c r="WT242" s="6"/>
      <c r="WU242" s="6"/>
      <c r="WV242" s="6"/>
      <c r="WW242" s="6"/>
      <c r="WX242" s="6"/>
      <c r="WY242" s="6"/>
      <c r="WZ242" s="6"/>
      <c r="XA242" s="6"/>
      <c r="XB242" s="6"/>
      <c r="XC242" s="6"/>
      <c r="XD242" s="6"/>
      <c r="XE242" s="6"/>
      <c r="XF242" s="6"/>
      <c r="XG242" s="6"/>
      <c r="XH242" s="6"/>
      <c r="XI242" s="6"/>
      <c r="XJ242" s="6"/>
      <c r="XK242" s="6"/>
      <c r="XL242" s="6"/>
      <c r="XM242" s="6"/>
      <c r="XN242" s="6"/>
      <c r="XO242" s="6"/>
      <c r="XP242" s="6"/>
      <c r="XQ242" s="6"/>
      <c r="XR242" s="6"/>
      <c r="XS242" s="6"/>
      <c r="XT242" s="6"/>
      <c r="XU242" s="6"/>
      <c r="XV242" s="6"/>
      <c r="XW242" s="6"/>
      <c r="XX242" s="6"/>
      <c r="XY242" s="6"/>
      <c r="XZ242" s="6"/>
      <c r="YA242" s="6"/>
      <c r="YB242" s="6"/>
      <c r="YC242" s="6"/>
      <c r="YD242" s="6"/>
      <c r="YE242" s="6"/>
      <c r="YF242" s="6"/>
      <c r="YG242" s="6"/>
      <c r="YH242" s="6"/>
      <c r="YI242" s="6"/>
      <c r="YJ242" s="6"/>
      <c r="YK242" s="6"/>
      <c r="YL242" s="6"/>
      <c r="YM242" s="6"/>
      <c r="YN242" s="6"/>
      <c r="YO242" s="6"/>
      <c r="YP242" s="6"/>
      <c r="YQ242" s="6"/>
      <c r="YR242" s="6"/>
      <c r="YS242" s="6"/>
      <c r="YT242" s="6"/>
      <c r="YU242" s="6"/>
      <c r="YV242" s="6"/>
      <c r="YW242" s="6"/>
      <c r="YX242" s="6"/>
      <c r="YY242" s="6"/>
      <c r="YZ242" s="6"/>
      <c r="ZA242" s="6"/>
      <c r="ZB242" s="6"/>
      <c r="ZC242" s="6"/>
      <c r="ZD242" s="6"/>
      <c r="ZE242" s="6"/>
      <c r="ZF242" s="6"/>
      <c r="ZG242" s="6"/>
      <c r="ZH242" s="6"/>
      <c r="ZI242" s="6"/>
      <c r="ZJ242" s="6"/>
      <c r="ZK242" s="6"/>
      <c r="ZL242" s="6"/>
      <c r="ZM242" s="6"/>
      <c r="ZN242" s="6"/>
      <c r="ZO242" s="6"/>
      <c r="ZP242" s="6"/>
      <c r="ZQ242" s="6"/>
      <c r="ZR242" s="6"/>
      <c r="ZS242" s="6"/>
      <c r="ZT242" s="6"/>
      <c r="ZU242" s="6"/>
      <c r="ZV242" s="6"/>
      <c r="ZW242" s="6"/>
      <c r="ZX242" s="6"/>
      <c r="ZY242" s="6"/>
      <c r="ZZ242" s="6"/>
      <c r="AAA242" s="6"/>
      <c r="AAB242" s="6"/>
      <c r="AAC242" s="6"/>
      <c r="AAD242" s="6"/>
      <c r="AAE242" s="6"/>
      <c r="AAF242" s="6"/>
      <c r="AAG242" s="6"/>
      <c r="AAH242" s="6"/>
      <c r="AAI242" s="6"/>
      <c r="AAJ242" s="6"/>
      <c r="AAK242" s="6"/>
      <c r="AAL242" s="6"/>
      <c r="AAM242" s="6"/>
      <c r="AAN242" s="6"/>
      <c r="AAO242" s="6"/>
      <c r="AAP242" s="6"/>
      <c r="AAQ242" s="6"/>
      <c r="AAR242" s="6"/>
      <c r="AAS242" s="6"/>
      <c r="AAT242" s="6"/>
      <c r="AAU242" s="6"/>
      <c r="AAV242" s="6"/>
      <c r="AAW242" s="6"/>
      <c r="AAX242" s="6"/>
      <c r="AAY242" s="6"/>
      <c r="AAZ242" s="6"/>
      <c r="ABA242" s="6"/>
      <c r="ABB242" s="6"/>
      <c r="ABC242" s="6"/>
      <c r="ABD242" s="6"/>
      <c r="ABE242" s="6"/>
      <c r="ABF242" s="6"/>
      <c r="ABG242" s="6"/>
      <c r="ABH242" s="6"/>
      <c r="ABI242" s="6"/>
      <c r="ABJ242" s="6"/>
      <c r="ABK242" s="6"/>
      <c r="ABL242" s="6"/>
      <c r="ABM242" s="6"/>
      <c r="ABN242" s="6"/>
      <c r="ABO242" s="6"/>
      <c r="ABP242" s="6"/>
      <c r="ABQ242" s="6"/>
      <c r="ABR242" s="6"/>
      <c r="ABS242" s="6"/>
      <c r="ABT242" s="6"/>
      <c r="ABU242" s="6"/>
      <c r="ABV242" s="6"/>
      <c r="ABW242" s="6"/>
      <c r="ABX242" s="6"/>
      <c r="ABY242" s="6"/>
      <c r="ABZ242" s="6"/>
      <c r="ACA242" s="6"/>
      <c r="ACB242" s="6"/>
      <c r="ACC242" s="6"/>
      <c r="ACD242" s="6"/>
      <c r="ACE242" s="6"/>
      <c r="ACF242" s="6"/>
      <c r="ACG242" s="6"/>
      <c r="ACH242" s="6"/>
      <c r="ACI242" s="6"/>
      <c r="ACJ242" s="6"/>
      <c r="ACK242" s="6"/>
      <c r="ACL242" s="6"/>
      <c r="ACM242" s="6"/>
      <c r="ACN242" s="6"/>
      <c r="ACO242" s="6"/>
      <c r="ACP242" s="6"/>
      <c r="ACQ242" s="6"/>
      <c r="ACR242" s="6"/>
      <c r="ACS242" s="6"/>
      <c r="ACT242" s="6"/>
      <c r="ACU242" s="6"/>
      <c r="ACV242" s="6"/>
      <c r="ACW242" s="6"/>
      <c r="ACX242" s="6"/>
      <c r="ACY242" s="6"/>
      <c r="ACZ242" s="6"/>
      <c r="ADA242" s="6"/>
      <c r="ADB242" s="6"/>
      <c r="ADC242" s="6"/>
      <c r="ADD242" s="6"/>
      <c r="ADE242" s="6"/>
      <c r="ADF242" s="6"/>
      <c r="ADG242" s="6"/>
      <c r="ADH242" s="6"/>
      <c r="ADI242" s="6"/>
      <c r="ADJ242" s="6"/>
      <c r="ADK242" s="6"/>
      <c r="ADL242" s="6"/>
      <c r="ADM242" s="6"/>
      <c r="ADN242" s="6"/>
      <c r="ADO242" s="6"/>
      <c r="ADP242" s="6"/>
      <c r="ADQ242" s="6"/>
      <c r="ADR242" s="6"/>
      <c r="ADS242" s="6"/>
      <c r="ADT242" s="6"/>
      <c r="ADU242" s="6"/>
      <c r="ADV242" s="6"/>
      <c r="ADW242" s="6"/>
      <c r="ADX242" s="6"/>
      <c r="ADY242" s="6"/>
      <c r="ADZ242" s="6"/>
      <c r="AEA242" s="6"/>
      <c r="AEB242" s="6"/>
      <c r="AEC242" s="6"/>
      <c r="AED242" s="6"/>
      <c r="AEE242" s="6"/>
      <c r="AEF242" s="6"/>
      <c r="AEG242" s="6"/>
      <c r="AEH242" s="6"/>
      <c r="AEI242" s="6"/>
      <c r="AEJ242" s="6"/>
      <c r="AEK242" s="6"/>
      <c r="AEL242" s="6"/>
      <c r="AEM242" s="6"/>
      <c r="AEN242" s="6"/>
      <c r="AEO242" s="6"/>
      <c r="AEP242" s="6"/>
      <c r="AEQ242" s="6"/>
      <c r="AER242" s="6"/>
      <c r="AES242" s="6"/>
      <c r="AET242" s="6"/>
      <c r="AEU242" s="6"/>
      <c r="AEV242" s="6"/>
      <c r="AEW242" s="6"/>
      <c r="AEX242" s="6"/>
      <c r="AEY242" s="6"/>
      <c r="AEZ242" s="6"/>
      <c r="AFA242" s="6"/>
      <c r="AFB242" s="6"/>
      <c r="AFC242" s="6"/>
      <c r="AFD242" s="6"/>
      <c r="AFE242" s="6"/>
      <c r="AFF242" s="6"/>
      <c r="AFG242" s="6"/>
      <c r="AFH242" s="6"/>
      <c r="AFI242" s="6"/>
      <c r="AFJ242" s="6"/>
      <c r="AFK242" s="6"/>
      <c r="AFL242" s="6"/>
      <c r="AFM242" s="6"/>
      <c r="AFN242" s="6"/>
      <c r="AFO242" s="6"/>
      <c r="AFP242" s="6"/>
      <c r="AFQ242" s="6"/>
      <c r="AFR242" s="6"/>
      <c r="AFS242" s="6"/>
      <c r="AFT242" s="6"/>
      <c r="AFU242" s="6"/>
      <c r="AFV242" s="6"/>
      <c r="AFW242" s="6"/>
      <c r="AFX242" s="6"/>
      <c r="AFY242" s="6"/>
      <c r="AFZ242" s="6"/>
      <c r="AGA242" s="6"/>
      <c r="AGB242" s="6"/>
      <c r="AGC242" s="6"/>
      <c r="AGD242" s="6"/>
      <c r="AGE242" s="6"/>
      <c r="AGF242" s="6"/>
      <c r="AGG242" s="6"/>
      <c r="AGH242" s="6"/>
      <c r="AGI242" s="6"/>
      <c r="AGJ242" s="6"/>
      <c r="AGK242" s="6"/>
      <c r="AGL242" s="6"/>
      <c r="AGM242" s="6"/>
      <c r="AGN242" s="6"/>
      <c r="AGO242" s="6"/>
      <c r="AGP242" s="6"/>
      <c r="AGQ242" s="6"/>
      <c r="AGR242" s="6"/>
      <c r="AGS242" s="6"/>
      <c r="AGT242" s="6"/>
      <c r="AGU242" s="6"/>
      <c r="AGV242" s="6"/>
      <c r="AGW242" s="6"/>
      <c r="AGX242" s="6"/>
      <c r="AGY242" s="6"/>
      <c r="AGZ242" s="6"/>
      <c r="AHA242" s="6"/>
      <c r="AHB242" s="6"/>
      <c r="AHC242" s="6"/>
      <c r="AHD242" s="6"/>
      <c r="AHE242" s="6"/>
      <c r="AHF242" s="6"/>
      <c r="AHG242" s="6"/>
      <c r="AHH242" s="6"/>
      <c r="AHI242" s="6"/>
      <c r="AHJ242" s="6"/>
      <c r="AHK242" s="6"/>
      <c r="AHL242" s="6"/>
      <c r="AHM242" s="6"/>
      <c r="AHN242" s="6"/>
      <c r="AHO242" s="6"/>
      <c r="AHP242" s="6"/>
      <c r="AHQ242" s="6"/>
      <c r="AHR242" s="6"/>
      <c r="AHS242" s="6"/>
      <c r="AHT242" s="6"/>
      <c r="AHU242" s="6"/>
      <c r="AHV242" s="6"/>
      <c r="AHW242" s="6"/>
      <c r="AHX242" s="6"/>
      <c r="AHY242" s="6"/>
      <c r="AHZ242" s="6"/>
      <c r="AIA242" s="6"/>
      <c r="AIB242" s="6"/>
      <c r="AIC242" s="6"/>
      <c r="AID242" s="6"/>
      <c r="AIE242" s="6"/>
      <c r="AIF242" s="6"/>
      <c r="AIG242" s="6"/>
      <c r="AIH242" s="6"/>
      <c r="AII242" s="6"/>
      <c r="AIJ242" s="6"/>
      <c r="AIK242" s="6"/>
      <c r="AIL242" s="6"/>
      <c r="AIM242" s="6"/>
      <c r="AIN242" s="6"/>
      <c r="AIO242" s="6"/>
      <c r="AIP242" s="6"/>
      <c r="AIQ242" s="6"/>
      <c r="AIR242" s="6"/>
      <c r="AIS242" s="6"/>
      <c r="AIT242" s="6"/>
      <c r="AIU242" s="6"/>
      <c r="AIV242" s="6"/>
      <c r="AIW242" s="6"/>
      <c r="AIX242" s="6"/>
      <c r="AIY242" s="6"/>
      <c r="AIZ242" s="6"/>
      <c r="AJA242" s="6"/>
      <c r="AJB242" s="6"/>
      <c r="AJC242" s="6"/>
      <c r="AJD242" s="6"/>
      <c r="AJE242" s="6"/>
      <c r="AJF242" s="6"/>
      <c r="AJG242" s="6"/>
      <c r="AJH242" s="6"/>
      <c r="AJI242" s="6"/>
      <c r="AJJ242" s="6"/>
      <c r="AJK242" s="6"/>
      <c r="AJL242" s="6"/>
      <c r="AJM242" s="6"/>
      <c r="AJN242" s="6"/>
      <c r="AJO242" s="6"/>
      <c r="AJP242" s="6"/>
      <c r="AJQ242" s="6"/>
      <c r="AJR242" s="6"/>
      <c r="AJS242" s="6"/>
      <c r="AJT242" s="6"/>
      <c r="AJU242" s="6"/>
      <c r="AJV242" s="6"/>
      <c r="AJW242" s="6"/>
      <c r="AJX242" s="6"/>
      <c r="AJY242" s="6"/>
      <c r="AJZ242" s="6"/>
      <c r="AKA242" s="6"/>
      <c r="AKB242" s="6"/>
      <c r="AKC242" s="6"/>
      <c r="AKD242" s="6"/>
      <c r="AKE242" s="6"/>
      <c r="AKF242" s="6"/>
      <c r="AKG242" s="6"/>
      <c r="AKH242" s="6"/>
      <c r="AKI242" s="6"/>
      <c r="AKJ242" s="6"/>
      <c r="AKK242" s="6"/>
      <c r="AKL242" s="6"/>
      <c r="AKM242" s="6"/>
      <c r="AKN242" s="6"/>
      <c r="AKO242" s="6"/>
      <c r="AKP242" s="6"/>
      <c r="AKQ242" s="6"/>
      <c r="AKR242" s="6"/>
      <c r="AKS242" s="6"/>
      <c r="AKT242" s="6"/>
      <c r="AKU242" s="6"/>
      <c r="AKV242" s="6"/>
      <c r="AKW242" s="6"/>
      <c r="AKX242" s="6"/>
      <c r="AKY242" s="6"/>
      <c r="AKZ242" s="6"/>
      <c r="ALA242" s="6"/>
      <c r="ALB242" s="6"/>
      <c r="ALC242" s="6"/>
      <c r="ALD242" s="6"/>
      <c r="ALE242" s="6"/>
      <c r="ALF242" s="6"/>
      <c r="ALG242" s="6"/>
      <c r="ALH242" s="6"/>
      <c r="ALI242" s="6"/>
      <c r="ALJ242" s="6"/>
      <c r="ALK242" s="6"/>
      <c r="ALL242" s="6"/>
      <c r="ALM242" s="6"/>
      <c r="ALN242" s="6"/>
      <c r="ALO242" s="6"/>
      <c r="ALP242" s="6"/>
      <c r="ALQ242" s="6"/>
      <c r="ALR242" s="6"/>
      <c r="ALS242" s="6"/>
      <c r="ALT242" s="6"/>
      <c r="ALU242" s="6"/>
      <c r="ALV242" s="6"/>
      <c r="ALW242" s="6"/>
      <c r="ALX242" s="6"/>
      <c r="ALY242" s="6"/>
      <c r="ALZ242" s="6"/>
      <c r="AMA242" s="6"/>
      <c r="AMB242" s="6"/>
      <c r="AMC242" s="6"/>
      <c r="AMD242" s="6"/>
      <c r="AME242" s="6"/>
      <c r="AMF242" s="6"/>
      <c r="AMG242" s="6"/>
      <c r="AMH242" s="6"/>
      <c r="AMI242" s="6"/>
      <c r="AMJ242" s="6"/>
      <c r="AMK242" s="6"/>
      <c r="AML242" s="6"/>
      <c r="AMM242" s="6"/>
      <c r="AMN242" s="6"/>
      <c r="AMO242" s="6"/>
      <c r="AMP242" s="6"/>
    </row>
    <row r="243" spans="1:1030" x14ac:dyDescent="0.2">
      <c r="A243" s="3" t="str">
        <f t="shared" si="1005"/>
        <v>opsd_bovin_3DQB</v>
      </c>
      <c r="B243" s="3" t="s">
        <v>920</v>
      </c>
      <c r="C243" s="3" t="s">
        <v>54</v>
      </c>
      <c r="D243" s="3" t="str">
        <f>IFERROR(MID(VLOOKUP($B243,Seqs!$A:$B,2,0),E243,1),"")</f>
        <v>E</v>
      </c>
      <c r="E243" s="105">
        <v>33</v>
      </c>
      <c r="F243" s="3" t="str">
        <f>IFERROR(MID(VLOOKUP($B243,Seqs!$A:$B,2,0),G243,1),"")</f>
        <v>H</v>
      </c>
      <c r="G243" s="3">
        <v>65</v>
      </c>
      <c r="H243" s="3" t="str">
        <f>IFERROR(MID(VLOOKUP($B243,Seqs!$A:$B,2,0),I243,1),"")</f>
        <v>K</v>
      </c>
      <c r="I243" s="23">
        <v>66</v>
      </c>
      <c r="J243" s="3" t="str">
        <f>IFERROR(MID(VLOOKUP($B243,Seqs!$A:$B,2,0),K243,1),"")</f>
        <v>R</v>
      </c>
      <c r="K243" s="23">
        <v>69</v>
      </c>
      <c r="L243" s="3" t="str">
        <f>IFERROR(MID(VLOOKUP($B243,Seqs!$A:$B,2,0),M243,1),"")</f>
        <v>T</v>
      </c>
      <c r="M243" s="3">
        <v>70</v>
      </c>
      <c r="N243" s="3" t="str">
        <f>IFERROR(MID(VLOOKUP($B243,Seqs!$A:$B,2,0),O243,1),"")</f>
        <v>H</v>
      </c>
      <c r="O243" s="3">
        <v>100</v>
      </c>
      <c r="P243" s="3" t="str">
        <f>IFERROR(MID(VLOOKUP($B243,Seqs!$A:$B,2,0),Q243,1),"")</f>
        <v>Y</v>
      </c>
      <c r="Q243" s="3">
        <v>102</v>
      </c>
      <c r="R243" s="3" t="str">
        <f>IFERROR(MID(VLOOKUP($B243,Seqs!$A:$B,2,0),S243,1),"")</f>
        <v>F</v>
      </c>
      <c r="S243" s="3">
        <v>105</v>
      </c>
      <c r="T243" s="3" t="str">
        <f>IFERROR(MID(VLOOKUP($B243,Seqs!$A:$B,2,0),U243,1),"")</f>
        <v>G</v>
      </c>
      <c r="U243" s="3">
        <v>106</v>
      </c>
      <c r="V243" s="3" t="str">
        <f>IFERROR(MID(VLOOKUP($B243,Seqs!$A:$B,2,0),W243,1),"")</f>
        <v>K</v>
      </c>
      <c r="W243" s="3">
        <v>141</v>
      </c>
      <c r="X243" s="3" t="str">
        <f>IFERROR(MID(VLOOKUP($B243,Seqs!$A:$B,2,0),Y243,1),"")</f>
        <v/>
      </c>
      <c r="Y243" s="3" t="s">
        <v>23</v>
      </c>
      <c r="Z243" s="3" t="str">
        <f>IFERROR(MID(VLOOKUP($B243,Seqs!$A:$B,2,0),AA243,1),"")</f>
        <v/>
      </c>
      <c r="AA243" s="3" t="s">
        <v>23</v>
      </c>
      <c r="AB243" s="3" t="str">
        <f>IFERROR(MID(VLOOKUP($B243,Seqs!$A:$B,2,0),AC243,1),"")</f>
        <v>G</v>
      </c>
      <c r="AC243" s="9">
        <v>149</v>
      </c>
      <c r="AD243" s="3" t="str">
        <f>IFERROR(MID(VLOOKUP($B243,Seqs!$A:$B,2,0),AE243,1),"")</f>
        <v>V</v>
      </c>
      <c r="AE243" s="3">
        <v>173</v>
      </c>
      <c r="AF243" s="3" t="str">
        <f>IFERROR(MID(VLOOKUP($B243,Seqs!$A:$B,2,0),AG243,1),"")</f>
        <v>C</v>
      </c>
      <c r="AG243" s="3">
        <v>187</v>
      </c>
      <c r="AH243" s="3" t="str">
        <f>IFERROR(MID(VLOOKUP($B243,Seqs!$A:$B,2,0),AI243,1),"")</f>
        <v>I</v>
      </c>
      <c r="AI243" s="3">
        <v>189</v>
      </c>
      <c r="AJ243" s="3" t="str">
        <f>IFERROR(MID(VLOOKUP($B243,Seqs!$A:$B,2,0),AK243,1),"")</f>
        <v>N</v>
      </c>
      <c r="AK243" s="3">
        <v>199</v>
      </c>
      <c r="AL243" s="3" t="str">
        <f>IFERROR(MID(VLOOKUP($B243,Seqs!$A:$B,2,0),AM243,1),"")</f>
        <v>Q</v>
      </c>
      <c r="AM243" s="3">
        <v>237</v>
      </c>
      <c r="AN243" s="3" t="str">
        <f>IFERROR(MID(VLOOKUP($B243,Seqs!$A:$B,2,0),AO243,1),"")</f>
        <v>A</v>
      </c>
      <c r="AO243" s="3">
        <v>241</v>
      </c>
      <c r="AP243" s="3" t="str">
        <f>IFERROR(MID(VLOOKUP($B243,Seqs!$A:$B,2,0),AQ243,1),"")</f>
        <v>H</v>
      </c>
      <c r="AQ243" s="3">
        <v>278</v>
      </c>
      <c r="AR243" s="3" t="str">
        <f>IFERROR(MID(VLOOKUP($B243,Seqs!$A:$B,2,0),AS243,1),"")</f>
        <v>G</v>
      </c>
      <c r="AS243" s="3">
        <v>284</v>
      </c>
      <c r="AT243" s="3" t="str">
        <f>IFERROR(MID(VLOOKUP($B243,Seqs!$A:$B,2,0),AU243,1),"")</f>
        <v>M</v>
      </c>
      <c r="AU243" s="3">
        <v>309</v>
      </c>
      <c r="AV243" s="3" t="str">
        <f>IFERROR(MID(VLOOKUP($B243,Seqs!$A:$B,2,0),AW243,1),"")</f>
        <v>N</v>
      </c>
      <c r="AW243" s="3">
        <v>310</v>
      </c>
      <c r="AX243" s="3" t="str">
        <f>IFERROR(MID(VLOOKUP($B243,Seqs!$A:$B,2,0),AY243,1),"")</f>
        <v>C</v>
      </c>
      <c r="AY243" s="3">
        <v>322</v>
      </c>
      <c r="AZ243" s="77" t="str">
        <f>VLOOKUP(B243,Classification!A:D,2,0)</f>
        <v>A</v>
      </c>
      <c r="BA243" s="94" t="str">
        <f>VLOOKUP(B243,Classification!A:D,4,0)</f>
        <v>Opsins</v>
      </c>
      <c r="BB243" s="27" t="b">
        <f t="shared" si="1006"/>
        <v>1</v>
      </c>
      <c r="BC243" s="23">
        <f>_xlfn.AGGREGATE(9,6,CH243:CS243)-_xlfn.AGGREGATE(9,6,BV243:CG243)+12</f>
        <v>253</v>
      </c>
      <c r="BD243" s="74" t="s">
        <v>23</v>
      </c>
      <c r="BE243" s="3" t="s">
        <v>1292</v>
      </c>
      <c r="BF243" s="119">
        <v>3.2</v>
      </c>
      <c r="BG243" s="49" t="s">
        <v>1378</v>
      </c>
      <c r="BH243" s="49" t="s">
        <v>1378</v>
      </c>
      <c r="BI243" s="1"/>
      <c r="BJ243" s="70" t="s">
        <v>1288</v>
      </c>
      <c r="BK243" s="57" t="s">
        <v>1288</v>
      </c>
      <c r="BL243" s="57" t="s">
        <v>1288</v>
      </c>
      <c r="BM243" s="57" t="s">
        <v>1288</v>
      </c>
      <c r="BN243" s="57" t="s">
        <v>1288</v>
      </c>
      <c r="BO243" s="57" t="s">
        <v>1288</v>
      </c>
      <c r="BP243" s="57" t="s">
        <v>1288</v>
      </c>
      <c r="BQ243" s="57" t="s">
        <v>1288</v>
      </c>
      <c r="BR243" s="57" t="s">
        <v>1288</v>
      </c>
      <c r="BS243" s="57" t="s">
        <v>1288</v>
      </c>
      <c r="BT243" s="57" t="s">
        <v>1288</v>
      </c>
      <c r="BU243" s="57" t="s">
        <v>1288</v>
      </c>
      <c r="BV243" s="70">
        <f>E243</f>
        <v>33</v>
      </c>
      <c r="BW243" s="71">
        <f>I243</f>
        <v>66</v>
      </c>
      <c r="BX243" s="72">
        <f>M243</f>
        <v>70</v>
      </c>
      <c r="BY243" s="71">
        <f>Q243</f>
        <v>102</v>
      </c>
      <c r="BZ243" s="72">
        <f>U243</f>
        <v>106</v>
      </c>
      <c r="CA243" s="71" t="str">
        <f>Y243</f>
        <v>-</v>
      </c>
      <c r="CB243" s="72">
        <f>AC243</f>
        <v>149</v>
      </c>
      <c r="CC243" s="71">
        <f>AG243</f>
        <v>187</v>
      </c>
      <c r="CD243" s="72">
        <f>AK243</f>
        <v>199</v>
      </c>
      <c r="CE243" s="71">
        <f>AO243</f>
        <v>241</v>
      </c>
      <c r="CF243" s="72">
        <f>AS243</f>
        <v>284</v>
      </c>
      <c r="CG243" s="71">
        <f>AW243</f>
        <v>310</v>
      </c>
      <c r="CH243" s="70">
        <f>G243</f>
        <v>65</v>
      </c>
      <c r="CI243" s="71">
        <f>K243</f>
        <v>69</v>
      </c>
      <c r="CJ243" s="72">
        <f>O243</f>
        <v>100</v>
      </c>
      <c r="CK243" s="72">
        <f>S243</f>
        <v>105</v>
      </c>
      <c r="CL243" s="72">
        <f>W243</f>
        <v>141</v>
      </c>
      <c r="CM243" s="72" t="str">
        <f>AA243</f>
        <v>-</v>
      </c>
      <c r="CN243" s="72">
        <f>AE243</f>
        <v>173</v>
      </c>
      <c r="CO243" s="72">
        <f>AI243</f>
        <v>189</v>
      </c>
      <c r="CP243" s="72">
        <f>AM243</f>
        <v>237</v>
      </c>
      <c r="CQ243" s="72">
        <f>AQ243</f>
        <v>278</v>
      </c>
      <c r="CR243" s="72">
        <f>AU243</f>
        <v>309</v>
      </c>
      <c r="CS243" s="72">
        <f>AY243</f>
        <v>322</v>
      </c>
      <c r="CT243" s="23">
        <f>M243-K243</f>
        <v>1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30" x14ac:dyDescent="0.2">
      <c r="A244" s="3" t="str">
        <f t="shared" si="1005"/>
        <v>opsd_bovin_3PQR</v>
      </c>
      <c r="B244" s="3" t="s">
        <v>920</v>
      </c>
      <c r="C244" s="3" t="s">
        <v>1033</v>
      </c>
      <c r="D244" s="3" t="str">
        <f>IFERROR(MID(VLOOKUP($B244,Seqs!$A:$B,2,0),E244,1),"")</f>
        <v>E</v>
      </c>
      <c r="E244" s="105">
        <v>33</v>
      </c>
      <c r="F244" s="3" t="str">
        <f>IFERROR(MID(VLOOKUP($B244,Seqs!$A:$B,2,0),G244,1),"")</f>
        <v>H</v>
      </c>
      <c r="G244" s="3">
        <v>65</v>
      </c>
      <c r="H244" s="3" t="str">
        <f>IFERROR(MID(VLOOKUP($B244,Seqs!$A:$B,2,0),I244,1),"")</f>
        <v>K</v>
      </c>
      <c r="I244" s="23">
        <v>66</v>
      </c>
      <c r="J244" s="3" t="str">
        <f>IFERROR(MID(VLOOKUP($B244,Seqs!$A:$B,2,0),K244,1),"")</f>
        <v>R</v>
      </c>
      <c r="K244" s="23">
        <v>69</v>
      </c>
      <c r="L244" s="3" t="str">
        <f>IFERROR(MID(VLOOKUP($B244,Seqs!$A:$B,2,0),M244,1),"")</f>
        <v>T</v>
      </c>
      <c r="M244" s="3">
        <v>70</v>
      </c>
      <c r="N244" s="3" t="str">
        <f>IFERROR(MID(VLOOKUP($B244,Seqs!$A:$B,2,0),O244,1),"")</f>
        <v>H</v>
      </c>
      <c r="O244" s="3">
        <v>100</v>
      </c>
      <c r="P244" s="3" t="str">
        <f>IFERROR(MID(VLOOKUP($B244,Seqs!$A:$B,2,0),Q244,1),"")</f>
        <v>Y</v>
      </c>
      <c r="Q244" s="3">
        <v>102</v>
      </c>
      <c r="R244" s="3" t="str">
        <f>IFERROR(MID(VLOOKUP($B244,Seqs!$A:$B,2,0),S244,1),"")</f>
        <v>F</v>
      </c>
      <c r="S244" s="3">
        <v>105</v>
      </c>
      <c r="T244" s="3" t="str">
        <f>IFERROR(MID(VLOOKUP($B244,Seqs!$A:$B,2,0),U244,1),"")</f>
        <v>G</v>
      </c>
      <c r="U244" s="3">
        <v>106</v>
      </c>
      <c r="V244" s="3" t="str">
        <f>IFERROR(MID(VLOOKUP($B244,Seqs!$A:$B,2,0),W244,1),"")</f>
        <v>K</v>
      </c>
      <c r="W244" s="3">
        <v>141</v>
      </c>
      <c r="X244" s="3" t="str">
        <f>IFERROR(MID(VLOOKUP($B244,Seqs!$A:$B,2,0),Y244,1),"")</f>
        <v/>
      </c>
      <c r="Y244" s="3" t="s">
        <v>23</v>
      </c>
      <c r="Z244" s="3" t="str">
        <f>IFERROR(MID(VLOOKUP($B244,Seqs!$A:$B,2,0),AA244,1),"")</f>
        <v/>
      </c>
      <c r="AA244" s="3" t="s">
        <v>23</v>
      </c>
      <c r="AB244" s="3" t="str">
        <f>IFERROR(MID(VLOOKUP($B244,Seqs!$A:$B,2,0),AC244,1),"")</f>
        <v>G</v>
      </c>
      <c r="AC244" s="9">
        <v>149</v>
      </c>
      <c r="AD244" s="3" t="str">
        <f>IFERROR(MID(VLOOKUP($B244,Seqs!$A:$B,2,0),AE244,1),"")</f>
        <v>V</v>
      </c>
      <c r="AE244" s="3">
        <v>173</v>
      </c>
      <c r="AF244" s="3" t="str">
        <f>IFERROR(MID(VLOOKUP($B244,Seqs!$A:$B,2,0),AG244,1),"")</f>
        <v>C</v>
      </c>
      <c r="AG244" s="3">
        <v>187</v>
      </c>
      <c r="AH244" s="3" t="str">
        <f>IFERROR(MID(VLOOKUP($B244,Seqs!$A:$B,2,0),AI244,1),"")</f>
        <v>I</v>
      </c>
      <c r="AI244" s="3">
        <v>189</v>
      </c>
      <c r="AJ244" s="3" t="str">
        <f>IFERROR(MID(VLOOKUP($B244,Seqs!$A:$B,2,0),AK244,1),"")</f>
        <v>N</v>
      </c>
      <c r="AK244" s="3">
        <v>199</v>
      </c>
      <c r="AL244" s="3" t="str">
        <f>IFERROR(MID(VLOOKUP($B244,Seqs!$A:$B,2,0),AM244,1),"")</f>
        <v>Q</v>
      </c>
      <c r="AM244" s="3">
        <v>237</v>
      </c>
      <c r="AN244" s="3" t="str">
        <f>IFERROR(MID(VLOOKUP($B244,Seqs!$A:$B,2,0),AO244,1),"")</f>
        <v>A</v>
      </c>
      <c r="AO244" s="3">
        <v>241</v>
      </c>
      <c r="AP244" s="3" t="str">
        <f>IFERROR(MID(VLOOKUP($B244,Seqs!$A:$B,2,0),AQ244,1),"")</f>
        <v>H</v>
      </c>
      <c r="AQ244" s="3">
        <v>278</v>
      </c>
      <c r="AR244" s="3" t="str">
        <f>IFERROR(MID(VLOOKUP($B244,Seqs!$A:$B,2,0),AS244,1),"")</f>
        <v>G</v>
      </c>
      <c r="AS244" s="3">
        <v>284</v>
      </c>
      <c r="AT244" s="3" t="str">
        <f>IFERROR(MID(VLOOKUP($B244,Seqs!$A:$B,2,0),AU244,1),"")</f>
        <v>M</v>
      </c>
      <c r="AU244" s="3">
        <v>309</v>
      </c>
      <c r="AV244" s="3" t="str">
        <f>IFERROR(MID(VLOOKUP($B244,Seqs!$A:$B,2,0),AW244,1),"")</f>
        <v>N</v>
      </c>
      <c r="AW244" s="3">
        <v>310</v>
      </c>
      <c r="AX244" s="3" t="str">
        <f>IFERROR(MID(VLOOKUP($B244,Seqs!$A:$B,2,0),AY244,1),"")</f>
        <v>C</v>
      </c>
      <c r="AY244" s="3">
        <v>322</v>
      </c>
      <c r="AZ244" s="77" t="str">
        <f>VLOOKUP(B244,Classification!A:D,2,0)</f>
        <v>A</v>
      </c>
      <c r="BA244" s="94" t="str">
        <f>VLOOKUP(B244,Classification!A:D,4,0)</f>
        <v>Opsins</v>
      </c>
      <c r="BB244" s="27" t="b">
        <f t="shared" si="1006"/>
        <v>1</v>
      </c>
      <c r="BC244" s="23">
        <f>_xlfn.AGGREGATE(9,6,CH244:CS244)-_xlfn.AGGREGATE(9,6,BV244:CG244)+12</f>
        <v>253</v>
      </c>
      <c r="BD244" s="4" t="s">
        <v>23</v>
      </c>
      <c r="BE244" s="3" t="s">
        <v>1292</v>
      </c>
      <c r="BF244" s="119">
        <v>2.85</v>
      </c>
      <c r="BG244" s="49" t="s">
        <v>1378</v>
      </c>
      <c r="BH244" s="49" t="s">
        <v>1378</v>
      </c>
      <c r="BI244" s="1"/>
      <c r="BJ244" s="70" t="s">
        <v>1288</v>
      </c>
      <c r="BK244" s="57" t="s">
        <v>1288</v>
      </c>
      <c r="BL244" s="57" t="s">
        <v>1288</v>
      </c>
      <c r="BM244" s="57" t="s">
        <v>1288</v>
      </c>
      <c r="BN244" s="57" t="s">
        <v>1288</v>
      </c>
      <c r="BO244" s="57" t="s">
        <v>1288</v>
      </c>
      <c r="BP244" s="57" t="s">
        <v>1288</v>
      </c>
      <c r="BQ244" s="57" t="s">
        <v>1288</v>
      </c>
      <c r="BR244" s="57" t="s">
        <v>1288</v>
      </c>
      <c r="BS244" s="57" t="s">
        <v>1288</v>
      </c>
      <c r="BT244" s="57" t="s">
        <v>1288</v>
      </c>
      <c r="BU244" s="57" t="s">
        <v>1288</v>
      </c>
      <c r="BV244" s="70">
        <f>E244</f>
        <v>33</v>
      </c>
      <c r="BW244" s="71">
        <f>I244</f>
        <v>66</v>
      </c>
      <c r="BX244" s="72">
        <f>M244</f>
        <v>70</v>
      </c>
      <c r="BY244" s="71">
        <f>Q244</f>
        <v>102</v>
      </c>
      <c r="BZ244" s="72">
        <f>U244</f>
        <v>106</v>
      </c>
      <c r="CA244" s="71" t="str">
        <f>Y244</f>
        <v>-</v>
      </c>
      <c r="CB244" s="72">
        <f>AC244</f>
        <v>149</v>
      </c>
      <c r="CC244" s="71">
        <f>AG244</f>
        <v>187</v>
      </c>
      <c r="CD244" s="72">
        <f>AK244</f>
        <v>199</v>
      </c>
      <c r="CE244" s="71">
        <f>AO244</f>
        <v>241</v>
      </c>
      <c r="CF244" s="72">
        <f>AS244</f>
        <v>284</v>
      </c>
      <c r="CG244" s="71">
        <f>AW244</f>
        <v>310</v>
      </c>
      <c r="CH244" s="70">
        <f>G244</f>
        <v>65</v>
      </c>
      <c r="CI244" s="71">
        <f>K244</f>
        <v>69</v>
      </c>
      <c r="CJ244" s="72">
        <f>O244</f>
        <v>100</v>
      </c>
      <c r="CK244" s="72">
        <f>S244</f>
        <v>105</v>
      </c>
      <c r="CL244" s="72">
        <f>W244</f>
        <v>141</v>
      </c>
      <c r="CM244" s="72" t="str">
        <f>AA244</f>
        <v>-</v>
      </c>
      <c r="CN244" s="72">
        <f>AE244</f>
        <v>173</v>
      </c>
      <c r="CO244" s="72">
        <f>AI244</f>
        <v>189</v>
      </c>
      <c r="CP244" s="72">
        <f>AM244</f>
        <v>237</v>
      </c>
      <c r="CQ244" s="72">
        <f>AQ244</f>
        <v>278</v>
      </c>
      <c r="CR244" s="72">
        <f>AU244</f>
        <v>309</v>
      </c>
      <c r="CS244" s="72">
        <f>AY244</f>
        <v>322</v>
      </c>
      <c r="CT244" s="23">
        <f>M244-K244</f>
        <v>1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</row>
    <row r="245" spans="1:1030" x14ac:dyDescent="0.2">
      <c r="A245" s="3" t="str">
        <f t="shared" si="1005"/>
        <v>opsd_bovin_4A4M</v>
      </c>
      <c r="B245" s="2" t="s">
        <v>920</v>
      </c>
      <c r="C245" s="3" t="s">
        <v>1371</v>
      </c>
      <c r="D245" s="3" t="str">
        <f>IFERROR(MID(VLOOKUP($B245,Seqs!$A:$B,2,0),E245,1),"")</f>
        <v>E</v>
      </c>
      <c r="E245" s="105">
        <v>33</v>
      </c>
      <c r="F245" s="3" t="str">
        <f>IFERROR(MID(VLOOKUP($B245,Seqs!$A:$B,2,0),G245,1),"")</f>
        <v>H</v>
      </c>
      <c r="G245" s="3">
        <v>65</v>
      </c>
      <c r="H245" s="3" t="str">
        <f>IFERROR(MID(VLOOKUP($B245,Seqs!$A:$B,2,0),I245,1),"")</f>
        <v>K</v>
      </c>
      <c r="I245" s="23">
        <v>66</v>
      </c>
      <c r="J245" s="3" t="str">
        <f>IFERROR(MID(VLOOKUP($B245,Seqs!$A:$B,2,0),K245,1),"")</f>
        <v>R</v>
      </c>
      <c r="K245" s="23">
        <v>69</v>
      </c>
      <c r="L245" s="3" t="str">
        <f>IFERROR(MID(VLOOKUP($B245,Seqs!$A:$B,2,0),M245,1),"")</f>
        <v>T</v>
      </c>
      <c r="M245" s="3">
        <v>70</v>
      </c>
      <c r="N245" s="3" t="str">
        <f>IFERROR(MID(VLOOKUP($B245,Seqs!$A:$B,2,0),O245,1),"")</f>
        <v>H</v>
      </c>
      <c r="O245" s="3">
        <v>100</v>
      </c>
      <c r="P245" s="3" t="str">
        <f>IFERROR(MID(VLOOKUP($B245,Seqs!$A:$B,2,0),Q245,1),"")</f>
        <v>Y</v>
      </c>
      <c r="Q245" s="3">
        <v>102</v>
      </c>
      <c r="R245" s="3" t="str">
        <f>IFERROR(MID(VLOOKUP($B245,Seqs!$A:$B,2,0),S245,1),"")</f>
        <v>F</v>
      </c>
      <c r="S245" s="3">
        <v>105</v>
      </c>
      <c r="T245" s="3" t="str">
        <f>IFERROR(MID(VLOOKUP($B245,Seqs!$A:$B,2,0),U245,1),"")</f>
        <v>G</v>
      </c>
      <c r="U245" s="3">
        <v>106</v>
      </c>
      <c r="V245" s="3" t="str">
        <f>IFERROR(MID(VLOOKUP($B245,Seqs!$A:$B,2,0),W245,1),"")</f>
        <v>K</v>
      </c>
      <c r="W245" s="3">
        <v>141</v>
      </c>
      <c r="X245" s="3" t="str">
        <f>IFERROR(MID(VLOOKUP($B245,Seqs!$A:$B,2,0),Y245,1),"")</f>
        <v/>
      </c>
      <c r="Y245" s="3" t="s">
        <v>23</v>
      </c>
      <c r="Z245" s="3" t="str">
        <f>IFERROR(MID(VLOOKUP($B245,Seqs!$A:$B,2,0),AA245,1),"")</f>
        <v/>
      </c>
      <c r="AA245" s="3" t="s">
        <v>23</v>
      </c>
      <c r="AB245" s="3" t="str">
        <f>IFERROR(MID(VLOOKUP($B245,Seqs!$A:$B,2,0),AC245,1),"")</f>
        <v>G</v>
      </c>
      <c r="AC245" s="9">
        <v>149</v>
      </c>
      <c r="AD245" s="3" t="str">
        <f>IFERROR(MID(VLOOKUP($B245,Seqs!$A:$B,2,0),AE245,1),"")</f>
        <v>V</v>
      </c>
      <c r="AE245" s="3">
        <v>173</v>
      </c>
      <c r="AF245" s="3" t="str">
        <f>IFERROR(MID(VLOOKUP($B245,Seqs!$A:$B,2,0),AG245,1),"")</f>
        <v>C</v>
      </c>
      <c r="AG245" s="3">
        <v>187</v>
      </c>
      <c r="AH245" s="3" t="str">
        <f>IFERROR(MID(VLOOKUP($B245,Seqs!$A:$B,2,0),AI245,1),"")</f>
        <v>I</v>
      </c>
      <c r="AI245" s="3">
        <v>189</v>
      </c>
      <c r="AJ245" s="3" t="str">
        <f>IFERROR(MID(VLOOKUP($B245,Seqs!$A:$B,2,0),AK245,1),"")</f>
        <v>N</v>
      </c>
      <c r="AK245" s="3">
        <v>199</v>
      </c>
      <c r="AL245" s="3" t="str">
        <f>IFERROR(MID(VLOOKUP($B245,Seqs!$A:$B,2,0),AM245,1),"")</f>
        <v>Q</v>
      </c>
      <c r="AM245" s="3">
        <v>237</v>
      </c>
      <c r="AN245" s="3" t="str">
        <f>IFERROR(MID(VLOOKUP($B245,Seqs!$A:$B,2,0),AO245,1),"")</f>
        <v>A</v>
      </c>
      <c r="AO245" s="3">
        <v>241</v>
      </c>
      <c r="AP245" s="3" t="str">
        <f>IFERROR(MID(VLOOKUP($B245,Seqs!$A:$B,2,0),AQ245,1),"")</f>
        <v>H</v>
      </c>
      <c r="AQ245" s="3">
        <v>278</v>
      </c>
      <c r="AR245" s="3" t="str">
        <f>IFERROR(MID(VLOOKUP($B245,Seqs!$A:$B,2,0),AS245,1),"")</f>
        <v>G</v>
      </c>
      <c r="AS245" s="3">
        <v>284</v>
      </c>
      <c r="AT245" s="3" t="str">
        <f>IFERROR(MID(VLOOKUP($B245,Seqs!$A:$B,2,0),AU245,1),"")</f>
        <v>M</v>
      </c>
      <c r="AU245" s="3">
        <v>309</v>
      </c>
      <c r="AV245" s="3" t="str">
        <f>IFERROR(MID(VLOOKUP($B245,Seqs!$A:$B,2,0),AW245,1),"")</f>
        <v>N</v>
      </c>
      <c r="AW245" s="3">
        <v>310</v>
      </c>
      <c r="AX245" s="3" t="str">
        <f>IFERROR(MID(VLOOKUP($B245,Seqs!$A:$B,2,0),AY245,1),"")</f>
        <v>C</v>
      </c>
      <c r="AY245" s="3">
        <v>322</v>
      </c>
      <c r="AZ245" s="77" t="str">
        <f>VLOOKUP(B245,Classification!A:D,2,0)</f>
        <v>A</v>
      </c>
      <c r="BA245" s="94" t="str">
        <f>VLOOKUP(B245,Classification!A:D,4,0)</f>
        <v>Opsins</v>
      </c>
      <c r="BB245" s="27" t="b">
        <f>AND(E245&lt;G245,OR(G245&lt;I245,I245="-"),OR(I245&lt;K245,I245="-"),OR(K245&lt;M245,K245="-"),M245&lt;O245,OR(O245&lt;Q245,Q245="-"),OR(Q245&lt;S245,Q245="-"),OR(S245&lt;U245,S245="-"),U245&lt;W245,OR(W245&lt;Y245,Y245="-"),OR(Y245&lt;AA245,Y245="-"),OR(AA245&lt;AC245,AA245="-"),AC245&lt;AE245,OR(AE245&lt;AG245,AG245="-"),OR(AG245&lt;AI245,AG245="-"),OR(AI245&lt;AK245,AI245="-"),AK245&lt;AM245,AM245&lt;AO245,AO245&lt;AQ245,AQ245&lt;AS245,AS245&lt;AU245,OR(AU245&lt;AW245,AW245="-"),OR(AW245&lt;AY245,AW245="-"))</f>
        <v>1</v>
      </c>
      <c r="BC245" s="23">
        <f>_xlfn.AGGREGATE(9,6,CH245:CS245)-_xlfn.AGGREGATE(9,6,BV245:CG245)+12</f>
        <v>253</v>
      </c>
      <c r="BD245" s="4" t="s">
        <v>23</v>
      </c>
      <c r="BE245" s="3" t="s">
        <v>1292</v>
      </c>
      <c r="BF245" s="119">
        <v>3.3</v>
      </c>
      <c r="BG245" s="49" t="s">
        <v>1378</v>
      </c>
      <c r="BH245" s="49" t="s">
        <v>1378</v>
      </c>
      <c r="BI245" s="1"/>
      <c r="BJ245" s="70" t="s">
        <v>1288</v>
      </c>
      <c r="BK245" s="57" t="s">
        <v>1288</v>
      </c>
      <c r="BL245" s="57" t="s">
        <v>1288</v>
      </c>
      <c r="BM245" s="57" t="s">
        <v>1288</v>
      </c>
      <c r="BN245" s="57" t="s">
        <v>1288</v>
      </c>
      <c r="BO245" s="57" t="s">
        <v>1288</v>
      </c>
      <c r="BP245" s="57" t="s">
        <v>1288</v>
      </c>
      <c r="BQ245" s="57" t="s">
        <v>1288</v>
      </c>
      <c r="BR245" s="57" t="s">
        <v>1288</v>
      </c>
      <c r="BS245" s="57" t="s">
        <v>1288</v>
      </c>
      <c r="BT245" s="57" t="s">
        <v>1288</v>
      </c>
      <c r="BU245" s="57" t="s">
        <v>1288</v>
      </c>
      <c r="BV245" s="70">
        <f>E245</f>
        <v>33</v>
      </c>
      <c r="BW245" s="71">
        <f>I245</f>
        <v>66</v>
      </c>
      <c r="BX245" s="72">
        <f>M245</f>
        <v>70</v>
      </c>
      <c r="BY245" s="71">
        <f>Q245</f>
        <v>102</v>
      </c>
      <c r="BZ245" s="72">
        <f>U245</f>
        <v>106</v>
      </c>
      <c r="CA245" s="71" t="str">
        <f>Y245</f>
        <v>-</v>
      </c>
      <c r="CB245" s="72">
        <f>AC245</f>
        <v>149</v>
      </c>
      <c r="CC245" s="71">
        <f>AG245</f>
        <v>187</v>
      </c>
      <c r="CD245" s="72">
        <f>AK245</f>
        <v>199</v>
      </c>
      <c r="CE245" s="71">
        <f>AO245</f>
        <v>241</v>
      </c>
      <c r="CF245" s="72">
        <f>AS245</f>
        <v>284</v>
      </c>
      <c r="CG245" s="71">
        <f>AW245</f>
        <v>310</v>
      </c>
      <c r="CH245" s="70">
        <f>G245</f>
        <v>65</v>
      </c>
      <c r="CI245" s="71">
        <f>K245</f>
        <v>69</v>
      </c>
      <c r="CJ245" s="72">
        <f>O245</f>
        <v>100</v>
      </c>
      <c r="CK245" s="72">
        <f>S245</f>
        <v>105</v>
      </c>
      <c r="CL245" s="72">
        <f>W245</f>
        <v>141</v>
      </c>
      <c r="CM245" s="72" t="str">
        <f>AA245</f>
        <v>-</v>
      </c>
      <c r="CN245" s="72">
        <f>AE245</f>
        <v>173</v>
      </c>
      <c r="CO245" s="72">
        <f>AI245</f>
        <v>189</v>
      </c>
      <c r="CP245" s="72">
        <f>AM245</f>
        <v>237</v>
      </c>
      <c r="CQ245" s="72">
        <f>AQ245</f>
        <v>278</v>
      </c>
      <c r="CR245" s="72">
        <f>AU245</f>
        <v>309</v>
      </c>
      <c r="CS245" s="72">
        <f>AY245</f>
        <v>322</v>
      </c>
      <c r="CT245" s="23">
        <f>M245-K245</f>
        <v>1</v>
      </c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6"/>
      <c r="II245" s="6"/>
      <c r="IJ245" s="6"/>
      <c r="IK245" s="6"/>
      <c r="IL245" s="6"/>
      <c r="IM245" s="6"/>
      <c r="IN245" s="6"/>
      <c r="IO245" s="6"/>
      <c r="IP245" s="6"/>
      <c r="IQ245" s="6"/>
      <c r="IR245" s="6"/>
      <c r="IS245" s="6"/>
      <c r="IT245" s="6"/>
      <c r="IU245" s="6"/>
      <c r="IV245" s="6"/>
      <c r="IW245" s="6"/>
      <c r="IX245" s="6"/>
      <c r="IY245" s="6"/>
      <c r="IZ245" s="6"/>
      <c r="JA245" s="6"/>
      <c r="JB245" s="6"/>
      <c r="JC245" s="6"/>
      <c r="JD245" s="6"/>
      <c r="JE245" s="6"/>
      <c r="JF245" s="6"/>
      <c r="JG245" s="6"/>
      <c r="JH245" s="6"/>
      <c r="JI245" s="6"/>
      <c r="JJ245" s="6"/>
      <c r="JK245" s="6"/>
      <c r="JL245" s="6"/>
      <c r="JM245" s="6"/>
      <c r="JN245" s="6"/>
      <c r="JO245" s="6"/>
      <c r="JP245" s="6"/>
      <c r="JQ245" s="6"/>
      <c r="JR245" s="6"/>
      <c r="JS245" s="6"/>
      <c r="JT245" s="6"/>
      <c r="JU245" s="6"/>
      <c r="JV245" s="6"/>
      <c r="JW245" s="6"/>
      <c r="JX245" s="6"/>
      <c r="JY245" s="6"/>
      <c r="JZ245" s="6"/>
      <c r="KA245" s="6"/>
      <c r="KB245" s="6"/>
      <c r="KC245" s="6"/>
      <c r="KD245" s="6"/>
      <c r="KE245" s="6"/>
      <c r="KF245" s="6"/>
      <c r="KG245" s="6"/>
      <c r="KH245" s="6"/>
      <c r="KI245" s="6"/>
      <c r="KJ245" s="6"/>
      <c r="KK245" s="6"/>
      <c r="KL245" s="6"/>
      <c r="KM245" s="6"/>
      <c r="KN245" s="6"/>
      <c r="KO245" s="6"/>
      <c r="KP245" s="6"/>
      <c r="KQ245" s="6"/>
      <c r="KR245" s="6"/>
      <c r="KS245" s="6"/>
      <c r="KT245" s="6"/>
      <c r="KU245" s="6"/>
      <c r="KV245" s="6"/>
      <c r="KW245" s="6"/>
      <c r="KX245" s="6"/>
      <c r="KY245" s="6"/>
      <c r="KZ245" s="6"/>
      <c r="LA245" s="6"/>
      <c r="LB245" s="6"/>
      <c r="LC245" s="6"/>
      <c r="LD245" s="6"/>
      <c r="LE245" s="6"/>
      <c r="LF245" s="6"/>
      <c r="LG245" s="6"/>
      <c r="LH245" s="6"/>
      <c r="LI245" s="6"/>
      <c r="LJ245" s="6"/>
      <c r="LK245" s="6"/>
      <c r="LL245" s="6"/>
      <c r="LM245" s="6"/>
      <c r="LN245" s="6"/>
      <c r="LO245" s="6"/>
      <c r="LP245" s="6"/>
      <c r="LQ245" s="6"/>
      <c r="LR245" s="6"/>
      <c r="LS245" s="6"/>
      <c r="LT245" s="6"/>
      <c r="LU245" s="6"/>
      <c r="LV245" s="6"/>
      <c r="LW245" s="6"/>
      <c r="LX245" s="6"/>
      <c r="LY245" s="6"/>
      <c r="LZ245" s="6"/>
      <c r="MA245" s="6"/>
      <c r="MB245" s="6"/>
      <c r="MC245" s="6"/>
      <c r="MD245" s="6"/>
      <c r="ME245" s="6"/>
      <c r="MF245" s="6"/>
      <c r="MG245" s="6"/>
      <c r="MH245" s="6"/>
      <c r="MI245" s="6"/>
      <c r="MJ245" s="6"/>
      <c r="MK245" s="6"/>
      <c r="ML245" s="6"/>
      <c r="MM245" s="6"/>
      <c r="MN245" s="6"/>
      <c r="MO245" s="6"/>
      <c r="MP245" s="6"/>
      <c r="MQ245" s="6"/>
      <c r="MR245" s="6"/>
      <c r="MS245" s="6"/>
      <c r="MT245" s="6"/>
      <c r="MU245" s="6"/>
      <c r="MV245" s="6"/>
      <c r="MW245" s="6"/>
      <c r="MX245" s="6"/>
      <c r="MY245" s="6"/>
      <c r="MZ245" s="6"/>
      <c r="NA245" s="6"/>
      <c r="NB245" s="6"/>
      <c r="NC245" s="6"/>
      <c r="ND245" s="6"/>
      <c r="NE245" s="6"/>
      <c r="NF245" s="6"/>
      <c r="NG245" s="6"/>
      <c r="NH245" s="6"/>
      <c r="NI245" s="6"/>
      <c r="NJ245" s="6"/>
      <c r="NK245" s="6"/>
      <c r="NL245" s="6"/>
      <c r="NM245" s="6"/>
      <c r="NN245" s="6"/>
      <c r="NO245" s="6"/>
      <c r="NP245" s="6"/>
      <c r="NQ245" s="6"/>
      <c r="NR245" s="6"/>
      <c r="NS245" s="6"/>
      <c r="NT245" s="6"/>
      <c r="NU245" s="6"/>
      <c r="NV245" s="6"/>
      <c r="NW245" s="6"/>
      <c r="NX245" s="6"/>
      <c r="NY245" s="6"/>
      <c r="NZ245" s="6"/>
      <c r="OA245" s="6"/>
      <c r="OB245" s="6"/>
      <c r="OC245" s="6"/>
      <c r="OD245" s="6"/>
      <c r="OE245" s="6"/>
      <c r="OF245" s="6"/>
      <c r="OG245" s="6"/>
      <c r="OH245" s="6"/>
      <c r="OI245" s="6"/>
      <c r="OJ245" s="6"/>
      <c r="OK245" s="6"/>
      <c r="OL245" s="6"/>
      <c r="OM245" s="6"/>
      <c r="ON245" s="6"/>
      <c r="OO245" s="6"/>
      <c r="OP245" s="6"/>
      <c r="OQ245" s="6"/>
      <c r="OR245" s="6"/>
      <c r="OS245" s="6"/>
      <c r="OT245" s="6"/>
      <c r="OU245" s="6"/>
      <c r="OV245" s="6"/>
      <c r="OW245" s="6"/>
      <c r="OX245" s="6"/>
      <c r="OY245" s="6"/>
      <c r="OZ245" s="6"/>
      <c r="PA245" s="6"/>
      <c r="PB245" s="6"/>
      <c r="PC245" s="6"/>
      <c r="PD245" s="6"/>
      <c r="PE245" s="6"/>
      <c r="PF245" s="6"/>
      <c r="PG245" s="6"/>
      <c r="PH245" s="6"/>
      <c r="PI245" s="6"/>
      <c r="PJ245" s="6"/>
      <c r="PK245" s="6"/>
      <c r="PL245" s="6"/>
      <c r="PM245" s="6"/>
      <c r="PN245" s="6"/>
      <c r="PO245" s="6"/>
      <c r="PP245" s="6"/>
      <c r="PQ245" s="6"/>
      <c r="PR245" s="6"/>
      <c r="PS245" s="6"/>
      <c r="PT245" s="6"/>
      <c r="PU245" s="6"/>
      <c r="PV245" s="6"/>
      <c r="PW245" s="6"/>
      <c r="PX245" s="6"/>
      <c r="PY245" s="6"/>
      <c r="PZ245" s="6"/>
      <c r="QA245" s="6"/>
      <c r="QB245" s="6"/>
      <c r="QC245" s="6"/>
      <c r="QD245" s="6"/>
      <c r="QE245" s="6"/>
      <c r="QF245" s="6"/>
      <c r="QG245" s="6"/>
      <c r="QH245" s="6"/>
      <c r="QI245" s="6"/>
      <c r="QJ245" s="6"/>
      <c r="QK245" s="6"/>
      <c r="QL245" s="6"/>
      <c r="QM245" s="6"/>
      <c r="QN245" s="6"/>
      <c r="QO245" s="6"/>
      <c r="QP245" s="6"/>
      <c r="QQ245" s="6"/>
      <c r="QR245" s="6"/>
      <c r="QS245" s="6"/>
      <c r="QT245" s="6"/>
      <c r="QU245" s="6"/>
      <c r="QV245" s="6"/>
      <c r="QW245" s="6"/>
      <c r="QX245" s="6"/>
      <c r="QY245" s="6"/>
      <c r="QZ245" s="6"/>
      <c r="RA245" s="6"/>
      <c r="RB245" s="6"/>
      <c r="RC245" s="6"/>
      <c r="RD245" s="6"/>
      <c r="RE245" s="6"/>
      <c r="RF245" s="6"/>
      <c r="RG245" s="6"/>
      <c r="RH245" s="6"/>
      <c r="RI245" s="6"/>
      <c r="RJ245" s="6"/>
      <c r="RK245" s="6"/>
      <c r="RL245" s="6"/>
      <c r="RM245" s="6"/>
      <c r="RN245" s="6"/>
      <c r="RO245" s="6"/>
      <c r="RP245" s="6"/>
      <c r="RQ245" s="6"/>
      <c r="RR245" s="6"/>
      <c r="RS245" s="6"/>
      <c r="RT245" s="6"/>
      <c r="RU245" s="6"/>
      <c r="RV245" s="6"/>
      <c r="RW245" s="6"/>
      <c r="RX245" s="6"/>
      <c r="RY245" s="6"/>
      <c r="RZ245" s="6"/>
      <c r="SA245" s="6"/>
      <c r="SB245" s="6"/>
      <c r="SC245" s="6"/>
      <c r="SD245" s="6"/>
      <c r="SE245" s="6"/>
      <c r="SF245" s="6"/>
      <c r="SG245" s="6"/>
      <c r="SH245" s="6"/>
      <c r="SI245" s="6"/>
      <c r="SJ245" s="6"/>
      <c r="SK245" s="6"/>
      <c r="SL245" s="6"/>
      <c r="SM245" s="6"/>
      <c r="SN245" s="6"/>
      <c r="SO245" s="6"/>
      <c r="SP245" s="6"/>
      <c r="SQ245" s="6"/>
      <c r="SR245" s="6"/>
      <c r="SS245" s="6"/>
      <c r="ST245" s="6"/>
      <c r="SU245" s="6"/>
      <c r="SV245" s="6"/>
      <c r="SW245" s="6"/>
      <c r="SX245" s="6"/>
      <c r="SY245" s="6"/>
      <c r="SZ245" s="6"/>
      <c r="TA245" s="6"/>
      <c r="TB245" s="6"/>
      <c r="TC245" s="6"/>
      <c r="TD245" s="6"/>
      <c r="TE245" s="6"/>
      <c r="TF245" s="6"/>
      <c r="TG245" s="6"/>
      <c r="TH245" s="6"/>
      <c r="TI245" s="6"/>
      <c r="TJ245" s="6"/>
      <c r="TK245" s="6"/>
      <c r="TL245" s="6"/>
      <c r="TM245" s="6"/>
      <c r="TN245" s="6"/>
      <c r="TO245" s="6"/>
      <c r="TP245" s="6"/>
      <c r="TQ245" s="6"/>
      <c r="TR245" s="6"/>
      <c r="TS245" s="6"/>
      <c r="TT245" s="6"/>
      <c r="TU245" s="6"/>
      <c r="TV245" s="6"/>
      <c r="TW245" s="6"/>
      <c r="TX245" s="6"/>
      <c r="TY245" s="6"/>
      <c r="TZ245" s="6"/>
      <c r="UA245" s="6"/>
      <c r="UB245" s="6"/>
      <c r="UC245" s="6"/>
      <c r="UD245" s="6"/>
      <c r="UE245" s="6"/>
      <c r="UF245" s="6"/>
      <c r="UG245" s="6"/>
      <c r="UH245" s="6"/>
      <c r="UI245" s="6"/>
      <c r="UJ245" s="6"/>
      <c r="UK245" s="6"/>
      <c r="UL245" s="6"/>
      <c r="UM245" s="6"/>
      <c r="UN245" s="6"/>
      <c r="UO245" s="6"/>
      <c r="UP245" s="6"/>
      <c r="UQ245" s="6"/>
      <c r="UR245" s="6"/>
      <c r="US245" s="6"/>
      <c r="UT245" s="6"/>
      <c r="UU245" s="6"/>
      <c r="UV245" s="6"/>
      <c r="UW245" s="6"/>
      <c r="UX245" s="6"/>
      <c r="UY245" s="6"/>
      <c r="UZ245" s="6"/>
      <c r="VA245" s="6"/>
      <c r="VB245" s="6"/>
      <c r="VC245" s="6"/>
      <c r="VD245" s="6"/>
      <c r="VE245" s="6"/>
      <c r="VF245" s="6"/>
      <c r="VG245" s="6"/>
      <c r="VH245" s="6"/>
      <c r="VI245" s="6"/>
      <c r="VJ245" s="6"/>
      <c r="VK245" s="6"/>
      <c r="VL245" s="6"/>
      <c r="VM245" s="6"/>
      <c r="VN245" s="6"/>
      <c r="VO245" s="6"/>
      <c r="VP245" s="6"/>
      <c r="VQ245" s="6"/>
      <c r="VR245" s="6"/>
      <c r="VS245" s="6"/>
      <c r="VT245" s="6"/>
      <c r="VU245" s="6"/>
      <c r="VV245" s="6"/>
      <c r="VW245" s="6"/>
      <c r="VX245" s="6"/>
      <c r="VY245" s="6"/>
      <c r="VZ245" s="6"/>
      <c r="WA245" s="6"/>
      <c r="WB245" s="6"/>
      <c r="WC245" s="6"/>
      <c r="WD245" s="6"/>
      <c r="WE245" s="6"/>
      <c r="WF245" s="6"/>
      <c r="WG245" s="6"/>
      <c r="WH245" s="6"/>
      <c r="WI245" s="6"/>
      <c r="WJ245" s="6"/>
      <c r="WK245" s="6"/>
      <c r="WL245" s="6"/>
      <c r="WM245" s="6"/>
      <c r="WN245" s="6"/>
      <c r="WO245" s="6"/>
      <c r="WP245" s="6"/>
      <c r="WQ245" s="6"/>
      <c r="WR245" s="6"/>
      <c r="WS245" s="6"/>
      <c r="WT245" s="6"/>
      <c r="WU245" s="6"/>
      <c r="WV245" s="6"/>
      <c r="WW245" s="6"/>
      <c r="WX245" s="6"/>
      <c r="WY245" s="6"/>
      <c r="WZ245" s="6"/>
      <c r="XA245" s="6"/>
      <c r="XB245" s="6"/>
      <c r="XC245" s="6"/>
      <c r="XD245" s="6"/>
      <c r="XE245" s="6"/>
      <c r="XF245" s="6"/>
      <c r="XG245" s="6"/>
      <c r="XH245" s="6"/>
      <c r="XI245" s="6"/>
      <c r="XJ245" s="6"/>
      <c r="XK245" s="6"/>
      <c r="XL245" s="6"/>
      <c r="XM245" s="6"/>
      <c r="XN245" s="6"/>
      <c r="XO245" s="6"/>
      <c r="XP245" s="6"/>
      <c r="XQ245" s="6"/>
      <c r="XR245" s="6"/>
      <c r="XS245" s="6"/>
      <c r="XT245" s="6"/>
      <c r="XU245" s="6"/>
      <c r="XV245" s="6"/>
      <c r="XW245" s="6"/>
      <c r="XX245" s="6"/>
      <c r="XY245" s="6"/>
      <c r="XZ245" s="6"/>
      <c r="YA245" s="6"/>
      <c r="YB245" s="6"/>
      <c r="YC245" s="6"/>
      <c r="YD245" s="6"/>
      <c r="YE245" s="6"/>
      <c r="YF245" s="6"/>
      <c r="YG245" s="6"/>
      <c r="YH245" s="6"/>
      <c r="YI245" s="6"/>
      <c r="YJ245" s="6"/>
      <c r="YK245" s="6"/>
      <c r="YL245" s="6"/>
      <c r="YM245" s="6"/>
      <c r="YN245" s="6"/>
      <c r="YO245" s="6"/>
      <c r="YP245" s="6"/>
      <c r="YQ245" s="6"/>
      <c r="YR245" s="6"/>
      <c r="YS245" s="6"/>
      <c r="YT245" s="6"/>
      <c r="YU245" s="6"/>
      <c r="YV245" s="6"/>
      <c r="YW245" s="6"/>
      <c r="YX245" s="6"/>
      <c r="YY245" s="6"/>
      <c r="YZ245" s="6"/>
      <c r="ZA245" s="6"/>
      <c r="ZB245" s="6"/>
      <c r="ZC245" s="6"/>
      <c r="ZD245" s="6"/>
      <c r="ZE245" s="6"/>
      <c r="ZF245" s="6"/>
      <c r="ZG245" s="6"/>
      <c r="ZH245" s="6"/>
      <c r="ZI245" s="6"/>
      <c r="ZJ245" s="6"/>
      <c r="ZK245" s="6"/>
      <c r="ZL245" s="6"/>
      <c r="ZM245" s="6"/>
      <c r="ZN245" s="6"/>
      <c r="ZO245" s="6"/>
      <c r="ZP245" s="6"/>
      <c r="ZQ245" s="6"/>
      <c r="ZR245" s="6"/>
      <c r="ZS245" s="6"/>
      <c r="ZT245" s="6"/>
      <c r="ZU245" s="6"/>
      <c r="ZV245" s="6"/>
      <c r="ZW245" s="6"/>
      <c r="ZX245" s="6"/>
      <c r="ZY245" s="6"/>
      <c r="ZZ245" s="6"/>
      <c r="AAA245" s="6"/>
      <c r="AAB245" s="6"/>
      <c r="AAC245" s="6"/>
      <c r="AAD245" s="6"/>
      <c r="AAE245" s="6"/>
      <c r="AAF245" s="6"/>
      <c r="AAG245" s="6"/>
      <c r="AAH245" s="6"/>
      <c r="AAI245" s="6"/>
      <c r="AAJ245" s="6"/>
      <c r="AAK245" s="6"/>
      <c r="AAL245" s="6"/>
      <c r="AAM245" s="6"/>
      <c r="AAN245" s="6"/>
      <c r="AAO245" s="6"/>
      <c r="AAP245" s="6"/>
      <c r="AAQ245" s="6"/>
      <c r="AAR245" s="6"/>
      <c r="AAS245" s="6"/>
      <c r="AAT245" s="6"/>
      <c r="AAU245" s="6"/>
      <c r="AAV245" s="6"/>
      <c r="AAW245" s="6"/>
      <c r="AAX245" s="6"/>
      <c r="AAY245" s="6"/>
      <c r="AAZ245" s="6"/>
      <c r="ABA245" s="6"/>
      <c r="ABB245" s="6"/>
      <c r="ABC245" s="6"/>
      <c r="ABD245" s="6"/>
      <c r="ABE245" s="6"/>
      <c r="ABF245" s="6"/>
      <c r="ABG245" s="6"/>
      <c r="ABH245" s="6"/>
      <c r="ABI245" s="6"/>
      <c r="ABJ245" s="6"/>
      <c r="ABK245" s="6"/>
      <c r="ABL245" s="6"/>
      <c r="ABM245" s="6"/>
      <c r="ABN245" s="6"/>
      <c r="ABO245" s="6"/>
      <c r="ABP245" s="6"/>
      <c r="ABQ245" s="6"/>
      <c r="ABR245" s="6"/>
      <c r="ABS245" s="6"/>
      <c r="ABT245" s="6"/>
      <c r="ABU245" s="6"/>
      <c r="ABV245" s="6"/>
      <c r="ABW245" s="6"/>
      <c r="ABX245" s="6"/>
      <c r="ABY245" s="6"/>
      <c r="ABZ245" s="6"/>
      <c r="ACA245" s="6"/>
      <c r="ACB245" s="6"/>
      <c r="ACC245" s="6"/>
      <c r="ACD245" s="6"/>
      <c r="ACE245" s="6"/>
      <c r="ACF245" s="6"/>
      <c r="ACG245" s="6"/>
      <c r="ACH245" s="6"/>
      <c r="ACI245" s="6"/>
      <c r="ACJ245" s="6"/>
      <c r="ACK245" s="6"/>
      <c r="ACL245" s="6"/>
      <c r="ACM245" s="6"/>
      <c r="ACN245" s="6"/>
      <c r="ACO245" s="6"/>
      <c r="ACP245" s="6"/>
      <c r="ACQ245" s="6"/>
      <c r="ACR245" s="6"/>
      <c r="ACS245" s="6"/>
      <c r="ACT245" s="6"/>
      <c r="ACU245" s="6"/>
      <c r="ACV245" s="6"/>
      <c r="ACW245" s="6"/>
      <c r="ACX245" s="6"/>
      <c r="ACY245" s="6"/>
      <c r="ACZ245" s="6"/>
      <c r="ADA245" s="6"/>
      <c r="ADB245" s="6"/>
      <c r="ADC245" s="6"/>
      <c r="ADD245" s="6"/>
      <c r="ADE245" s="6"/>
      <c r="ADF245" s="6"/>
      <c r="ADG245" s="6"/>
      <c r="ADH245" s="6"/>
      <c r="ADI245" s="6"/>
      <c r="ADJ245" s="6"/>
      <c r="ADK245" s="6"/>
      <c r="ADL245" s="6"/>
      <c r="ADM245" s="6"/>
      <c r="ADN245" s="6"/>
      <c r="ADO245" s="6"/>
      <c r="ADP245" s="6"/>
      <c r="ADQ245" s="6"/>
      <c r="ADR245" s="6"/>
      <c r="ADS245" s="6"/>
      <c r="ADT245" s="6"/>
      <c r="ADU245" s="6"/>
      <c r="ADV245" s="6"/>
      <c r="ADW245" s="6"/>
      <c r="ADX245" s="6"/>
      <c r="ADY245" s="6"/>
      <c r="ADZ245" s="6"/>
      <c r="AEA245" s="6"/>
      <c r="AEB245" s="6"/>
      <c r="AEC245" s="6"/>
      <c r="AED245" s="6"/>
      <c r="AEE245" s="6"/>
      <c r="AEF245" s="6"/>
      <c r="AEG245" s="6"/>
      <c r="AEH245" s="6"/>
      <c r="AEI245" s="6"/>
      <c r="AEJ245" s="6"/>
      <c r="AEK245" s="6"/>
      <c r="AEL245" s="6"/>
      <c r="AEM245" s="6"/>
      <c r="AEN245" s="6"/>
      <c r="AEO245" s="6"/>
      <c r="AEP245" s="6"/>
      <c r="AEQ245" s="6"/>
      <c r="AER245" s="6"/>
      <c r="AES245" s="6"/>
      <c r="AET245" s="6"/>
      <c r="AEU245" s="6"/>
      <c r="AEV245" s="6"/>
      <c r="AEW245" s="6"/>
      <c r="AEX245" s="6"/>
      <c r="AEY245" s="6"/>
      <c r="AEZ245" s="6"/>
      <c r="AFA245" s="6"/>
      <c r="AFB245" s="6"/>
      <c r="AFC245" s="6"/>
      <c r="AFD245" s="6"/>
      <c r="AFE245" s="6"/>
      <c r="AFF245" s="6"/>
      <c r="AFG245" s="6"/>
      <c r="AFH245" s="6"/>
      <c r="AFI245" s="6"/>
      <c r="AFJ245" s="6"/>
      <c r="AFK245" s="6"/>
      <c r="AFL245" s="6"/>
      <c r="AFM245" s="6"/>
      <c r="AFN245" s="6"/>
      <c r="AFO245" s="6"/>
      <c r="AFP245" s="6"/>
      <c r="AFQ245" s="6"/>
      <c r="AFR245" s="6"/>
      <c r="AFS245" s="6"/>
      <c r="AFT245" s="6"/>
      <c r="AFU245" s="6"/>
      <c r="AFV245" s="6"/>
      <c r="AFW245" s="6"/>
      <c r="AFX245" s="6"/>
      <c r="AFY245" s="6"/>
      <c r="AFZ245" s="6"/>
      <c r="AGA245" s="6"/>
      <c r="AGB245" s="6"/>
      <c r="AGC245" s="6"/>
      <c r="AGD245" s="6"/>
      <c r="AGE245" s="6"/>
      <c r="AGF245" s="6"/>
      <c r="AGG245" s="6"/>
      <c r="AGH245" s="6"/>
      <c r="AGI245" s="6"/>
      <c r="AGJ245" s="6"/>
      <c r="AGK245" s="6"/>
      <c r="AGL245" s="6"/>
      <c r="AGM245" s="6"/>
      <c r="AGN245" s="6"/>
      <c r="AGO245" s="6"/>
      <c r="AGP245" s="6"/>
      <c r="AGQ245" s="6"/>
      <c r="AGR245" s="6"/>
      <c r="AGS245" s="6"/>
      <c r="AGT245" s="6"/>
      <c r="AGU245" s="6"/>
      <c r="AGV245" s="6"/>
      <c r="AGW245" s="6"/>
      <c r="AGX245" s="6"/>
      <c r="AGY245" s="6"/>
      <c r="AGZ245" s="6"/>
      <c r="AHA245" s="6"/>
      <c r="AHB245" s="6"/>
      <c r="AHC245" s="6"/>
      <c r="AHD245" s="6"/>
      <c r="AHE245" s="6"/>
      <c r="AHF245" s="6"/>
      <c r="AHG245" s="6"/>
      <c r="AHH245" s="6"/>
      <c r="AHI245" s="6"/>
      <c r="AHJ245" s="6"/>
      <c r="AHK245" s="6"/>
      <c r="AHL245" s="6"/>
      <c r="AHM245" s="6"/>
      <c r="AHN245" s="6"/>
      <c r="AHO245" s="6"/>
      <c r="AHP245" s="6"/>
      <c r="AHQ245" s="6"/>
      <c r="AHR245" s="6"/>
      <c r="AHS245" s="6"/>
      <c r="AHT245" s="6"/>
      <c r="AHU245" s="6"/>
      <c r="AHV245" s="6"/>
      <c r="AHW245" s="6"/>
      <c r="AHX245" s="6"/>
      <c r="AHY245" s="6"/>
      <c r="AHZ245" s="6"/>
      <c r="AIA245" s="6"/>
      <c r="AIB245" s="6"/>
      <c r="AIC245" s="6"/>
      <c r="AID245" s="6"/>
      <c r="AIE245" s="6"/>
      <c r="AIF245" s="6"/>
      <c r="AIG245" s="6"/>
      <c r="AIH245" s="6"/>
      <c r="AII245" s="6"/>
      <c r="AIJ245" s="6"/>
      <c r="AIK245" s="6"/>
      <c r="AIL245" s="6"/>
      <c r="AIM245" s="6"/>
      <c r="AIN245" s="6"/>
      <c r="AIO245" s="6"/>
      <c r="AIP245" s="6"/>
      <c r="AIQ245" s="6"/>
      <c r="AIR245" s="6"/>
      <c r="AIS245" s="6"/>
      <c r="AIT245" s="6"/>
      <c r="AIU245" s="6"/>
      <c r="AIV245" s="6"/>
      <c r="AIW245" s="6"/>
      <c r="AIX245" s="6"/>
      <c r="AIY245" s="6"/>
      <c r="AIZ245" s="6"/>
      <c r="AJA245" s="6"/>
      <c r="AJB245" s="6"/>
      <c r="AJC245" s="6"/>
      <c r="AJD245" s="6"/>
      <c r="AJE245" s="6"/>
      <c r="AJF245" s="6"/>
      <c r="AJG245" s="6"/>
      <c r="AJH245" s="6"/>
      <c r="AJI245" s="6"/>
      <c r="AJJ245" s="6"/>
      <c r="AJK245" s="6"/>
      <c r="AJL245" s="6"/>
      <c r="AJM245" s="6"/>
      <c r="AJN245" s="6"/>
      <c r="AJO245" s="6"/>
      <c r="AJP245" s="6"/>
      <c r="AJQ245" s="6"/>
      <c r="AJR245" s="6"/>
      <c r="AJS245" s="6"/>
      <c r="AJT245" s="6"/>
      <c r="AJU245" s="6"/>
      <c r="AJV245" s="6"/>
      <c r="AJW245" s="6"/>
      <c r="AJX245" s="6"/>
      <c r="AJY245" s="6"/>
      <c r="AJZ245" s="6"/>
      <c r="AKA245" s="6"/>
      <c r="AKB245" s="6"/>
      <c r="AKC245" s="6"/>
      <c r="AKD245" s="6"/>
      <c r="AKE245" s="6"/>
      <c r="AKF245" s="6"/>
      <c r="AKG245" s="6"/>
      <c r="AKH245" s="6"/>
      <c r="AKI245" s="6"/>
      <c r="AKJ245" s="6"/>
      <c r="AKK245" s="6"/>
      <c r="AKL245" s="6"/>
      <c r="AKM245" s="6"/>
      <c r="AKN245" s="6"/>
      <c r="AKO245" s="6"/>
      <c r="AKP245" s="6"/>
      <c r="AKQ245" s="6"/>
      <c r="AKR245" s="6"/>
      <c r="AKS245" s="6"/>
      <c r="AKT245" s="6"/>
      <c r="AKU245" s="6"/>
      <c r="AKV245" s="6"/>
      <c r="AKW245" s="6"/>
      <c r="AKX245" s="6"/>
      <c r="AKY245" s="6"/>
      <c r="AKZ245" s="6"/>
      <c r="ALA245" s="6"/>
      <c r="ALB245" s="6"/>
      <c r="ALC245" s="6"/>
      <c r="ALD245" s="6"/>
      <c r="ALE245" s="6"/>
      <c r="ALF245" s="6"/>
      <c r="ALG245" s="6"/>
      <c r="ALH245" s="6"/>
      <c r="ALI245" s="6"/>
      <c r="ALJ245" s="6"/>
      <c r="ALK245" s="6"/>
      <c r="ALL245" s="6"/>
      <c r="ALM245" s="6"/>
      <c r="ALN245" s="6"/>
      <c r="ALO245" s="6"/>
      <c r="ALP245" s="6"/>
      <c r="ALQ245" s="6"/>
      <c r="ALR245" s="6"/>
      <c r="ALS245" s="6"/>
      <c r="ALT245" s="6"/>
      <c r="ALU245" s="6"/>
      <c r="ALV245" s="6"/>
      <c r="ALW245" s="6"/>
      <c r="ALX245" s="6"/>
      <c r="ALY245" s="6"/>
      <c r="ALZ245" s="6"/>
      <c r="AMA245" s="6"/>
      <c r="AMB245" s="6"/>
      <c r="AMC245" s="6"/>
      <c r="AMD245" s="6"/>
      <c r="AME245" s="6"/>
      <c r="AMF245" s="6"/>
      <c r="AMG245" s="6"/>
      <c r="AMH245" s="6"/>
      <c r="AMI245" s="6"/>
      <c r="AMJ245" s="6"/>
      <c r="AMK245" s="6"/>
      <c r="AML245" s="6"/>
      <c r="AMM245" s="6"/>
      <c r="AMN245" s="6"/>
      <c r="AMO245" s="6"/>
      <c r="AMP245" s="6"/>
    </row>
    <row r="246" spans="1:1030" x14ac:dyDescent="0.2">
      <c r="A246" s="3" t="str">
        <f t="shared" si="1005"/>
        <v>opsd_bovin_4J4Q</v>
      </c>
      <c r="B246" s="3" t="s">
        <v>920</v>
      </c>
      <c r="C246" s="3" t="s">
        <v>1044</v>
      </c>
      <c r="D246" s="3" t="str">
        <f>IFERROR(MID(VLOOKUP($B246,Seqs!$A:$B,2,0),E246,1),"")</f>
        <v>E</v>
      </c>
      <c r="E246" s="105">
        <v>33</v>
      </c>
      <c r="F246" s="3" t="str">
        <f>IFERROR(MID(VLOOKUP($B246,Seqs!$A:$B,2,0),G246,1),"")</f>
        <v>H</v>
      </c>
      <c r="G246" s="3">
        <v>65</v>
      </c>
      <c r="H246" s="3" t="str">
        <f>IFERROR(MID(VLOOKUP($B246,Seqs!$A:$B,2,0),I246,1),"")</f>
        <v>K</v>
      </c>
      <c r="I246" s="23">
        <v>66</v>
      </c>
      <c r="J246" s="3" t="str">
        <f>IFERROR(MID(VLOOKUP($B246,Seqs!$A:$B,2,0),K246,1),"")</f>
        <v>R</v>
      </c>
      <c r="K246" s="23">
        <v>69</v>
      </c>
      <c r="L246" s="3" t="str">
        <f>IFERROR(MID(VLOOKUP($B246,Seqs!$A:$B,2,0),M246,1),"")</f>
        <v>T</v>
      </c>
      <c r="M246" s="3">
        <v>70</v>
      </c>
      <c r="N246" s="3" t="str">
        <f>IFERROR(MID(VLOOKUP($B246,Seqs!$A:$B,2,0),O246,1),"")</f>
        <v>H</v>
      </c>
      <c r="O246" s="3">
        <v>100</v>
      </c>
      <c r="P246" s="3" t="str">
        <f>IFERROR(MID(VLOOKUP($B246,Seqs!$A:$B,2,0),Q246,1),"")</f>
        <v>Y</v>
      </c>
      <c r="Q246" s="3">
        <v>102</v>
      </c>
      <c r="R246" s="3" t="str">
        <f>IFERROR(MID(VLOOKUP($B246,Seqs!$A:$B,2,0),S246,1),"")</f>
        <v>F</v>
      </c>
      <c r="S246" s="3">
        <v>105</v>
      </c>
      <c r="T246" s="3" t="str">
        <f>IFERROR(MID(VLOOKUP($B246,Seqs!$A:$B,2,0),U246,1),"")</f>
        <v>G</v>
      </c>
      <c r="U246" s="3">
        <v>106</v>
      </c>
      <c r="V246" s="3" t="str">
        <f>IFERROR(MID(VLOOKUP($B246,Seqs!$A:$B,2,0),W246,1),"")</f>
        <v>K</v>
      </c>
      <c r="W246" s="3">
        <v>141</v>
      </c>
      <c r="X246" s="3" t="str">
        <f>IFERROR(MID(VLOOKUP($B246,Seqs!$A:$B,2,0),Y246,1),"")</f>
        <v/>
      </c>
      <c r="Y246" s="3" t="s">
        <v>23</v>
      </c>
      <c r="Z246" s="3" t="str">
        <f>IFERROR(MID(VLOOKUP($B246,Seqs!$A:$B,2,0),AA246,1),"")</f>
        <v/>
      </c>
      <c r="AA246" s="3" t="s">
        <v>23</v>
      </c>
      <c r="AB246" s="3" t="str">
        <f>IFERROR(MID(VLOOKUP($B246,Seqs!$A:$B,2,0),AC246,1),"")</f>
        <v>G</v>
      </c>
      <c r="AC246" s="9">
        <v>149</v>
      </c>
      <c r="AD246" s="3" t="str">
        <f>IFERROR(MID(VLOOKUP($B246,Seqs!$A:$B,2,0),AE246,1),"")</f>
        <v>V</v>
      </c>
      <c r="AE246" s="3">
        <v>173</v>
      </c>
      <c r="AF246" s="3" t="str">
        <f>IFERROR(MID(VLOOKUP($B246,Seqs!$A:$B,2,0),AG246,1),"")</f>
        <v>C</v>
      </c>
      <c r="AG246" s="3">
        <v>187</v>
      </c>
      <c r="AH246" s="3" t="str">
        <f>IFERROR(MID(VLOOKUP($B246,Seqs!$A:$B,2,0),AI246,1),"")</f>
        <v>I</v>
      </c>
      <c r="AI246" s="3">
        <v>189</v>
      </c>
      <c r="AJ246" s="3" t="str">
        <f>IFERROR(MID(VLOOKUP($B246,Seqs!$A:$B,2,0),AK246,1),"")</f>
        <v>N</v>
      </c>
      <c r="AK246" s="3">
        <v>199</v>
      </c>
      <c r="AL246" s="3" t="str">
        <f>IFERROR(MID(VLOOKUP($B246,Seqs!$A:$B,2,0),AM246,1),"")</f>
        <v>Q</v>
      </c>
      <c r="AM246" s="3">
        <v>237</v>
      </c>
      <c r="AN246" s="3" t="str">
        <f>IFERROR(MID(VLOOKUP($B246,Seqs!$A:$B,2,0),AO246,1),"")</f>
        <v>A</v>
      </c>
      <c r="AO246" s="3">
        <v>241</v>
      </c>
      <c r="AP246" s="3" t="str">
        <f>IFERROR(MID(VLOOKUP($B246,Seqs!$A:$B,2,0),AQ246,1),"")</f>
        <v>H</v>
      </c>
      <c r="AQ246" s="3">
        <v>278</v>
      </c>
      <c r="AR246" s="3" t="str">
        <f>IFERROR(MID(VLOOKUP($B246,Seqs!$A:$B,2,0),AS246,1),"")</f>
        <v>G</v>
      </c>
      <c r="AS246" s="3">
        <v>284</v>
      </c>
      <c r="AT246" s="3" t="str">
        <f>IFERROR(MID(VLOOKUP($B246,Seqs!$A:$B,2,0),AU246,1),"")</f>
        <v>M</v>
      </c>
      <c r="AU246" s="3">
        <v>309</v>
      </c>
      <c r="AV246" s="3" t="str">
        <f>IFERROR(MID(VLOOKUP($B246,Seqs!$A:$B,2,0),AW246,1),"")</f>
        <v>N</v>
      </c>
      <c r="AW246" s="3">
        <v>310</v>
      </c>
      <c r="AX246" s="3" t="str">
        <f>IFERROR(MID(VLOOKUP($B246,Seqs!$A:$B,2,0),AY246,1),"")</f>
        <v>C</v>
      </c>
      <c r="AY246" s="3">
        <v>322</v>
      </c>
      <c r="AZ246" s="77" t="str">
        <f>VLOOKUP(B246,Classification!A:D,2,0)</f>
        <v>A</v>
      </c>
      <c r="BA246" s="94" t="str">
        <f>VLOOKUP(B246,Classification!A:D,4,0)</f>
        <v>Opsins</v>
      </c>
      <c r="BB246" s="27" t="b">
        <f t="shared" si="1006"/>
        <v>1</v>
      </c>
      <c r="BC246" s="23">
        <f t="shared" ref="BC246:BC307" si="1426">_xlfn.AGGREGATE(9,6,CH246:CS246)-_xlfn.AGGREGATE(9,6,BV246:CG246)+12</f>
        <v>253</v>
      </c>
      <c r="BD246" s="4" t="s">
        <v>23</v>
      </c>
      <c r="BE246" s="3" t="s">
        <v>1292</v>
      </c>
      <c r="BF246" s="119">
        <v>2.65</v>
      </c>
      <c r="BG246" s="49" t="s">
        <v>1378</v>
      </c>
      <c r="BH246" s="49" t="s">
        <v>1378</v>
      </c>
      <c r="BI246" s="1"/>
      <c r="BJ246" s="70" t="s">
        <v>1288</v>
      </c>
      <c r="BK246" s="57" t="s">
        <v>1288</v>
      </c>
      <c r="BL246" s="57" t="s">
        <v>1288</v>
      </c>
      <c r="BM246" s="57" t="s">
        <v>1288</v>
      </c>
      <c r="BN246" s="57" t="s">
        <v>1288</v>
      </c>
      <c r="BO246" s="57" t="s">
        <v>1288</v>
      </c>
      <c r="BP246" s="57" t="s">
        <v>1288</v>
      </c>
      <c r="BQ246" s="57" t="s">
        <v>1288</v>
      </c>
      <c r="BR246" s="57" t="s">
        <v>1288</v>
      </c>
      <c r="BS246" s="57" t="s">
        <v>1288</v>
      </c>
      <c r="BT246" s="57" t="s">
        <v>1288</v>
      </c>
      <c r="BU246" s="57" t="s">
        <v>1288</v>
      </c>
      <c r="BV246" s="70">
        <f t="shared" ref="BV246:BV307" si="1427">E246</f>
        <v>33</v>
      </c>
      <c r="BW246" s="71">
        <f t="shared" ref="BW246:BW307" si="1428">I246</f>
        <v>66</v>
      </c>
      <c r="BX246" s="72">
        <f t="shared" ref="BX246:BX307" si="1429">M246</f>
        <v>70</v>
      </c>
      <c r="BY246" s="71">
        <f t="shared" ref="BY246:BY307" si="1430">Q246</f>
        <v>102</v>
      </c>
      <c r="BZ246" s="72">
        <f t="shared" ref="BZ246:BZ307" si="1431">U246</f>
        <v>106</v>
      </c>
      <c r="CA246" s="71" t="str">
        <f t="shared" ref="CA246:CA307" si="1432">Y246</f>
        <v>-</v>
      </c>
      <c r="CB246" s="72">
        <f t="shared" ref="CB246:CB307" si="1433">AC246</f>
        <v>149</v>
      </c>
      <c r="CC246" s="71">
        <f t="shared" ref="CC246:CC307" si="1434">AG246</f>
        <v>187</v>
      </c>
      <c r="CD246" s="72">
        <f t="shared" ref="CD246:CD307" si="1435">AK246</f>
        <v>199</v>
      </c>
      <c r="CE246" s="71">
        <f t="shared" ref="CE246:CE307" si="1436">AO246</f>
        <v>241</v>
      </c>
      <c r="CF246" s="72">
        <f t="shared" ref="CF246:CF307" si="1437">AS246</f>
        <v>284</v>
      </c>
      <c r="CG246" s="71">
        <f t="shared" ref="CG246:CG307" si="1438">AW246</f>
        <v>310</v>
      </c>
      <c r="CH246" s="70">
        <f t="shared" ref="CH246:CH307" si="1439">G246</f>
        <v>65</v>
      </c>
      <c r="CI246" s="71">
        <f t="shared" ref="CI246:CI307" si="1440">K246</f>
        <v>69</v>
      </c>
      <c r="CJ246" s="72">
        <f t="shared" ref="CJ246:CJ307" si="1441">O246</f>
        <v>100</v>
      </c>
      <c r="CK246" s="72">
        <f t="shared" ref="CK246:CK307" si="1442">S246</f>
        <v>105</v>
      </c>
      <c r="CL246" s="72">
        <f t="shared" ref="CL246:CL307" si="1443">W246</f>
        <v>141</v>
      </c>
      <c r="CM246" s="72" t="str">
        <f t="shared" ref="CM246:CM307" si="1444">AA246</f>
        <v>-</v>
      </c>
      <c r="CN246" s="72">
        <f t="shared" ref="CN246:CN307" si="1445">AE246</f>
        <v>173</v>
      </c>
      <c r="CO246" s="72">
        <f t="shared" ref="CO246:CO307" si="1446">AI246</f>
        <v>189</v>
      </c>
      <c r="CP246" s="72">
        <f t="shared" ref="CP246:CP307" si="1447">AM246</f>
        <v>237</v>
      </c>
      <c r="CQ246" s="72">
        <f t="shared" ref="CQ246:CQ307" si="1448">AQ246</f>
        <v>278</v>
      </c>
      <c r="CR246" s="72">
        <f t="shared" ref="CR246:CR307" si="1449">AU246</f>
        <v>309</v>
      </c>
      <c r="CS246" s="72">
        <f t="shared" ref="CS246:CS307" si="1450">AY246</f>
        <v>322</v>
      </c>
      <c r="CT246" s="23">
        <f t="shared" ref="CT246:CT307" si="1451">M246-K246</f>
        <v>1</v>
      </c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</row>
    <row r="247" spans="1:1030" x14ac:dyDescent="0.2">
      <c r="A247" s="3" t="str">
        <f t="shared" si="1005"/>
        <v>opsd_bovin_5DYS</v>
      </c>
      <c r="B247" s="3" t="s">
        <v>920</v>
      </c>
      <c r="C247" s="3" t="s">
        <v>1358</v>
      </c>
      <c r="D247" s="3" t="str">
        <f>IFERROR(MID(VLOOKUP($B247,Seqs!$A:$B,2,0),E247,1),"")</f>
        <v>E</v>
      </c>
      <c r="E247" s="105">
        <v>33</v>
      </c>
      <c r="F247" s="3" t="str">
        <f>IFERROR(MID(VLOOKUP($B247,Seqs!$A:$B,2,0),G247,1),"")</f>
        <v>H</v>
      </c>
      <c r="G247" s="3">
        <v>65</v>
      </c>
      <c r="H247" s="3" t="str">
        <f>IFERROR(MID(VLOOKUP($B247,Seqs!$A:$B,2,0),I247,1),"")</f>
        <v>K</v>
      </c>
      <c r="I247" s="23">
        <v>66</v>
      </c>
      <c r="J247" s="3" t="str">
        <f>IFERROR(MID(VLOOKUP($B247,Seqs!$A:$B,2,0),K247,1),"")</f>
        <v>R</v>
      </c>
      <c r="K247" s="23">
        <v>69</v>
      </c>
      <c r="L247" s="3" t="str">
        <f>IFERROR(MID(VLOOKUP($B247,Seqs!$A:$B,2,0),M247,1),"")</f>
        <v>T</v>
      </c>
      <c r="M247" s="3">
        <v>70</v>
      </c>
      <c r="N247" s="3" t="str">
        <f>IFERROR(MID(VLOOKUP($B247,Seqs!$A:$B,2,0),O247,1),"")</f>
        <v>H</v>
      </c>
      <c r="O247" s="3">
        <v>100</v>
      </c>
      <c r="P247" s="3" t="str">
        <f>IFERROR(MID(VLOOKUP($B247,Seqs!$A:$B,2,0),Q247,1),"")</f>
        <v>Y</v>
      </c>
      <c r="Q247" s="3">
        <v>102</v>
      </c>
      <c r="R247" s="3" t="str">
        <f>IFERROR(MID(VLOOKUP($B247,Seqs!$A:$B,2,0),S247,1),"")</f>
        <v>F</v>
      </c>
      <c r="S247" s="3">
        <v>105</v>
      </c>
      <c r="T247" s="3" t="str">
        <f>IFERROR(MID(VLOOKUP($B247,Seqs!$A:$B,2,0),U247,1),"")</f>
        <v>G</v>
      </c>
      <c r="U247" s="3">
        <v>106</v>
      </c>
      <c r="V247" s="3" t="str">
        <f>IFERROR(MID(VLOOKUP($B247,Seqs!$A:$B,2,0),W247,1),"")</f>
        <v>K</v>
      </c>
      <c r="W247" s="3">
        <v>141</v>
      </c>
      <c r="X247" s="3" t="str">
        <f>IFERROR(MID(VLOOKUP($B247,Seqs!$A:$B,2,0),Y247,1),"")</f>
        <v/>
      </c>
      <c r="Y247" s="3" t="s">
        <v>23</v>
      </c>
      <c r="Z247" s="3" t="str">
        <f>IFERROR(MID(VLOOKUP($B247,Seqs!$A:$B,2,0),AA247,1),"")</f>
        <v/>
      </c>
      <c r="AA247" s="3" t="s">
        <v>23</v>
      </c>
      <c r="AB247" s="3" t="str">
        <f>IFERROR(MID(VLOOKUP($B247,Seqs!$A:$B,2,0),AC247,1),"")</f>
        <v>G</v>
      </c>
      <c r="AC247" s="9">
        <v>149</v>
      </c>
      <c r="AD247" s="3" t="str">
        <f>IFERROR(MID(VLOOKUP($B247,Seqs!$A:$B,2,0),AE247,1),"")</f>
        <v>V</v>
      </c>
      <c r="AE247" s="3">
        <v>173</v>
      </c>
      <c r="AF247" s="3" t="str">
        <f>IFERROR(MID(VLOOKUP($B247,Seqs!$A:$B,2,0),AG247,1),"")</f>
        <v>C</v>
      </c>
      <c r="AG247" s="3">
        <v>187</v>
      </c>
      <c r="AH247" s="3" t="str">
        <f>IFERROR(MID(VLOOKUP($B247,Seqs!$A:$B,2,0),AI247,1),"")</f>
        <v>I</v>
      </c>
      <c r="AI247" s="3">
        <v>189</v>
      </c>
      <c r="AJ247" s="3" t="str">
        <f>IFERROR(MID(VLOOKUP($B247,Seqs!$A:$B,2,0),AK247,1),"")</f>
        <v>N</v>
      </c>
      <c r="AK247" s="3">
        <v>199</v>
      </c>
      <c r="AL247" s="3" t="str">
        <f>IFERROR(MID(VLOOKUP($B247,Seqs!$A:$B,2,0),AM247,1),"")</f>
        <v>Q</v>
      </c>
      <c r="AM247" s="3">
        <v>237</v>
      </c>
      <c r="AN247" s="3" t="str">
        <f>IFERROR(MID(VLOOKUP($B247,Seqs!$A:$B,2,0),AO247,1),"")</f>
        <v>A</v>
      </c>
      <c r="AO247" s="3">
        <v>241</v>
      </c>
      <c r="AP247" s="3" t="str">
        <f>IFERROR(MID(VLOOKUP($B247,Seqs!$A:$B,2,0),AQ247,1),"")</f>
        <v>H</v>
      </c>
      <c r="AQ247" s="3">
        <v>278</v>
      </c>
      <c r="AR247" s="3" t="str">
        <f>IFERROR(MID(VLOOKUP($B247,Seqs!$A:$B,2,0),AS247,1),"")</f>
        <v>G</v>
      </c>
      <c r="AS247" s="3">
        <v>284</v>
      </c>
      <c r="AT247" s="3" t="str">
        <f>IFERROR(MID(VLOOKUP($B247,Seqs!$A:$B,2,0),AU247,1),"")</f>
        <v>M</v>
      </c>
      <c r="AU247" s="3">
        <v>309</v>
      </c>
      <c r="AV247" s="3" t="str">
        <f>IFERROR(MID(VLOOKUP($B247,Seqs!$A:$B,2,0),AW247,1),"")</f>
        <v>N</v>
      </c>
      <c r="AW247" s="3">
        <v>310</v>
      </c>
      <c r="AX247" s="3" t="str">
        <f>IFERROR(MID(VLOOKUP($B247,Seqs!$A:$B,2,0),AY247,1),"")</f>
        <v>C</v>
      </c>
      <c r="AY247" s="3">
        <v>322</v>
      </c>
      <c r="AZ247" s="77" t="str">
        <f>VLOOKUP(B247,Classification!A:D,2,0)</f>
        <v>A</v>
      </c>
      <c r="BA247" s="94" t="str">
        <f>VLOOKUP(B247,Classification!A:D,4,0)</f>
        <v>Opsins</v>
      </c>
      <c r="BB247" s="27" t="b">
        <f t="shared" si="1006"/>
        <v>1</v>
      </c>
      <c r="BC247" s="23">
        <f t="shared" si="1426"/>
        <v>253</v>
      </c>
      <c r="BD247" s="5" t="s">
        <v>1376</v>
      </c>
      <c r="BE247" s="3" t="s">
        <v>1292</v>
      </c>
      <c r="BF247" s="119">
        <v>2.2999999999999998</v>
      </c>
      <c r="BG247" s="49" t="s">
        <v>1378</v>
      </c>
      <c r="BH247" s="49" t="s">
        <v>1378</v>
      </c>
      <c r="BI247" s="1"/>
      <c r="BJ247" s="70" t="s">
        <v>1288</v>
      </c>
      <c r="BK247" s="57" t="s">
        <v>1288</v>
      </c>
      <c r="BL247" s="57" t="s">
        <v>1288</v>
      </c>
      <c r="BM247" s="57" t="s">
        <v>1288</v>
      </c>
      <c r="BN247" s="57" t="s">
        <v>1288</v>
      </c>
      <c r="BO247" s="57" t="s">
        <v>1288</v>
      </c>
      <c r="BP247" s="57" t="s">
        <v>1288</v>
      </c>
      <c r="BQ247" s="57" t="s">
        <v>1288</v>
      </c>
      <c r="BR247" s="57" t="s">
        <v>1288</v>
      </c>
      <c r="BS247" s="57" t="s">
        <v>1288</v>
      </c>
      <c r="BT247" s="57" t="s">
        <v>1288</v>
      </c>
      <c r="BU247" s="57" t="s">
        <v>1288</v>
      </c>
      <c r="BV247" s="70">
        <f t="shared" si="1427"/>
        <v>33</v>
      </c>
      <c r="BW247" s="71">
        <f t="shared" si="1428"/>
        <v>66</v>
      </c>
      <c r="BX247" s="72">
        <f t="shared" si="1429"/>
        <v>70</v>
      </c>
      <c r="BY247" s="71">
        <f t="shared" si="1430"/>
        <v>102</v>
      </c>
      <c r="BZ247" s="72">
        <f t="shared" si="1431"/>
        <v>106</v>
      </c>
      <c r="CA247" s="71" t="str">
        <f t="shared" si="1432"/>
        <v>-</v>
      </c>
      <c r="CB247" s="72">
        <f t="shared" si="1433"/>
        <v>149</v>
      </c>
      <c r="CC247" s="71">
        <f t="shared" si="1434"/>
        <v>187</v>
      </c>
      <c r="CD247" s="72">
        <f t="shared" si="1435"/>
        <v>199</v>
      </c>
      <c r="CE247" s="71">
        <f t="shared" si="1436"/>
        <v>241</v>
      </c>
      <c r="CF247" s="72">
        <f t="shared" si="1437"/>
        <v>284</v>
      </c>
      <c r="CG247" s="71">
        <f t="shared" si="1438"/>
        <v>310</v>
      </c>
      <c r="CH247" s="70">
        <f t="shared" si="1439"/>
        <v>65</v>
      </c>
      <c r="CI247" s="71">
        <f t="shared" si="1440"/>
        <v>69</v>
      </c>
      <c r="CJ247" s="72">
        <f t="shared" si="1441"/>
        <v>100</v>
      </c>
      <c r="CK247" s="72">
        <f t="shared" si="1442"/>
        <v>105</v>
      </c>
      <c r="CL247" s="72">
        <f t="shared" si="1443"/>
        <v>141</v>
      </c>
      <c r="CM247" s="72" t="str">
        <f t="shared" si="1444"/>
        <v>-</v>
      </c>
      <c r="CN247" s="72">
        <f t="shared" si="1445"/>
        <v>173</v>
      </c>
      <c r="CO247" s="72">
        <f t="shared" si="1446"/>
        <v>189</v>
      </c>
      <c r="CP247" s="72">
        <f t="shared" si="1447"/>
        <v>237</v>
      </c>
      <c r="CQ247" s="72">
        <f t="shared" si="1448"/>
        <v>278</v>
      </c>
      <c r="CR247" s="72">
        <f t="shared" si="1449"/>
        <v>309</v>
      </c>
      <c r="CS247" s="72">
        <f t="shared" si="1450"/>
        <v>322</v>
      </c>
      <c r="CT247" s="23">
        <f t="shared" si="1451"/>
        <v>1</v>
      </c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</row>
    <row r="248" spans="1:1030" x14ac:dyDescent="0.2">
      <c r="A248" s="3" t="str">
        <f t="shared" ref="A248:A327" si="1452">CONCATENATE(B248,"_",C248)</f>
        <v>opsd_bovin_5EN0</v>
      </c>
      <c r="B248" s="3" t="s">
        <v>920</v>
      </c>
      <c r="C248" s="3" t="s">
        <v>1359</v>
      </c>
      <c r="D248" s="3" t="str">
        <f>IFERROR(MID(VLOOKUP($B248,Seqs!$A:$B,2,0),E248,1),"")</f>
        <v>E</v>
      </c>
      <c r="E248" s="105">
        <v>33</v>
      </c>
      <c r="F248" s="3" t="str">
        <f>IFERROR(MID(VLOOKUP($B248,Seqs!$A:$B,2,0),G248,1),"")</f>
        <v>H</v>
      </c>
      <c r="G248" s="3">
        <v>65</v>
      </c>
      <c r="H248" s="3" t="str">
        <f>IFERROR(MID(VLOOKUP($B248,Seqs!$A:$B,2,0),I248,1),"")</f>
        <v>K</v>
      </c>
      <c r="I248" s="23">
        <v>66</v>
      </c>
      <c r="J248" s="3" t="str">
        <f>IFERROR(MID(VLOOKUP($B248,Seqs!$A:$B,2,0),K248,1),"")</f>
        <v>R</v>
      </c>
      <c r="K248" s="23">
        <v>69</v>
      </c>
      <c r="L248" s="3" t="str">
        <f>IFERROR(MID(VLOOKUP($B248,Seqs!$A:$B,2,0),M248,1),"")</f>
        <v>T</v>
      </c>
      <c r="M248" s="3">
        <v>70</v>
      </c>
      <c r="N248" s="3" t="str">
        <f>IFERROR(MID(VLOOKUP($B248,Seqs!$A:$B,2,0),O248,1),"")</f>
        <v>H</v>
      </c>
      <c r="O248" s="3">
        <v>100</v>
      </c>
      <c r="P248" s="3" t="str">
        <f>IFERROR(MID(VLOOKUP($B248,Seqs!$A:$B,2,0),Q248,1),"")</f>
        <v>Y</v>
      </c>
      <c r="Q248" s="3">
        <v>102</v>
      </c>
      <c r="R248" s="3" t="str">
        <f>IFERROR(MID(VLOOKUP($B248,Seqs!$A:$B,2,0),S248,1),"")</f>
        <v>F</v>
      </c>
      <c r="S248" s="3">
        <v>105</v>
      </c>
      <c r="T248" s="3" t="str">
        <f>IFERROR(MID(VLOOKUP($B248,Seqs!$A:$B,2,0),U248,1),"")</f>
        <v>G</v>
      </c>
      <c r="U248" s="3">
        <v>106</v>
      </c>
      <c r="V248" s="3" t="str">
        <f>IFERROR(MID(VLOOKUP($B248,Seqs!$A:$B,2,0),W248,1),"")</f>
        <v>K</v>
      </c>
      <c r="W248" s="3">
        <v>141</v>
      </c>
      <c r="X248" s="3" t="str">
        <f>IFERROR(MID(VLOOKUP($B248,Seqs!$A:$B,2,0),Y248,1),"")</f>
        <v/>
      </c>
      <c r="Y248" s="3" t="s">
        <v>23</v>
      </c>
      <c r="Z248" s="3" t="str">
        <f>IFERROR(MID(VLOOKUP($B248,Seqs!$A:$B,2,0),AA248,1),"")</f>
        <v/>
      </c>
      <c r="AA248" s="3" t="s">
        <v>23</v>
      </c>
      <c r="AB248" s="3" t="str">
        <f>IFERROR(MID(VLOOKUP($B248,Seqs!$A:$B,2,0),AC248,1),"")</f>
        <v>G</v>
      </c>
      <c r="AC248" s="9">
        <v>149</v>
      </c>
      <c r="AD248" s="3" t="str">
        <f>IFERROR(MID(VLOOKUP($B248,Seqs!$A:$B,2,0),AE248,1),"")</f>
        <v>V</v>
      </c>
      <c r="AE248" s="3">
        <v>173</v>
      </c>
      <c r="AF248" s="3" t="str">
        <f>IFERROR(MID(VLOOKUP($B248,Seqs!$A:$B,2,0),AG248,1),"")</f>
        <v>C</v>
      </c>
      <c r="AG248" s="3">
        <v>187</v>
      </c>
      <c r="AH248" s="3" t="str">
        <f>IFERROR(MID(VLOOKUP($B248,Seqs!$A:$B,2,0),AI248,1),"")</f>
        <v>I</v>
      </c>
      <c r="AI248" s="3">
        <v>189</v>
      </c>
      <c r="AJ248" s="3" t="str">
        <f>IFERROR(MID(VLOOKUP($B248,Seqs!$A:$B,2,0),AK248,1),"")</f>
        <v>N</v>
      </c>
      <c r="AK248" s="3">
        <v>199</v>
      </c>
      <c r="AL248" s="3" t="str">
        <f>IFERROR(MID(VLOOKUP($B248,Seqs!$A:$B,2,0),AM248,1),"")</f>
        <v>Q</v>
      </c>
      <c r="AM248" s="3">
        <v>237</v>
      </c>
      <c r="AN248" s="3" t="str">
        <f>IFERROR(MID(VLOOKUP($B248,Seqs!$A:$B,2,0),AO248,1),"")</f>
        <v>A</v>
      </c>
      <c r="AO248" s="3">
        <v>241</v>
      </c>
      <c r="AP248" s="3" t="str">
        <f>IFERROR(MID(VLOOKUP($B248,Seqs!$A:$B,2,0),AQ248,1),"")</f>
        <v>H</v>
      </c>
      <c r="AQ248" s="3">
        <v>278</v>
      </c>
      <c r="AR248" s="3" t="str">
        <f>IFERROR(MID(VLOOKUP($B248,Seqs!$A:$B,2,0),AS248,1),"")</f>
        <v>G</v>
      </c>
      <c r="AS248" s="3">
        <v>284</v>
      </c>
      <c r="AT248" s="3" t="str">
        <f>IFERROR(MID(VLOOKUP($B248,Seqs!$A:$B,2,0),AU248,1),"")</f>
        <v>M</v>
      </c>
      <c r="AU248" s="3">
        <v>309</v>
      </c>
      <c r="AV248" s="3" t="str">
        <f>IFERROR(MID(VLOOKUP($B248,Seqs!$A:$B,2,0),AW248,1),"")</f>
        <v>N</v>
      </c>
      <c r="AW248" s="3">
        <v>310</v>
      </c>
      <c r="AX248" s="3" t="str">
        <f>IFERROR(MID(VLOOKUP($B248,Seqs!$A:$B,2,0),AY248,1),"")</f>
        <v>C</v>
      </c>
      <c r="AY248" s="3">
        <v>322</v>
      </c>
      <c r="AZ248" s="77" t="str">
        <f>VLOOKUP(B248,Classification!A:D,2,0)</f>
        <v>A</v>
      </c>
      <c r="BA248" s="94" t="str">
        <f>VLOOKUP(B248,Classification!A:D,4,0)</f>
        <v>Opsins</v>
      </c>
      <c r="BB248" s="27" t="b">
        <f t="shared" ref="BB248:BB327" si="1453">AND(E248&lt;G248,OR(G248&lt;I248,I248="-"),OR(I248&lt;K248,I248="-"),OR(K248&lt;M248,K248="-"),M248&lt;O248,OR(O248&lt;Q248,Q248="-"),OR(Q248&lt;S248,Q248="-"),OR(S248&lt;U248,S248="-"),U248&lt;W248,OR(W248&lt;Y248,Y248="-"),OR(Y248&lt;AA248,Y248="-"),OR(AA248&lt;AC248,AA248="-"),AC248&lt;AE248,OR(AE248&lt;AG248,AG248="-"),OR(AG248&lt;AI248,AG248="-"),OR(AI248&lt;AK248,AI248="-"),AK248&lt;AM248,AM248&lt;AO248,AO248&lt;AQ248,AQ248&lt;AS248,AS248&lt;AU248,OR(AU248&lt;AW248,AW248="-"),OR(AW248&lt;AY248,AW248="-"))</f>
        <v>1</v>
      </c>
      <c r="BC248" s="23">
        <f t="shared" si="1426"/>
        <v>253</v>
      </c>
      <c r="BD248" s="4" t="s">
        <v>23</v>
      </c>
      <c r="BE248" s="3" t="s">
        <v>1292</v>
      </c>
      <c r="BF248" s="119">
        <v>2.81</v>
      </c>
      <c r="BG248" s="49" t="s">
        <v>1378</v>
      </c>
      <c r="BH248" s="49" t="s">
        <v>1378</v>
      </c>
      <c r="BI248" s="1"/>
      <c r="BJ248" s="70" t="s">
        <v>1288</v>
      </c>
      <c r="BK248" s="57" t="s">
        <v>1288</v>
      </c>
      <c r="BL248" s="57" t="s">
        <v>1288</v>
      </c>
      <c r="BM248" s="57" t="s">
        <v>1288</v>
      </c>
      <c r="BN248" s="57" t="s">
        <v>1288</v>
      </c>
      <c r="BO248" s="57" t="s">
        <v>1288</v>
      </c>
      <c r="BP248" s="57" t="s">
        <v>1288</v>
      </c>
      <c r="BQ248" s="57" t="s">
        <v>1288</v>
      </c>
      <c r="BR248" s="57" t="s">
        <v>1288</v>
      </c>
      <c r="BS248" s="57" t="s">
        <v>1288</v>
      </c>
      <c r="BT248" s="57" t="s">
        <v>1288</v>
      </c>
      <c r="BU248" s="57" t="s">
        <v>1288</v>
      </c>
      <c r="BV248" s="70">
        <f t="shared" si="1427"/>
        <v>33</v>
      </c>
      <c r="BW248" s="71">
        <f t="shared" si="1428"/>
        <v>66</v>
      </c>
      <c r="BX248" s="72">
        <f t="shared" si="1429"/>
        <v>70</v>
      </c>
      <c r="BY248" s="71">
        <f t="shared" si="1430"/>
        <v>102</v>
      </c>
      <c r="BZ248" s="72">
        <f t="shared" si="1431"/>
        <v>106</v>
      </c>
      <c r="CA248" s="71" t="str">
        <f t="shared" si="1432"/>
        <v>-</v>
      </c>
      <c r="CB248" s="72">
        <f t="shared" si="1433"/>
        <v>149</v>
      </c>
      <c r="CC248" s="71">
        <f t="shared" si="1434"/>
        <v>187</v>
      </c>
      <c r="CD248" s="72">
        <f t="shared" si="1435"/>
        <v>199</v>
      </c>
      <c r="CE248" s="71">
        <f t="shared" si="1436"/>
        <v>241</v>
      </c>
      <c r="CF248" s="72">
        <f t="shared" si="1437"/>
        <v>284</v>
      </c>
      <c r="CG248" s="71">
        <f t="shared" si="1438"/>
        <v>310</v>
      </c>
      <c r="CH248" s="70">
        <f t="shared" si="1439"/>
        <v>65</v>
      </c>
      <c r="CI248" s="71">
        <f t="shared" si="1440"/>
        <v>69</v>
      </c>
      <c r="CJ248" s="72">
        <f t="shared" si="1441"/>
        <v>100</v>
      </c>
      <c r="CK248" s="72">
        <f t="shared" si="1442"/>
        <v>105</v>
      </c>
      <c r="CL248" s="72">
        <f t="shared" si="1443"/>
        <v>141</v>
      </c>
      <c r="CM248" s="72" t="str">
        <f t="shared" si="1444"/>
        <v>-</v>
      </c>
      <c r="CN248" s="72">
        <f t="shared" si="1445"/>
        <v>173</v>
      </c>
      <c r="CO248" s="72">
        <f t="shared" si="1446"/>
        <v>189</v>
      </c>
      <c r="CP248" s="72">
        <f t="shared" si="1447"/>
        <v>237</v>
      </c>
      <c r="CQ248" s="72">
        <f t="shared" si="1448"/>
        <v>278</v>
      </c>
      <c r="CR248" s="72">
        <f t="shared" si="1449"/>
        <v>309</v>
      </c>
      <c r="CS248" s="72">
        <f t="shared" si="1450"/>
        <v>322</v>
      </c>
      <c r="CT248" s="23">
        <f t="shared" si="1451"/>
        <v>1</v>
      </c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</row>
    <row r="249" spans="1:1030" x14ac:dyDescent="0.2">
      <c r="A249" s="3" t="str">
        <f t="shared" ref="A249:A259" si="1454">CONCATENATE(B249,"_",C249)</f>
        <v>opsd_bovin_5TE3</v>
      </c>
      <c r="B249" s="3" t="s">
        <v>920</v>
      </c>
      <c r="C249" s="3" t="s">
        <v>1400</v>
      </c>
      <c r="D249" s="3" t="str">
        <f>IFERROR(MID(VLOOKUP($B249,Seqs!$A:$B,2,0),E249,1),"")</f>
        <v>E</v>
      </c>
      <c r="E249" s="105">
        <v>33</v>
      </c>
      <c r="F249" s="3" t="str">
        <f>IFERROR(MID(VLOOKUP($B249,Seqs!$A:$B,2,0),G249,1),"")</f>
        <v>H</v>
      </c>
      <c r="G249" s="3">
        <v>65</v>
      </c>
      <c r="H249" s="3" t="str">
        <f>IFERROR(MID(VLOOKUP($B249,Seqs!$A:$B,2,0),I249,1),"")</f>
        <v>K</v>
      </c>
      <c r="I249" s="23">
        <v>66</v>
      </c>
      <c r="J249" s="3" t="str">
        <f>IFERROR(MID(VLOOKUP($B249,Seqs!$A:$B,2,0),K249,1),"")</f>
        <v>R</v>
      </c>
      <c r="K249" s="23">
        <v>69</v>
      </c>
      <c r="L249" s="3" t="str">
        <f>IFERROR(MID(VLOOKUP($B249,Seqs!$A:$B,2,0),M249,1),"")</f>
        <v>T</v>
      </c>
      <c r="M249" s="3">
        <v>70</v>
      </c>
      <c r="N249" s="3" t="str">
        <f>IFERROR(MID(VLOOKUP($B249,Seqs!$A:$B,2,0),O249,1),"")</f>
        <v>H</v>
      </c>
      <c r="O249" s="3">
        <v>100</v>
      </c>
      <c r="P249" s="3" t="str">
        <f>IFERROR(MID(VLOOKUP($B249,Seqs!$A:$B,2,0),Q249,1),"")</f>
        <v>Y</v>
      </c>
      <c r="Q249" s="3">
        <v>102</v>
      </c>
      <c r="R249" s="3" t="str">
        <f>IFERROR(MID(VLOOKUP($B249,Seqs!$A:$B,2,0),S249,1),"")</f>
        <v>F</v>
      </c>
      <c r="S249" s="3">
        <v>105</v>
      </c>
      <c r="T249" s="3" t="str">
        <f>IFERROR(MID(VLOOKUP($B249,Seqs!$A:$B,2,0),U249,1),"")</f>
        <v>G</v>
      </c>
      <c r="U249" s="3">
        <v>106</v>
      </c>
      <c r="V249" s="3" t="str">
        <f>IFERROR(MID(VLOOKUP($B249,Seqs!$A:$B,2,0),W249,1),"")</f>
        <v>K</v>
      </c>
      <c r="W249" s="3">
        <v>141</v>
      </c>
      <c r="X249" s="3" t="str">
        <f>IFERROR(MID(VLOOKUP($B249,Seqs!$A:$B,2,0),Y249,1),"")</f>
        <v/>
      </c>
      <c r="Y249" s="3" t="s">
        <v>23</v>
      </c>
      <c r="Z249" s="3" t="str">
        <f>IFERROR(MID(VLOOKUP($B249,Seqs!$A:$B,2,0),AA249,1),"")</f>
        <v/>
      </c>
      <c r="AA249" s="3" t="s">
        <v>23</v>
      </c>
      <c r="AB249" s="3" t="str">
        <f>IFERROR(MID(VLOOKUP($B249,Seqs!$A:$B,2,0),AC249,1),"")</f>
        <v>G</v>
      </c>
      <c r="AC249" s="3">
        <v>149</v>
      </c>
      <c r="AD249" s="3" t="str">
        <f>IFERROR(MID(VLOOKUP($B249,Seqs!$A:$B,2,0),AE249,1),"")</f>
        <v>V</v>
      </c>
      <c r="AE249" s="3">
        <v>173</v>
      </c>
      <c r="AF249" s="3" t="str">
        <f>IFERROR(MID(VLOOKUP($B249,Seqs!$A:$B,2,0),AG249,1),"")</f>
        <v>C</v>
      </c>
      <c r="AG249" s="3">
        <v>187</v>
      </c>
      <c r="AH249" s="3" t="str">
        <f>IFERROR(MID(VLOOKUP($B249,Seqs!$A:$B,2,0),AI249,1),"")</f>
        <v>I</v>
      </c>
      <c r="AI249" s="3">
        <v>189</v>
      </c>
      <c r="AJ249" s="3" t="str">
        <f>IFERROR(MID(VLOOKUP($B249,Seqs!$A:$B,2,0),AK249,1),"")</f>
        <v>N</v>
      </c>
      <c r="AK249" s="3">
        <v>199</v>
      </c>
      <c r="AL249" s="3" t="str">
        <f>IFERROR(MID(VLOOKUP($B249,Seqs!$A:$B,2,0),AM249,1),"")</f>
        <v>Q</v>
      </c>
      <c r="AM249" s="3">
        <v>237</v>
      </c>
      <c r="AN249" s="3" t="str">
        <f>IFERROR(MID(VLOOKUP($B249,Seqs!$A:$B,2,0),AO249,1),"")</f>
        <v>A</v>
      </c>
      <c r="AO249" s="3">
        <v>241</v>
      </c>
      <c r="AP249" s="3" t="str">
        <f>IFERROR(MID(VLOOKUP($B249,Seqs!$A:$B,2,0),AQ249,1),"")</f>
        <v>H</v>
      </c>
      <c r="AQ249" s="3">
        <v>278</v>
      </c>
      <c r="AR249" s="3" t="str">
        <f>IFERROR(MID(VLOOKUP($B249,Seqs!$A:$B,2,0),AS249,1),"")</f>
        <v>G</v>
      </c>
      <c r="AS249" s="3">
        <v>284</v>
      </c>
      <c r="AT249" s="3" t="str">
        <f>IFERROR(MID(VLOOKUP($B249,Seqs!$A:$B,2,0),AU249,1),"")</f>
        <v>M</v>
      </c>
      <c r="AU249" s="3">
        <v>309</v>
      </c>
      <c r="AV249" s="3" t="str">
        <f>IFERROR(MID(VLOOKUP($B249,Seqs!$A:$B,2,0),AW249,1),"")</f>
        <v>N</v>
      </c>
      <c r="AW249" s="3">
        <v>310</v>
      </c>
      <c r="AX249" s="3" t="str">
        <f>IFERROR(MID(VLOOKUP($B249,Seqs!$A:$B,2,0),AY249,1),"")</f>
        <v>C</v>
      </c>
      <c r="AY249" s="3">
        <v>322</v>
      </c>
      <c r="AZ249" s="77" t="str">
        <f>VLOOKUP(B249,Classification!A:D,2,0)</f>
        <v>A</v>
      </c>
      <c r="BA249" s="94" t="str">
        <f>VLOOKUP(B249,Classification!A:D,4,0)</f>
        <v>Opsins</v>
      </c>
      <c r="BB249" s="27" t="b">
        <f t="shared" ref="BB249:BB259" si="1455">AND(E249&lt;G249,OR(G249&lt;I249,I249="-"),OR(I249&lt;K249,I249="-"),OR(K249&lt;M249,K249="-"),M249&lt;O249,OR(O249&lt;Q249,Q249="-"),OR(Q249&lt;S249,Q249="-"),OR(S249&lt;U249,S249="-"),U249&lt;W249,OR(W249&lt;Y249,Y249="-"),OR(Y249&lt;AA249,Y249="-"),OR(AA249&lt;AC249,AA249="-"),AC249&lt;AE249,OR(AE249&lt;AG249,AG249="-"),OR(AG249&lt;AI249,AG249="-"),OR(AI249&lt;AK249,AI249="-"),AK249&lt;AM249,AM249&lt;AO249,AO249&lt;AQ249,AQ249&lt;AS249,AS249&lt;AU249,OR(AU249&lt;AW249,AW249="-"),OR(AW249&lt;AY249,AW249="-"))</f>
        <v>1</v>
      </c>
      <c r="BC249" s="23">
        <f t="shared" ref="BC249:BC259" si="1456">_xlfn.AGGREGATE(9,6,CH249:CS249)-_xlfn.AGGREGATE(9,6,BV249:CG249)+12</f>
        <v>253</v>
      </c>
      <c r="BD249" s="2" t="s">
        <v>23</v>
      </c>
      <c r="BE249" s="3" t="s">
        <v>1292</v>
      </c>
      <c r="BF249" s="119">
        <v>2.7</v>
      </c>
      <c r="BG249" s="49" t="s">
        <v>1</v>
      </c>
      <c r="BH249" s="49" t="s">
        <v>1378</v>
      </c>
      <c r="BI249" s="1"/>
      <c r="BJ249" s="70" t="s">
        <v>1288</v>
      </c>
      <c r="BK249" s="57" t="s">
        <v>1288</v>
      </c>
      <c r="BL249" s="57" t="s">
        <v>1288</v>
      </c>
      <c r="BM249" s="57" t="s">
        <v>1288</v>
      </c>
      <c r="BN249" s="57" t="s">
        <v>1288</v>
      </c>
      <c r="BO249" s="57" t="s">
        <v>1288</v>
      </c>
      <c r="BP249" s="57" t="s">
        <v>1288</v>
      </c>
      <c r="BQ249" s="57" t="s">
        <v>1288</v>
      </c>
      <c r="BR249" s="57" t="s">
        <v>1288</v>
      </c>
      <c r="BS249" s="57" t="s">
        <v>1288</v>
      </c>
      <c r="BT249" s="57" t="s">
        <v>1288</v>
      </c>
      <c r="BU249" s="57" t="s">
        <v>1288</v>
      </c>
      <c r="BV249" s="70">
        <f t="shared" ref="BV249:BV259" si="1457">E249</f>
        <v>33</v>
      </c>
      <c r="BW249" s="71">
        <f t="shared" ref="BW249:BW259" si="1458">I249</f>
        <v>66</v>
      </c>
      <c r="BX249" s="72">
        <f t="shared" ref="BX249:BX259" si="1459">M249</f>
        <v>70</v>
      </c>
      <c r="BY249" s="71">
        <f t="shared" ref="BY249:BY259" si="1460">Q249</f>
        <v>102</v>
      </c>
      <c r="BZ249" s="72">
        <f t="shared" ref="BZ249:BZ259" si="1461">U249</f>
        <v>106</v>
      </c>
      <c r="CA249" s="71" t="str">
        <f t="shared" ref="CA249:CA259" si="1462">Y249</f>
        <v>-</v>
      </c>
      <c r="CB249" s="72">
        <f t="shared" ref="CB249:CB259" si="1463">AC249</f>
        <v>149</v>
      </c>
      <c r="CC249" s="71">
        <f t="shared" ref="CC249:CC259" si="1464">AG249</f>
        <v>187</v>
      </c>
      <c r="CD249" s="72">
        <f t="shared" ref="CD249:CD259" si="1465">AK249</f>
        <v>199</v>
      </c>
      <c r="CE249" s="71">
        <f t="shared" ref="CE249:CE259" si="1466">AO249</f>
        <v>241</v>
      </c>
      <c r="CF249" s="72">
        <f t="shared" ref="CF249:CF259" si="1467">AS249</f>
        <v>284</v>
      </c>
      <c r="CG249" s="71">
        <f t="shared" ref="CG249:CG259" si="1468">AW249</f>
        <v>310</v>
      </c>
      <c r="CH249" s="70">
        <f t="shared" ref="CH249:CH259" si="1469">G249</f>
        <v>65</v>
      </c>
      <c r="CI249" s="71">
        <f t="shared" ref="CI249:CI259" si="1470">K249</f>
        <v>69</v>
      </c>
      <c r="CJ249" s="72">
        <f t="shared" ref="CJ249:CJ259" si="1471">O249</f>
        <v>100</v>
      </c>
      <c r="CK249" s="72">
        <f t="shared" ref="CK249:CK259" si="1472">S249</f>
        <v>105</v>
      </c>
      <c r="CL249" s="72">
        <f t="shared" ref="CL249:CL259" si="1473">W249</f>
        <v>141</v>
      </c>
      <c r="CM249" s="72" t="str">
        <f t="shared" ref="CM249:CM259" si="1474">AA249</f>
        <v>-</v>
      </c>
      <c r="CN249" s="72">
        <f t="shared" ref="CN249:CN259" si="1475">AE249</f>
        <v>173</v>
      </c>
      <c r="CO249" s="72">
        <f t="shared" ref="CO249:CO259" si="1476">AI249</f>
        <v>189</v>
      </c>
      <c r="CP249" s="72">
        <f t="shared" ref="CP249:CP259" si="1477">AM249</f>
        <v>237</v>
      </c>
      <c r="CQ249" s="72">
        <f t="shared" ref="CQ249:CQ259" si="1478">AQ249</f>
        <v>278</v>
      </c>
      <c r="CR249" s="72">
        <f t="shared" ref="CR249:CR259" si="1479">AU249</f>
        <v>309</v>
      </c>
      <c r="CS249" s="72">
        <f t="shared" ref="CS249:CS259" si="1480">AY249</f>
        <v>322</v>
      </c>
      <c r="CT249" s="23">
        <f t="shared" ref="CT249:CT259" si="1481">M249-K249</f>
        <v>1</v>
      </c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</row>
    <row r="250" spans="1:1030" x14ac:dyDescent="0.2">
      <c r="A250" s="3" t="str">
        <f t="shared" si="1454"/>
        <v>opsd_bovin_5TE5</v>
      </c>
      <c r="B250" s="3" t="s">
        <v>920</v>
      </c>
      <c r="C250" s="3" t="s">
        <v>1401</v>
      </c>
      <c r="D250" s="3" t="str">
        <f>IFERROR(MID(VLOOKUP($B250,Seqs!$A:$B,2,0),E250,1),"")</f>
        <v>Q</v>
      </c>
      <c r="E250" s="3">
        <v>36</v>
      </c>
      <c r="F250" s="3" t="str">
        <f>IFERROR(MID(VLOOKUP($B250,Seqs!$A:$B,2,0),G250,1),"")</f>
        <v>H</v>
      </c>
      <c r="G250" s="3">
        <v>65</v>
      </c>
      <c r="H250" s="3" t="str">
        <f>IFERROR(MID(VLOOKUP($B250,Seqs!$A:$B,2,0),I250,1),"")</f>
        <v>K</v>
      </c>
      <c r="I250" s="23">
        <v>66</v>
      </c>
      <c r="J250" s="3" t="str">
        <f>IFERROR(MID(VLOOKUP($B250,Seqs!$A:$B,2,0),K250,1),"")</f>
        <v>R</v>
      </c>
      <c r="K250" s="23">
        <v>69</v>
      </c>
      <c r="L250" s="3" t="str">
        <f>IFERROR(MID(VLOOKUP($B250,Seqs!$A:$B,2,0),M250,1),"")</f>
        <v>T</v>
      </c>
      <c r="M250" s="3">
        <v>70</v>
      </c>
      <c r="N250" s="3" t="str">
        <f>IFERROR(MID(VLOOKUP($B250,Seqs!$A:$B,2,0),O250,1),"")</f>
        <v>G</v>
      </c>
      <c r="O250" s="3">
        <v>101</v>
      </c>
      <c r="P250" s="3" t="str">
        <f>IFERROR(MID(VLOOKUP($B250,Seqs!$A:$B,2,0),Q250,1),"")</f>
        <v>Y</v>
      </c>
      <c r="Q250" s="3">
        <v>102</v>
      </c>
      <c r="R250" s="3" t="str">
        <f>IFERROR(MID(VLOOKUP($B250,Seqs!$A:$B,2,0),S250,1),"")</f>
        <v>F</v>
      </c>
      <c r="S250" s="3">
        <v>105</v>
      </c>
      <c r="T250" s="3" t="str">
        <f>IFERROR(MID(VLOOKUP($B250,Seqs!$A:$B,2,0),U250,1),"")</f>
        <v>G</v>
      </c>
      <c r="U250" s="3">
        <v>106</v>
      </c>
      <c r="V250" s="3" t="str">
        <f>IFERROR(MID(VLOOKUP($B250,Seqs!$A:$B,2,0),W250,1),"")</f>
        <v>K</v>
      </c>
      <c r="W250" s="3">
        <v>141</v>
      </c>
      <c r="X250" s="3" t="str">
        <f>IFERROR(MID(VLOOKUP($B250,Seqs!$A:$B,2,0),Y250,1),"")</f>
        <v/>
      </c>
      <c r="Y250" s="3" t="s">
        <v>23</v>
      </c>
      <c r="Z250" s="3" t="str">
        <f>IFERROR(MID(VLOOKUP($B250,Seqs!$A:$B,2,0),AA250,1),"")</f>
        <v/>
      </c>
      <c r="AA250" s="3" t="s">
        <v>23</v>
      </c>
      <c r="AB250" s="3" t="str">
        <f>IFERROR(MID(VLOOKUP($B250,Seqs!$A:$B,2,0),AC250,1),"")</f>
        <v>G</v>
      </c>
      <c r="AC250" s="3">
        <v>149</v>
      </c>
      <c r="AD250" s="3" t="str">
        <f>IFERROR(MID(VLOOKUP($B250,Seqs!$A:$B,2,0),AE250,1),"")</f>
        <v>V</v>
      </c>
      <c r="AE250" s="3">
        <v>173</v>
      </c>
      <c r="AF250" s="3" t="str">
        <f>IFERROR(MID(VLOOKUP($B250,Seqs!$A:$B,2,0),AG250,1),"")</f>
        <v>C</v>
      </c>
      <c r="AG250" s="3">
        <v>187</v>
      </c>
      <c r="AH250" s="3" t="str">
        <f>IFERROR(MID(VLOOKUP($B250,Seqs!$A:$B,2,0),AI250,1),"")</f>
        <v>I</v>
      </c>
      <c r="AI250" s="3">
        <v>189</v>
      </c>
      <c r="AJ250" s="3" t="str">
        <f>IFERROR(MID(VLOOKUP($B250,Seqs!$A:$B,2,0),AK250,1),"")</f>
        <v>S</v>
      </c>
      <c r="AK250" s="3">
        <v>202</v>
      </c>
      <c r="AL250" s="3" t="str">
        <f>IFERROR(MID(VLOOKUP($B250,Seqs!$A:$B,2,0),AM250,1),"")</f>
        <v>L</v>
      </c>
      <c r="AM250" s="3">
        <v>226</v>
      </c>
      <c r="AN250" s="3" t="str">
        <f>IFERROR(MID(VLOOKUP($B250,Seqs!$A:$B,2,0),AO250,1),"")</f>
        <v>T</v>
      </c>
      <c r="AO250" s="3">
        <v>243</v>
      </c>
      <c r="AP250" s="3" t="str">
        <f>IFERROR(MID(VLOOKUP($B250,Seqs!$A:$B,2,0),AQ250,1),"")</f>
        <v>H</v>
      </c>
      <c r="AQ250" s="3">
        <v>278</v>
      </c>
      <c r="AR250" s="3" t="str">
        <f>IFERROR(MID(VLOOKUP($B250,Seqs!$A:$B,2,0),AS250,1),"")</f>
        <v>P</v>
      </c>
      <c r="AS250" s="3">
        <v>285</v>
      </c>
      <c r="AT250" s="3" t="str">
        <f>IFERROR(MID(VLOOKUP($B250,Seqs!$A:$B,2,0),AU250,1),"")</f>
        <v>M</v>
      </c>
      <c r="AU250" s="3">
        <v>309</v>
      </c>
      <c r="AV250" s="3" t="str">
        <f>IFERROR(MID(VLOOKUP($B250,Seqs!$A:$B,2,0),AW250,1),"")</f>
        <v>N</v>
      </c>
      <c r="AW250" s="3">
        <v>310</v>
      </c>
      <c r="AX250" s="3" t="str">
        <f>IFERROR(MID(VLOOKUP($B250,Seqs!$A:$B,2,0),AY250,1),"")</f>
        <v>C</v>
      </c>
      <c r="AY250" s="3">
        <v>323</v>
      </c>
      <c r="AZ250" s="77" t="str">
        <f>VLOOKUP(B250,Classification!A:D,2,0)</f>
        <v>A</v>
      </c>
      <c r="BA250" s="94" t="str">
        <f>VLOOKUP(B250,Classification!A:D,4,0)</f>
        <v>Opsins</v>
      </c>
      <c r="BB250" s="27" t="b">
        <f t="shared" si="1455"/>
        <v>1</v>
      </c>
      <c r="BC250" s="23">
        <f t="shared" si="1456"/>
        <v>235</v>
      </c>
      <c r="BD250" s="2" t="s">
        <v>23</v>
      </c>
      <c r="BE250" s="3" t="s">
        <v>1375</v>
      </c>
      <c r="BF250" s="119">
        <v>4.01</v>
      </c>
      <c r="BG250" s="49" t="s">
        <v>1378</v>
      </c>
      <c r="BH250" s="49" t="s">
        <v>1378</v>
      </c>
      <c r="BI250" s="1"/>
      <c r="BJ250" s="70" t="s">
        <v>1288</v>
      </c>
      <c r="BK250" s="57" t="s">
        <v>1288</v>
      </c>
      <c r="BL250" s="57" t="s">
        <v>1288</v>
      </c>
      <c r="BM250" s="57" t="s">
        <v>1288</v>
      </c>
      <c r="BN250" s="57" t="s">
        <v>1288</v>
      </c>
      <c r="BO250" s="57" t="s">
        <v>1288</v>
      </c>
      <c r="BP250" s="57" t="s">
        <v>1288</v>
      </c>
      <c r="BQ250" s="57" t="s">
        <v>1288</v>
      </c>
      <c r="BR250" s="57" t="s">
        <v>1288</v>
      </c>
      <c r="BS250" s="57" t="s">
        <v>1288</v>
      </c>
      <c r="BT250" s="57" t="s">
        <v>1288</v>
      </c>
      <c r="BU250" s="57" t="s">
        <v>1288</v>
      </c>
      <c r="BV250" s="70">
        <f t="shared" si="1457"/>
        <v>36</v>
      </c>
      <c r="BW250" s="71">
        <f t="shared" si="1458"/>
        <v>66</v>
      </c>
      <c r="BX250" s="72">
        <f t="shared" si="1459"/>
        <v>70</v>
      </c>
      <c r="BY250" s="71">
        <f t="shared" si="1460"/>
        <v>102</v>
      </c>
      <c r="BZ250" s="72">
        <f t="shared" si="1461"/>
        <v>106</v>
      </c>
      <c r="CA250" s="71" t="str">
        <f t="shared" si="1462"/>
        <v>-</v>
      </c>
      <c r="CB250" s="72">
        <f t="shared" si="1463"/>
        <v>149</v>
      </c>
      <c r="CC250" s="71">
        <f t="shared" si="1464"/>
        <v>187</v>
      </c>
      <c r="CD250" s="72">
        <f t="shared" si="1465"/>
        <v>202</v>
      </c>
      <c r="CE250" s="71">
        <f t="shared" si="1466"/>
        <v>243</v>
      </c>
      <c r="CF250" s="72">
        <f t="shared" si="1467"/>
        <v>285</v>
      </c>
      <c r="CG250" s="71">
        <f t="shared" si="1468"/>
        <v>310</v>
      </c>
      <c r="CH250" s="70">
        <f t="shared" si="1469"/>
        <v>65</v>
      </c>
      <c r="CI250" s="71">
        <f t="shared" si="1470"/>
        <v>69</v>
      </c>
      <c r="CJ250" s="72">
        <f t="shared" si="1471"/>
        <v>101</v>
      </c>
      <c r="CK250" s="72">
        <f t="shared" si="1472"/>
        <v>105</v>
      </c>
      <c r="CL250" s="72">
        <f t="shared" si="1473"/>
        <v>141</v>
      </c>
      <c r="CM250" s="72" t="str">
        <f t="shared" si="1474"/>
        <v>-</v>
      </c>
      <c r="CN250" s="72">
        <f t="shared" si="1475"/>
        <v>173</v>
      </c>
      <c r="CO250" s="72">
        <f t="shared" si="1476"/>
        <v>189</v>
      </c>
      <c r="CP250" s="72">
        <f t="shared" si="1477"/>
        <v>226</v>
      </c>
      <c r="CQ250" s="72">
        <f t="shared" si="1478"/>
        <v>278</v>
      </c>
      <c r="CR250" s="72">
        <f t="shared" si="1479"/>
        <v>309</v>
      </c>
      <c r="CS250" s="72">
        <f t="shared" si="1480"/>
        <v>323</v>
      </c>
      <c r="CT250" s="23">
        <f t="shared" si="1481"/>
        <v>1</v>
      </c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</row>
    <row r="251" spans="1:1030" x14ac:dyDescent="0.2">
      <c r="A251" s="3" t="str">
        <f t="shared" si="1454"/>
        <v>opsd_bovin_5WKT</v>
      </c>
      <c r="B251" s="3" t="s">
        <v>920</v>
      </c>
      <c r="C251" s="3" t="s">
        <v>1451</v>
      </c>
      <c r="D251" s="3" t="str">
        <f>IFERROR(MID(VLOOKUP($B251,Seqs!$A:$B,2,0),E251,1),"")</f>
        <v>E</v>
      </c>
      <c r="E251" s="3">
        <v>33</v>
      </c>
      <c r="F251" s="3" t="str">
        <f>IFERROR(MID(VLOOKUP($B251,Seqs!$A:$B,2,0),G251,1),"")</f>
        <v>Q</v>
      </c>
      <c r="G251" s="3">
        <v>64</v>
      </c>
      <c r="H251" s="3" t="str">
        <f>IFERROR(MID(VLOOKUP($B251,Seqs!$A:$B,2,0),I251,1),"")</f>
        <v>K</v>
      </c>
      <c r="I251" s="23">
        <v>66</v>
      </c>
      <c r="J251" s="3" t="str">
        <f>IFERROR(MID(VLOOKUP($B251,Seqs!$A:$B,2,0),K251,1),"")</f>
        <v>R</v>
      </c>
      <c r="K251" s="23">
        <v>69</v>
      </c>
      <c r="L251" s="3" t="str">
        <f>IFERROR(MID(VLOOKUP($B251,Seqs!$A:$B,2,0),M251,1),"")</f>
        <v>N</v>
      </c>
      <c r="M251" s="3">
        <v>73</v>
      </c>
      <c r="N251" s="3" t="str">
        <f>IFERROR(MID(VLOOKUP($B251,Seqs!$A:$B,2,0),O251,1),"")</f>
        <v>G</v>
      </c>
      <c r="O251" s="3">
        <v>101</v>
      </c>
      <c r="P251" s="3" t="str">
        <f>IFERROR(MID(VLOOKUP($B251,Seqs!$A:$B,2,0),Q251,1),"")</f>
        <v>Y</v>
      </c>
      <c r="Q251" s="3">
        <v>102</v>
      </c>
      <c r="R251" s="3" t="str">
        <f>IFERROR(MID(VLOOKUP($B251,Seqs!$A:$B,2,0),S251,1),"")</f>
        <v>G</v>
      </c>
      <c r="S251" s="3">
        <v>106</v>
      </c>
      <c r="T251" s="3" t="str">
        <f>IFERROR(MID(VLOOKUP($B251,Seqs!$A:$B,2,0),U251,1),"")</f>
        <v>P</v>
      </c>
      <c r="U251" s="3">
        <v>107</v>
      </c>
      <c r="V251" s="3" t="str">
        <f>IFERROR(MID(VLOOKUP($B251,Seqs!$A:$B,2,0),W251,1),"")</f>
        <v>K</v>
      </c>
      <c r="W251" s="3">
        <v>141</v>
      </c>
      <c r="X251" s="3" t="str">
        <f>IFERROR(MID(VLOOKUP($B251,Seqs!$A:$B,2,0),Y251,1),"")</f>
        <v/>
      </c>
      <c r="Y251" s="3" t="s">
        <v>23</v>
      </c>
      <c r="Z251" s="3" t="str">
        <f>IFERROR(MID(VLOOKUP($B251,Seqs!$A:$B,2,0),AA251,1),"")</f>
        <v/>
      </c>
      <c r="AA251" s="3" t="s">
        <v>23</v>
      </c>
      <c r="AB251" s="3" t="str">
        <f>IFERROR(MID(VLOOKUP($B251,Seqs!$A:$B,2,0),AC251,1),"")</f>
        <v>G</v>
      </c>
      <c r="AC251" s="3">
        <v>149</v>
      </c>
      <c r="AD251" s="3" t="str">
        <f>IFERROR(MID(VLOOKUP($B251,Seqs!$A:$B,2,0),AE251,1),"")</f>
        <v>V</v>
      </c>
      <c r="AE251" s="3">
        <v>173</v>
      </c>
      <c r="AF251" s="3" t="str">
        <f>IFERROR(MID(VLOOKUP($B251,Seqs!$A:$B,2,0),AG251,1),"")</f>
        <v>C</v>
      </c>
      <c r="AG251" s="3">
        <v>187</v>
      </c>
      <c r="AH251" s="3" t="str">
        <f>IFERROR(MID(VLOOKUP($B251,Seqs!$A:$B,2,0),AI251,1),"")</f>
        <v>I</v>
      </c>
      <c r="AI251" s="3">
        <v>189</v>
      </c>
      <c r="AJ251" s="3" t="str">
        <f>IFERROR(MID(VLOOKUP($B251,Seqs!$A:$B,2,0),AK251,1),"")</f>
        <v>N</v>
      </c>
      <c r="AK251" s="3">
        <v>199</v>
      </c>
      <c r="AL251" s="3" t="str">
        <f>IFERROR(MID(VLOOKUP($B251,Seqs!$A:$B,2,0),AM251,1),"")</f>
        <v>Q</v>
      </c>
      <c r="AM251" s="3">
        <v>236</v>
      </c>
      <c r="AN251" s="3" t="str">
        <f>IFERROR(MID(VLOOKUP($B251,Seqs!$A:$B,2,0),AO251,1),"")</f>
        <v>S</v>
      </c>
      <c r="AO251" s="3">
        <v>240</v>
      </c>
      <c r="AP251" s="3" t="str">
        <f>IFERROR(MID(VLOOKUP($B251,Seqs!$A:$B,2,0),AQ251,1),"")</f>
        <v>H</v>
      </c>
      <c r="AQ251" s="3">
        <v>278</v>
      </c>
      <c r="AR251" s="3" t="str">
        <f>IFERROR(MID(VLOOKUP($B251,Seqs!$A:$B,2,0),AS251,1),"")</f>
        <v>G</v>
      </c>
      <c r="AS251" s="3">
        <v>284</v>
      </c>
      <c r="AT251" s="3" t="str">
        <f>IFERROR(MID(VLOOKUP($B251,Seqs!$A:$B,2,0),AU251,1),"")</f>
        <v>M</v>
      </c>
      <c r="AU251" s="3">
        <v>309</v>
      </c>
      <c r="AV251" s="3" t="str">
        <f>IFERROR(MID(VLOOKUP($B251,Seqs!$A:$B,2,0),AW251,1),"")</f>
        <v>N</v>
      </c>
      <c r="AW251" s="3">
        <v>310</v>
      </c>
      <c r="AX251" s="3" t="str">
        <f>IFERROR(MID(VLOOKUP($B251,Seqs!$A:$B,2,0),AY251,1),"")</f>
        <v>C</v>
      </c>
      <c r="AY251" s="3">
        <v>322</v>
      </c>
      <c r="AZ251" s="77" t="str">
        <f>VLOOKUP(B251,Classification!A:D,2,0)</f>
        <v>A</v>
      </c>
      <c r="BA251" s="94" t="str">
        <f>VLOOKUP(B251,Classification!A:D,4,0)</f>
        <v>Opsins</v>
      </c>
      <c r="BB251" s="27" t="b">
        <f t="shared" si="1455"/>
        <v>1</v>
      </c>
      <c r="BC251" s="23">
        <f t="shared" si="1456"/>
        <v>250</v>
      </c>
      <c r="BD251" s="2" t="s">
        <v>23</v>
      </c>
      <c r="BE251" s="3" t="s">
        <v>1292</v>
      </c>
      <c r="BF251" s="119">
        <v>3.2</v>
      </c>
      <c r="BG251" s="49" t="s">
        <v>1</v>
      </c>
      <c r="BH251" s="49" t="s">
        <v>1</v>
      </c>
      <c r="BI251" s="1"/>
      <c r="BJ251" s="70" t="s">
        <v>1288</v>
      </c>
      <c r="BK251" s="57" t="s">
        <v>1288</v>
      </c>
      <c r="BL251" s="57" t="s">
        <v>1288</v>
      </c>
      <c r="BM251" s="57" t="s">
        <v>1288</v>
      </c>
      <c r="BN251" s="57" t="s">
        <v>1288</v>
      </c>
      <c r="BO251" s="57" t="s">
        <v>1288</v>
      </c>
      <c r="BP251" s="57" t="s">
        <v>1288</v>
      </c>
      <c r="BQ251" s="57" t="s">
        <v>1288</v>
      </c>
      <c r="BR251" s="57" t="s">
        <v>1288</v>
      </c>
      <c r="BS251" s="57" t="s">
        <v>1288</v>
      </c>
      <c r="BT251" s="57" t="s">
        <v>1288</v>
      </c>
      <c r="BU251" s="57" t="s">
        <v>1288</v>
      </c>
      <c r="BV251" s="70">
        <f t="shared" si="1457"/>
        <v>33</v>
      </c>
      <c r="BW251" s="71">
        <f t="shared" si="1458"/>
        <v>66</v>
      </c>
      <c r="BX251" s="72">
        <f t="shared" si="1459"/>
        <v>73</v>
      </c>
      <c r="BY251" s="71">
        <f t="shared" si="1460"/>
        <v>102</v>
      </c>
      <c r="BZ251" s="72">
        <f t="shared" si="1461"/>
        <v>107</v>
      </c>
      <c r="CA251" s="71" t="str">
        <f t="shared" si="1462"/>
        <v>-</v>
      </c>
      <c r="CB251" s="72">
        <f t="shared" si="1463"/>
        <v>149</v>
      </c>
      <c r="CC251" s="71">
        <f t="shared" si="1464"/>
        <v>187</v>
      </c>
      <c r="CD251" s="72">
        <f t="shared" si="1465"/>
        <v>199</v>
      </c>
      <c r="CE251" s="71">
        <f t="shared" si="1466"/>
        <v>240</v>
      </c>
      <c r="CF251" s="72">
        <f t="shared" si="1467"/>
        <v>284</v>
      </c>
      <c r="CG251" s="71">
        <f t="shared" si="1468"/>
        <v>310</v>
      </c>
      <c r="CH251" s="70">
        <f t="shared" si="1469"/>
        <v>64</v>
      </c>
      <c r="CI251" s="71">
        <f t="shared" si="1470"/>
        <v>69</v>
      </c>
      <c r="CJ251" s="72">
        <f t="shared" si="1471"/>
        <v>101</v>
      </c>
      <c r="CK251" s="72">
        <f t="shared" si="1472"/>
        <v>106</v>
      </c>
      <c r="CL251" s="72">
        <f t="shared" si="1473"/>
        <v>141</v>
      </c>
      <c r="CM251" s="72" t="str">
        <f t="shared" si="1474"/>
        <v>-</v>
      </c>
      <c r="CN251" s="72">
        <f t="shared" si="1475"/>
        <v>173</v>
      </c>
      <c r="CO251" s="72">
        <f t="shared" si="1476"/>
        <v>189</v>
      </c>
      <c r="CP251" s="72">
        <f t="shared" si="1477"/>
        <v>236</v>
      </c>
      <c r="CQ251" s="72">
        <f t="shared" si="1478"/>
        <v>278</v>
      </c>
      <c r="CR251" s="72">
        <f t="shared" si="1479"/>
        <v>309</v>
      </c>
      <c r="CS251" s="72">
        <f t="shared" si="1480"/>
        <v>322</v>
      </c>
      <c r="CT251" s="23">
        <f t="shared" si="1481"/>
        <v>4</v>
      </c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</row>
    <row r="252" spans="1:1030" x14ac:dyDescent="0.2">
      <c r="A252" s="3" t="str">
        <f t="shared" si="1454"/>
        <v>opsd_bovin_6FK6</v>
      </c>
      <c r="B252" s="3" t="s">
        <v>920</v>
      </c>
      <c r="C252" s="3" t="s">
        <v>1482</v>
      </c>
      <c r="D252" s="3" t="str">
        <f>IFERROR(MID(VLOOKUP($B252,Seqs!$A:$B,2,0),E252,1),"")</f>
        <v>E</v>
      </c>
      <c r="E252" s="3">
        <v>33</v>
      </c>
      <c r="F252" s="3" t="str">
        <f>IFERROR(MID(VLOOKUP($B252,Seqs!$A:$B,2,0),G252,1),"")</f>
        <v>Q</v>
      </c>
      <c r="G252" s="3">
        <v>64</v>
      </c>
      <c r="H252" s="3" t="str">
        <f>IFERROR(MID(VLOOKUP($B252,Seqs!$A:$B,2,0),I252,1),"")</f>
        <v>K</v>
      </c>
      <c r="I252" s="23">
        <v>66</v>
      </c>
      <c r="J252" s="3" t="str">
        <f>IFERROR(MID(VLOOKUP($B252,Seqs!$A:$B,2,0),K252,1),"")</f>
        <v>R</v>
      </c>
      <c r="K252" s="23">
        <v>69</v>
      </c>
      <c r="L252" s="3" t="str">
        <f>IFERROR(MID(VLOOKUP($B252,Seqs!$A:$B,2,0),M252,1),"")</f>
        <v>N</v>
      </c>
      <c r="M252" s="3">
        <v>73</v>
      </c>
      <c r="N252" s="3" t="str">
        <f>IFERROR(MID(VLOOKUP($B252,Seqs!$A:$B,2,0),O252,1),"")</f>
        <v>G</v>
      </c>
      <c r="O252" s="3">
        <v>101</v>
      </c>
      <c r="P252" s="3" t="str">
        <f>IFERROR(MID(VLOOKUP($B252,Seqs!$A:$B,2,0),Q252,1),"")</f>
        <v>Y</v>
      </c>
      <c r="Q252" s="3">
        <v>102</v>
      </c>
      <c r="R252" s="3" t="str">
        <f>IFERROR(MID(VLOOKUP($B252,Seqs!$A:$B,2,0),S252,1),"")</f>
        <v>G</v>
      </c>
      <c r="S252" s="3">
        <v>106</v>
      </c>
      <c r="T252" s="3" t="str">
        <f>IFERROR(MID(VLOOKUP($B252,Seqs!$A:$B,2,0),U252,1),"")</f>
        <v>P</v>
      </c>
      <c r="U252" s="3">
        <v>107</v>
      </c>
      <c r="V252" s="3" t="str">
        <f>IFERROR(MID(VLOOKUP($B252,Seqs!$A:$B,2,0),W252,1),"")</f>
        <v>K</v>
      </c>
      <c r="W252" s="3">
        <v>141</v>
      </c>
      <c r="X252" s="3" t="str">
        <f>IFERROR(MID(VLOOKUP($B252,Seqs!$A:$B,2,0),Y252,1),"")</f>
        <v/>
      </c>
      <c r="Y252" s="3" t="s">
        <v>23</v>
      </c>
      <c r="Z252" s="3" t="str">
        <f>IFERROR(MID(VLOOKUP($B252,Seqs!$A:$B,2,0),AA252,1),"")</f>
        <v/>
      </c>
      <c r="AA252" s="3" t="s">
        <v>23</v>
      </c>
      <c r="AB252" s="3" t="str">
        <f>IFERROR(MID(VLOOKUP($B252,Seqs!$A:$B,2,0),AC252,1),"")</f>
        <v>G</v>
      </c>
      <c r="AC252" s="3">
        <v>149</v>
      </c>
      <c r="AD252" s="3" t="str">
        <f>IFERROR(MID(VLOOKUP($B252,Seqs!$A:$B,2,0),AE252,1),"")</f>
        <v>V</v>
      </c>
      <c r="AE252" s="3">
        <v>173</v>
      </c>
      <c r="AF252" s="3" t="str">
        <f>IFERROR(MID(VLOOKUP($B252,Seqs!$A:$B,2,0),AG252,1),"")</f>
        <v>C</v>
      </c>
      <c r="AG252" s="3">
        <v>187</v>
      </c>
      <c r="AH252" s="3" t="str">
        <f>IFERROR(MID(VLOOKUP($B252,Seqs!$A:$B,2,0),AI252,1),"")</f>
        <v>I</v>
      </c>
      <c r="AI252" s="3">
        <v>189</v>
      </c>
      <c r="AJ252" s="3" t="str">
        <f>IFERROR(MID(VLOOKUP($B252,Seqs!$A:$B,2,0),AK252,1),"")</f>
        <v>N</v>
      </c>
      <c r="AK252" s="3">
        <v>199</v>
      </c>
      <c r="AL252" s="3" t="str">
        <f>IFERROR(MID(VLOOKUP($B252,Seqs!$A:$B,2,0),AM252,1),"")</f>
        <v>Q</v>
      </c>
      <c r="AM252" s="3">
        <v>236</v>
      </c>
      <c r="AN252" s="3" t="str">
        <f>IFERROR(MID(VLOOKUP($B252,Seqs!$A:$B,2,0),AO252,1),"")</f>
        <v>S</v>
      </c>
      <c r="AO252" s="3">
        <v>240</v>
      </c>
      <c r="AP252" s="3" t="str">
        <f>IFERROR(MID(VLOOKUP($B252,Seqs!$A:$B,2,0),AQ252,1),"")</f>
        <v>H</v>
      </c>
      <c r="AQ252" s="3">
        <v>278</v>
      </c>
      <c r="AR252" s="3" t="str">
        <f>IFERROR(MID(VLOOKUP($B252,Seqs!$A:$B,2,0),AS252,1),"")</f>
        <v>G</v>
      </c>
      <c r="AS252" s="3">
        <v>284</v>
      </c>
      <c r="AT252" s="3" t="str">
        <f>IFERROR(MID(VLOOKUP($B252,Seqs!$A:$B,2,0),AU252,1),"")</f>
        <v>M</v>
      </c>
      <c r="AU252" s="3">
        <v>309</v>
      </c>
      <c r="AV252" s="3" t="str">
        <f>IFERROR(MID(VLOOKUP($B252,Seqs!$A:$B,2,0),AW252,1),"")</f>
        <v>N</v>
      </c>
      <c r="AW252" s="3">
        <v>310</v>
      </c>
      <c r="AX252" s="3" t="str">
        <f>IFERROR(MID(VLOOKUP($B252,Seqs!$A:$B,2,0),AY252,1),"")</f>
        <v>C</v>
      </c>
      <c r="AY252" s="3">
        <v>322</v>
      </c>
      <c r="AZ252" s="77" t="str">
        <f>VLOOKUP(B252,Classification!A:D,2,0)</f>
        <v>A</v>
      </c>
      <c r="BA252" s="94" t="str">
        <f>VLOOKUP(B252,Classification!A:D,4,0)</f>
        <v>Opsins</v>
      </c>
      <c r="BB252" s="27" t="b">
        <f t="shared" si="1455"/>
        <v>1</v>
      </c>
      <c r="BC252" s="23">
        <f t="shared" si="1456"/>
        <v>250</v>
      </c>
      <c r="BD252" s="2" t="s">
        <v>23</v>
      </c>
      <c r="BE252" s="3" t="s">
        <v>1292</v>
      </c>
      <c r="BF252" s="119">
        <v>2.36</v>
      </c>
      <c r="BG252" s="49" t="s">
        <v>1</v>
      </c>
      <c r="BH252" s="49" t="s">
        <v>1</v>
      </c>
      <c r="BI252" s="1"/>
      <c r="BJ252" s="70" t="s">
        <v>1288</v>
      </c>
      <c r="BK252" s="57" t="s">
        <v>1288</v>
      </c>
      <c r="BL252" s="57" t="s">
        <v>1288</v>
      </c>
      <c r="BM252" s="57" t="s">
        <v>1288</v>
      </c>
      <c r="BN252" s="57" t="s">
        <v>1288</v>
      </c>
      <c r="BO252" s="57" t="s">
        <v>1288</v>
      </c>
      <c r="BP252" s="57" t="s">
        <v>1288</v>
      </c>
      <c r="BQ252" s="57" t="s">
        <v>1288</v>
      </c>
      <c r="BR252" s="57" t="s">
        <v>1288</v>
      </c>
      <c r="BS252" s="57" t="s">
        <v>1288</v>
      </c>
      <c r="BT252" s="57" t="s">
        <v>1288</v>
      </c>
      <c r="BU252" s="57" t="s">
        <v>1288</v>
      </c>
      <c r="BV252" s="70">
        <f t="shared" si="1457"/>
        <v>33</v>
      </c>
      <c r="BW252" s="71">
        <f t="shared" si="1458"/>
        <v>66</v>
      </c>
      <c r="BX252" s="72">
        <f t="shared" si="1459"/>
        <v>73</v>
      </c>
      <c r="BY252" s="71">
        <f t="shared" si="1460"/>
        <v>102</v>
      </c>
      <c r="BZ252" s="72">
        <f t="shared" si="1461"/>
        <v>107</v>
      </c>
      <c r="CA252" s="71" t="str">
        <f t="shared" si="1462"/>
        <v>-</v>
      </c>
      <c r="CB252" s="72">
        <f t="shared" si="1463"/>
        <v>149</v>
      </c>
      <c r="CC252" s="71">
        <f t="shared" si="1464"/>
        <v>187</v>
      </c>
      <c r="CD252" s="72">
        <f t="shared" si="1465"/>
        <v>199</v>
      </c>
      <c r="CE252" s="71">
        <f t="shared" si="1466"/>
        <v>240</v>
      </c>
      <c r="CF252" s="72">
        <f t="shared" si="1467"/>
        <v>284</v>
      </c>
      <c r="CG252" s="71">
        <f t="shared" si="1468"/>
        <v>310</v>
      </c>
      <c r="CH252" s="70">
        <f t="shared" si="1469"/>
        <v>64</v>
      </c>
      <c r="CI252" s="71">
        <f t="shared" si="1470"/>
        <v>69</v>
      </c>
      <c r="CJ252" s="72">
        <f t="shared" si="1471"/>
        <v>101</v>
      </c>
      <c r="CK252" s="72">
        <f t="shared" si="1472"/>
        <v>106</v>
      </c>
      <c r="CL252" s="72">
        <f t="shared" si="1473"/>
        <v>141</v>
      </c>
      <c r="CM252" s="72" t="str">
        <f t="shared" si="1474"/>
        <v>-</v>
      </c>
      <c r="CN252" s="72">
        <f t="shared" si="1475"/>
        <v>173</v>
      </c>
      <c r="CO252" s="72">
        <f t="shared" si="1476"/>
        <v>189</v>
      </c>
      <c r="CP252" s="72">
        <f t="shared" si="1477"/>
        <v>236</v>
      </c>
      <c r="CQ252" s="72">
        <f t="shared" si="1478"/>
        <v>278</v>
      </c>
      <c r="CR252" s="72">
        <f t="shared" si="1479"/>
        <v>309</v>
      </c>
      <c r="CS252" s="72">
        <f t="shared" si="1480"/>
        <v>322</v>
      </c>
      <c r="CT252" s="23">
        <f t="shared" si="1481"/>
        <v>4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</row>
    <row r="253" spans="1:1030" x14ac:dyDescent="0.2">
      <c r="A253" s="3" t="str">
        <f t="shared" si="1454"/>
        <v>opsd_bovin_6FK7</v>
      </c>
      <c r="B253" s="3" t="s">
        <v>920</v>
      </c>
      <c r="C253" s="3" t="s">
        <v>1483</v>
      </c>
      <c r="D253" s="3" t="str">
        <f>IFERROR(MID(VLOOKUP($B253,Seqs!$A:$B,2,0),E253,1),"")</f>
        <v>E</v>
      </c>
      <c r="E253" s="3">
        <v>33</v>
      </c>
      <c r="F253" s="3" t="str">
        <f>IFERROR(MID(VLOOKUP($B253,Seqs!$A:$B,2,0),G253,1),"")</f>
        <v>Q</v>
      </c>
      <c r="G253" s="3">
        <v>64</v>
      </c>
      <c r="H253" s="3" t="str">
        <f>IFERROR(MID(VLOOKUP($B253,Seqs!$A:$B,2,0),I253,1),"")</f>
        <v>K</v>
      </c>
      <c r="I253" s="23">
        <v>66</v>
      </c>
      <c r="J253" s="3" t="str">
        <f>IFERROR(MID(VLOOKUP($B253,Seqs!$A:$B,2,0),K253,1),"")</f>
        <v>R</v>
      </c>
      <c r="K253" s="23">
        <v>69</v>
      </c>
      <c r="L253" s="3" t="str">
        <f>IFERROR(MID(VLOOKUP($B253,Seqs!$A:$B,2,0),M253,1),"")</f>
        <v>N</v>
      </c>
      <c r="M253" s="3">
        <v>73</v>
      </c>
      <c r="N253" s="3" t="str">
        <f>IFERROR(MID(VLOOKUP($B253,Seqs!$A:$B,2,0),O253,1),"")</f>
        <v>G</v>
      </c>
      <c r="O253" s="3">
        <v>101</v>
      </c>
      <c r="P253" s="3" t="str">
        <f>IFERROR(MID(VLOOKUP($B253,Seqs!$A:$B,2,0),Q253,1),"")</f>
        <v>Y</v>
      </c>
      <c r="Q253" s="3">
        <v>102</v>
      </c>
      <c r="R253" s="3" t="str">
        <f>IFERROR(MID(VLOOKUP($B253,Seqs!$A:$B,2,0),S253,1),"")</f>
        <v>G</v>
      </c>
      <c r="S253" s="3">
        <v>106</v>
      </c>
      <c r="T253" s="3" t="str">
        <f>IFERROR(MID(VLOOKUP($B253,Seqs!$A:$B,2,0),U253,1),"")</f>
        <v>P</v>
      </c>
      <c r="U253" s="3">
        <v>107</v>
      </c>
      <c r="V253" s="3" t="str">
        <f>IFERROR(MID(VLOOKUP($B253,Seqs!$A:$B,2,0),W253,1),"")</f>
        <v>K</v>
      </c>
      <c r="W253" s="3">
        <v>141</v>
      </c>
      <c r="X253" s="3" t="str">
        <f>IFERROR(MID(VLOOKUP($B253,Seqs!$A:$B,2,0),Y253,1),"")</f>
        <v/>
      </c>
      <c r="Y253" s="3" t="s">
        <v>23</v>
      </c>
      <c r="Z253" s="3" t="str">
        <f>IFERROR(MID(VLOOKUP($B253,Seqs!$A:$B,2,0),AA253,1),"")</f>
        <v/>
      </c>
      <c r="AA253" s="3" t="s">
        <v>23</v>
      </c>
      <c r="AB253" s="3" t="str">
        <f>IFERROR(MID(VLOOKUP($B253,Seqs!$A:$B,2,0),AC253,1),"")</f>
        <v>G</v>
      </c>
      <c r="AC253" s="3">
        <v>149</v>
      </c>
      <c r="AD253" s="3" t="str">
        <f>IFERROR(MID(VLOOKUP($B253,Seqs!$A:$B,2,0),AE253,1),"")</f>
        <v>V</v>
      </c>
      <c r="AE253" s="3">
        <v>173</v>
      </c>
      <c r="AF253" s="3" t="str">
        <f>IFERROR(MID(VLOOKUP($B253,Seqs!$A:$B,2,0),AG253,1),"")</f>
        <v>C</v>
      </c>
      <c r="AG253" s="3">
        <v>187</v>
      </c>
      <c r="AH253" s="3" t="str">
        <f>IFERROR(MID(VLOOKUP($B253,Seqs!$A:$B,2,0),AI253,1),"")</f>
        <v>I</v>
      </c>
      <c r="AI253" s="3">
        <v>189</v>
      </c>
      <c r="AJ253" s="3" t="str">
        <f>IFERROR(MID(VLOOKUP($B253,Seqs!$A:$B,2,0),AK253,1),"")</f>
        <v>N</v>
      </c>
      <c r="AK253" s="3">
        <v>199</v>
      </c>
      <c r="AL253" s="3" t="str">
        <f>IFERROR(MID(VLOOKUP($B253,Seqs!$A:$B,2,0),AM253,1),"")</f>
        <v>Q</v>
      </c>
      <c r="AM253" s="3">
        <v>236</v>
      </c>
      <c r="AN253" s="3" t="str">
        <f>IFERROR(MID(VLOOKUP($B253,Seqs!$A:$B,2,0),AO253,1),"")</f>
        <v>S</v>
      </c>
      <c r="AO253" s="3">
        <v>240</v>
      </c>
      <c r="AP253" s="3" t="str">
        <f>IFERROR(MID(VLOOKUP($B253,Seqs!$A:$B,2,0),AQ253,1),"")</f>
        <v>H</v>
      </c>
      <c r="AQ253" s="3">
        <v>278</v>
      </c>
      <c r="AR253" s="3" t="str">
        <f>IFERROR(MID(VLOOKUP($B253,Seqs!$A:$B,2,0),AS253,1),"")</f>
        <v>G</v>
      </c>
      <c r="AS253" s="3">
        <v>284</v>
      </c>
      <c r="AT253" s="3" t="str">
        <f>IFERROR(MID(VLOOKUP($B253,Seqs!$A:$B,2,0),AU253,1),"")</f>
        <v>M</v>
      </c>
      <c r="AU253" s="3">
        <v>309</v>
      </c>
      <c r="AV253" s="3" t="str">
        <f>IFERROR(MID(VLOOKUP($B253,Seqs!$A:$B,2,0),AW253,1),"")</f>
        <v>N</v>
      </c>
      <c r="AW253" s="3">
        <v>310</v>
      </c>
      <c r="AX253" s="3" t="str">
        <f>IFERROR(MID(VLOOKUP($B253,Seqs!$A:$B,2,0),AY253,1),"")</f>
        <v>C</v>
      </c>
      <c r="AY253" s="3">
        <v>322</v>
      </c>
      <c r="AZ253" s="77" t="str">
        <f>VLOOKUP(B253,Classification!A:D,2,0)</f>
        <v>A</v>
      </c>
      <c r="BA253" s="94" t="str">
        <f>VLOOKUP(B253,Classification!A:D,4,0)</f>
        <v>Opsins</v>
      </c>
      <c r="BB253" s="27" t="b">
        <f t="shared" si="1455"/>
        <v>1</v>
      </c>
      <c r="BC253" s="23">
        <f t="shared" si="1456"/>
        <v>250</v>
      </c>
      <c r="BD253" s="2" t="s">
        <v>23</v>
      </c>
      <c r="BE253" s="3" t="s">
        <v>1292</v>
      </c>
      <c r="BF253" s="119">
        <v>2.62</v>
      </c>
      <c r="BG253" s="49" t="s">
        <v>1</v>
      </c>
      <c r="BH253" s="49" t="s">
        <v>1</v>
      </c>
      <c r="BI253" s="1"/>
      <c r="BJ253" s="70" t="s">
        <v>1288</v>
      </c>
      <c r="BK253" s="57" t="s">
        <v>1288</v>
      </c>
      <c r="BL253" s="57" t="s">
        <v>1288</v>
      </c>
      <c r="BM253" s="57" t="s">
        <v>1288</v>
      </c>
      <c r="BN253" s="57" t="s">
        <v>1288</v>
      </c>
      <c r="BO253" s="57" t="s">
        <v>1288</v>
      </c>
      <c r="BP253" s="57" t="s">
        <v>1288</v>
      </c>
      <c r="BQ253" s="57" t="s">
        <v>1288</v>
      </c>
      <c r="BR253" s="57" t="s">
        <v>1288</v>
      </c>
      <c r="BS253" s="57" t="s">
        <v>1288</v>
      </c>
      <c r="BT253" s="57" t="s">
        <v>1288</v>
      </c>
      <c r="BU253" s="57" t="s">
        <v>1288</v>
      </c>
      <c r="BV253" s="70">
        <f t="shared" si="1457"/>
        <v>33</v>
      </c>
      <c r="BW253" s="71">
        <f t="shared" si="1458"/>
        <v>66</v>
      </c>
      <c r="BX253" s="72">
        <f t="shared" si="1459"/>
        <v>73</v>
      </c>
      <c r="BY253" s="71">
        <f t="shared" si="1460"/>
        <v>102</v>
      </c>
      <c r="BZ253" s="72">
        <f t="shared" si="1461"/>
        <v>107</v>
      </c>
      <c r="CA253" s="71" t="str">
        <f t="shared" si="1462"/>
        <v>-</v>
      </c>
      <c r="CB253" s="72">
        <f t="shared" si="1463"/>
        <v>149</v>
      </c>
      <c r="CC253" s="71">
        <f t="shared" si="1464"/>
        <v>187</v>
      </c>
      <c r="CD253" s="72">
        <f t="shared" si="1465"/>
        <v>199</v>
      </c>
      <c r="CE253" s="71">
        <f t="shared" si="1466"/>
        <v>240</v>
      </c>
      <c r="CF253" s="72">
        <f t="shared" si="1467"/>
        <v>284</v>
      </c>
      <c r="CG253" s="71">
        <f t="shared" si="1468"/>
        <v>310</v>
      </c>
      <c r="CH253" s="70">
        <f t="shared" si="1469"/>
        <v>64</v>
      </c>
      <c r="CI253" s="71">
        <f t="shared" si="1470"/>
        <v>69</v>
      </c>
      <c r="CJ253" s="72">
        <f t="shared" si="1471"/>
        <v>101</v>
      </c>
      <c r="CK253" s="72">
        <f t="shared" si="1472"/>
        <v>106</v>
      </c>
      <c r="CL253" s="72">
        <f t="shared" si="1473"/>
        <v>141</v>
      </c>
      <c r="CM253" s="72" t="str">
        <f t="shared" si="1474"/>
        <v>-</v>
      </c>
      <c r="CN253" s="72">
        <f t="shared" si="1475"/>
        <v>173</v>
      </c>
      <c r="CO253" s="72">
        <f t="shared" si="1476"/>
        <v>189</v>
      </c>
      <c r="CP253" s="72">
        <f t="shared" si="1477"/>
        <v>236</v>
      </c>
      <c r="CQ253" s="72">
        <f t="shared" si="1478"/>
        <v>278</v>
      </c>
      <c r="CR253" s="72">
        <f t="shared" si="1479"/>
        <v>309</v>
      </c>
      <c r="CS253" s="72">
        <f t="shared" si="1480"/>
        <v>322</v>
      </c>
      <c r="CT253" s="23">
        <f t="shared" si="1481"/>
        <v>4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</row>
    <row r="254" spans="1:1030" x14ac:dyDescent="0.2">
      <c r="A254" s="3" t="str">
        <f t="shared" si="1454"/>
        <v>opsd_bovin_6FK8</v>
      </c>
      <c r="B254" s="3" t="s">
        <v>920</v>
      </c>
      <c r="C254" s="3" t="s">
        <v>1484</v>
      </c>
      <c r="D254" s="3" t="str">
        <f>IFERROR(MID(VLOOKUP($B254,Seqs!$A:$B,2,0),E254,1),"")</f>
        <v>E</v>
      </c>
      <c r="E254" s="3">
        <v>33</v>
      </c>
      <c r="F254" s="3" t="str">
        <f>IFERROR(MID(VLOOKUP($B254,Seqs!$A:$B,2,0),G254,1),"")</f>
        <v>Q</v>
      </c>
      <c r="G254" s="3">
        <v>64</v>
      </c>
      <c r="H254" s="3" t="str">
        <f>IFERROR(MID(VLOOKUP($B254,Seqs!$A:$B,2,0),I254,1),"")</f>
        <v>K</v>
      </c>
      <c r="I254" s="23">
        <v>66</v>
      </c>
      <c r="J254" s="3" t="str">
        <f>IFERROR(MID(VLOOKUP($B254,Seqs!$A:$B,2,0),K254,1),"")</f>
        <v>R</v>
      </c>
      <c r="K254" s="23">
        <v>69</v>
      </c>
      <c r="L254" s="3" t="str">
        <f>IFERROR(MID(VLOOKUP($B254,Seqs!$A:$B,2,0),M254,1),"")</f>
        <v>N</v>
      </c>
      <c r="M254" s="3">
        <v>73</v>
      </c>
      <c r="N254" s="3" t="str">
        <f>IFERROR(MID(VLOOKUP($B254,Seqs!$A:$B,2,0),O254,1),"")</f>
        <v>G</v>
      </c>
      <c r="O254" s="3">
        <v>101</v>
      </c>
      <c r="P254" s="3" t="str">
        <f>IFERROR(MID(VLOOKUP($B254,Seqs!$A:$B,2,0),Q254,1),"")</f>
        <v>Y</v>
      </c>
      <c r="Q254" s="3">
        <v>102</v>
      </c>
      <c r="R254" s="3" t="str">
        <f>IFERROR(MID(VLOOKUP($B254,Seqs!$A:$B,2,0),S254,1),"")</f>
        <v>G</v>
      </c>
      <c r="S254" s="3">
        <v>106</v>
      </c>
      <c r="T254" s="3" t="str">
        <f>IFERROR(MID(VLOOKUP($B254,Seqs!$A:$B,2,0),U254,1),"")</f>
        <v>P</v>
      </c>
      <c r="U254" s="3">
        <v>107</v>
      </c>
      <c r="V254" s="3" t="str">
        <f>IFERROR(MID(VLOOKUP($B254,Seqs!$A:$B,2,0),W254,1),"")</f>
        <v>K</v>
      </c>
      <c r="W254" s="3">
        <v>141</v>
      </c>
      <c r="X254" s="3" t="str">
        <f>IFERROR(MID(VLOOKUP($B254,Seqs!$A:$B,2,0),Y254,1),"")</f>
        <v/>
      </c>
      <c r="Y254" s="3" t="s">
        <v>23</v>
      </c>
      <c r="Z254" s="3" t="str">
        <f>IFERROR(MID(VLOOKUP($B254,Seqs!$A:$B,2,0),AA254,1),"")</f>
        <v/>
      </c>
      <c r="AA254" s="3" t="s">
        <v>23</v>
      </c>
      <c r="AB254" s="3" t="str">
        <f>IFERROR(MID(VLOOKUP($B254,Seqs!$A:$B,2,0),AC254,1),"")</f>
        <v>G</v>
      </c>
      <c r="AC254" s="3">
        <v>149</v>
      </c>
      <c r="AD254" s="3" t="str">
        <f>IFERROR(MID(VLOOKUP($B254,Seqs!$A:$B,2,0),AE254,1),"")</f>
        <v>V</v>
      </c>
      <c r="AE254" s="3">
        <v>173</v>
      </c>
      <c r="AF254" s="3" t="str">
        <f>IFERROR(MID(VLOOKUP($B254,Seqs!$A:$B,2,0),AG254,1),"")</f>
        <v>C</v>
      </c>
      <c r="AG254" s="3">
        <v>187</v>
      </c>
      <c r="AH254" s="3" t="str">
        <f>IFERROR(MID(VLOOKUP($B254,Seqs!$A:$B,2,0),AI254,1),"")</f>
        <v>I</v>
      </c>
      <c r="AI254" s="3">
        <v>189</v>
      </c>
      <c r="AJ254" s="3" t="str">
        <f>IFERROR(MID(VLOOKUP($B254,Seqs!$A:$B,2,0),AK254,1),"")</f>
        <v>N</v>
      </c>
      <c r="AK254" s="3">
        <v>199</v>
      </c>
      <c r="AL254" s="3" t="str">
        <f>IFERROR(MID(VLOOKUP($B254,Seqs!$A:$B,2,0),AM254,1),"")</f>
        <v>Q</v>
      </c>
      <c r="AM254" s="3">
        <v>236</v>
      </c>
      <c r="AN254" s="3" t="str">
        <f>IFERROR(MID(VLOOKUP($B254,Seqs!$A:$B,2,0),AO254,1),"")</f>
        <v>S</v>
      </c>
      <c r="AO254" s="3">
        <v>240</v>
      </c>
      <c r="AP254" s="3" t="str">
        <f>IFERROR(MID(VLOOKUP($B254,Seqs!$A:$B,2,0),AQ254,1),"")</f>
        <v>H</v>
      </c>
      <c r="AQ254" s="3">
        <v>278</v>
      </c>
      <c r="AR254" s="3" t="str">
        <f>IFERROR(MID(VLOOKUP($B254,Seqs!$A:$B,2,0),AS254,1),"")</f>
        <v>G</v>
      </c>
      <c r="AS254" s="3">
        <v>284</v>
      </c>
      <c r="AT254" s="3" t="str">
        <f>IFERROR(MID(VLOOKUP($B254,Seqs!$A:$B,2,0),AU254,1),"")</f>
        <v>M</v>
      </c>
      <c r="AU254" s="3">
        <v>309</v>
      </c>
      <c r="AV254" s="3" t="str">
        <f>IFERROR(MID(VLOOKUP($B254,Seqs!$A:$B,2,0),AW254,1),"")</f>
        <v>N</v>
      </c>
      <c r="AW254" s="3">
        <v>310</v>
      </c>
      <c r="AX254" s="3" t="str">
        <f>IFERROR(MID(VLOOKUP($B254,Seqs!$A:$B,2,0),AY254,1),"")</f>
        <v>C</v>
      </c>
      <c r="AY254" s="3">
        <v>322</v>
      </c>
      <c r="AZ254" s="77" t="str">
        <f>VLOOKUP(B254,Classification!A:D,2,0)</f>
        <v>A</v>
      </c>
      <c r="BA254" s="94" t="str">
        <f>VLOOKUP(B254,Classification!A:D,4,0)</f>
        <v>Opsins</v>
      </c>
      <c r="BB254" s="27" t="b">
        <f t="shared" si="1455"/>
        <v>1</v>
      </c>
      <c r="BC254" s="23">
        <f t="shared" si="1456"/>
        <v>250</v>
      </c>
      <c r="BD254" s="2" t="s">
        <v>23</v>
      </c>
      <c r="BE254" s="3" t="s">
        <v>1292</v>
      </c>
      <c r="BF254" s="119">
        <v>2.87</v>
      </c>
      <c r="BG254" s="49" t="s">
        <v>1</v>
      </c>
      <c r="BH254" s="49" t="s">
        <v>1</v>
      </c>
      <c r="BI254" s="1"/>
      <c r="BJ254" s="70" t="s">
        <v>1288</v>
      </c>
      <c r="BK254" s="57" t="s">
        <v>1288</v>
      </c>
      <c r="BL254" s="57" t="s">
        <v>1288</v>
      </c>
      <c r="BM254" s="57" t="s">
        <v>1288</v>
      </c>
      <c r="BN254" s="57" t="s">
        <v>1288</v>
      </c>
      <c r="BO254" s="57" t="s">
        <v>1288</v>
      </c>
      <c r="BP254" s="57" t="s">
        <v>1288</v>
      </c>
      <c r="BQ254" s="57" t="s">
        <v>1288</v>
      </c>
      <c r="BR254" s="57" t="s">
        <v>1288</v>
      </c>
      <c r="BS254" s="57" t="s">
        <v>1288</v>
      </c>
      <c r="BT254" s="57" t="s">
        <v>1288</v>
      </c>
      <c r="BU254" s="57" t="s">
        <v>1288</v>
      </c>
      <c r="BV254" s="70">
        <f t="shared" si="1457"/>
        <v>33</v>
      </c>
      <c r="BW254" s="71">
        <f t="shared" si="1458"/>
        <v>66</v>
      </c>
      <c r="BX254" s="72">
        <f t="shared" si="1459"/>
        <v>73</v>
      </c>
      <c r="BY254" s="71">
        <f t="shared" si="1460"/>
        <v>102</v>
      </c>
      <c r="BZ254" s="72">
        <f t="shared" si="1461"/>
        <v>107</v>
      </c>
      <c r="CA254" s="71" t="str">
        <f t="shared" si="1462"/>
        <v>-</v>
      </c>
      <c r="CB254" s="72">
        <f t="shared" si="1463"/>
        <v>149</v>
      </c>
      <c r="CC254" s="71">
        <f t="shared" si="1464"/>
        <v>187</v>
      </c>
      <c r="CD254" s="72">
        <f t="shared" si="1465"/>
        <v>199</v>
      </c>
      <c r="CE254" s="71">
        <f t="shared" si="1466"/>
        <v>240</v>
      </c>
      <c r="CF254" s="72">
        <f t="shared" si="1467"/>
        <v>284</v>
      </c>
      <c r="CG254" s="71">
        <f t="shared" si="1468"/>
        <v>310</v>
      </c>
      <c r="CH254" s="70">
        <f t="shared" si="1469"/>
        <v>64</v>
      </c>
      <c r="CI254" s="71">
        <f t="shared" si="1470"/>
        <v>69</v>
      </c>
      <c r="CJ254" s="72">
        <f t="shared" si="1471"/>
        <v>101</v>
      </c>
      <c r="CK254" s="72">
        <f t="shared" si="1472"/>
        <v>106</v>
      </c>
      <c r="CL254" s="72">
        <f t="shared" si="1473"/>
        <v>141</v>
      </c>
      <c r="CM254" s="72" t="str">
        <f t="shared" si="1474"/>
        <v>-</v>
      </c>
      <c r="CN254" s="72">
        <f t="shared" si="1475"/>
        <v>173</v>
      </c>
      <c r="CO254" s="72">
        <f t="shared" si="1476"/>
        <v>189</v>
      </c>
      <c r="CP254" s="72">
        <f t="shared" si="1477"/>
        <v>236</v>
      </c>
      <c r="CQ254" s="72">
        <f t="shared" si="1478"/>
        <v>278</v>
      </c>
      <c r="CR254" s="72">
        <f t="shared" si="1479"/>
        <v>309</v>
      </c>
      <c r="CS254" s="72">
        <f t="shared" si="1480"/>
        <v>322</v>
      </c>
      <c r="CT254" s="23">
        <f t="shared" si="1481"/>
        <v>4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</row>
    <row r="255" spans="1:1030" x14ac:dyDescent="0.2">
      <c r="A255" s="3" t="str">
        <f t="shared" si="1454"/>
        <v>opsd_bovin_6FK9</v>
      </c>
      <c r="B255" s="3" t="s">
        <v>920</v>
      </c>
      <c r="C255" s="3" t="s">
        <v>1485</v>
      </c>
      <c r="D255" s="3" t="str">
        <f>IFERROR(MID(VLOOKUP($B255,Seqs!$A:$B,2,0),E255,1),"")</f>
        <v>E</v>
      </c>
      <c r="E255" s="3">
        <v>33</v>
      </c>
      <c r="F255" s="3" t="str">
        <f>IFERROR(MID(VLOOKUP($B255,Seqs!$A:$B,2,0),G255,1),"")</f>
        <v>Q</v>
      </c>
      <c r="G255" s="3">
        <v>64</v>
      </c>
      <c r="H255" s="3" t="str">
        <f>IFERROR(MID(VLOOKUP($B255,Seqs!$A:$B,2,0),I255,1),"")</f>
        <v>K</v>
      </c>
      <c r="I255" s="23">
        <v>66</v>
      </c>
      <c r="J255" s="3" t="str">
        <f>IFERROR(MID(VLOOKUP($B255,Seqs!$A:$B,2,0),K255,1),"")</f>
        <v>R</v>
      </c>
      <c r="K255" s="23">
        <v>69</v>
      </c>
      <c r="L255" s="3" t="str">
        <f>IFERROR(MID(VLOOKUP($B255,Seqs!$A:$B,2,0),M255,1),"")</f>
        <v>N</v>
      </c>
      <c r="M255" s="3">
        <v>73</v>
      </c>
      <c r="N255" s="3" t="str">
        <f>IFERROR(MID(VLOOKUP($B255,Seqs!$A:$B,2,0),O255,1),"")</f>
        <v>G</v>
      </c>
      <c r="O255" s="3">
        <v>101</v>
      </c>
      <c r="P255" s="3" t="str">
        <f>IFERROR(MID(VLOOKUP($B255,Seqs!$A:$B,2,0),Q255,1),"")</f>
        <v>Y</v>
      </c>
      <c r="Q255" s="3">
        <v>102</v>
      </c>
      <c r="R255" s="3" t="str">
        <f>IFERROR(MID(VLOOKUP($B255,Seqs!$A:$B,2,0),S255,1),"")</f>
        <v>G</v>
      </c>
      <c r="S255" s="3">
        <v>106</v>
      </c>
      <c r="T255" s="3" t="str">
        <f>IFERROR(MID(VLOOKUP($B255,Seqs!$A:$B,2,0),U255,1),"")</f>
        <v>P</v>
      </c>
      <c r="U255" s="3">
        <v>107</v>
      </c>
      <c r="V255" s="3" t="str">
        <f>IFERROR(MID(VLOOKUP($B255,Seqs!$A:$B,2,0),W255,1),"")</f>
        <v>K</v>
      </c>
      <c r="W255" s="3">
        <v>141</v>
      </c>
      <c r="X255" s="3" t="str">
        <f>IFERROR(MID(VLOOKUP($B255,Seqs!$A:$B,2,0),Y255,1),"")</f>
        <v/>
      </c>
      <c r="Y255" s="3" t="s">
        <v>23</v>
      </c>
      <c r="Z255" s="3" t="str">
        <f>IFERROR(MID(VLOOKUP($B255,Seqs!$A:$B,2,0),AA255,1),"")</f>
        <v/>
      </c>
      <c r="AA255" s="3" t="s">
        <v>23</v>
      </c>
      <c r="AB255" s="3" t="str">
        <f>IFERROR(MID(VLOOKUP($B255,Seqs!$A:$B,2,0),AC255,1),"")</f>
        <v>G</v>
      </c>
      <c r="AC255" s="3">
        <v>149</v>
      </c>
      <c r="AD255" s="3" t="str">
        <f>IFERROR(MID(VLOOKUP($B255,Seqs!$A:$B,2,0),AE255,1),"")</f>
        <v>V</v>
      </c>
      <c r="AE255" s="3">
        <v>173</v>
      </c>
      <c r="AF255" s="3" t="str">
        <f>IFERROR(MID(VLOOKUP($B255,Seqs!$A:$B,2,0),AG255,1),"")</f>
        <v>C</v>
      </c>
      <c r="AG255" s="3">
        <v>187</v>
      </c>
      <c r="AH255" s="3" t="str">
        <f>IFERROR(MID(VLOOKUP($B255,Seqs!$A:$B,2,0),AI255,1),"")</f>
        <v>I</v>
      </c>
      <c r="AI255" s="3">
        <v>189</v>
      </c>
      <c r="AJ255" s="3" t="str">
        <f>IFERROR(MID(VLOOKUP($B255,Seqs!$A:$B,2,0),AK255,1),"")</f>
        <v>N</v>
      </c>
      <c r="AK255" s="3">
        <v>199</v>
      </c>
      <c r="AL255" s="3" t="str">
        <f>IFERROR(MID(VLOOKUP($B255,Seqs!$A:$B,2,0),AM255,1),"")</f>
        <v>Q</v>
      </c>
      <c r="AM255" s="3">
        <v>236</v>
      </c>
      <c r="AN255" s="3" t="str">
        <f>IFERROR(MID(VLOOKUP($B255,Seqs!$A:$B,2,0),AO255,1),"")</f>
        <v>S</v>
      </c>
      <c r="AO255" s="3">
        <v>240</v>
      </c>
      <c r="AP255" s="3" t="str">
        <f>IFERROR(MID(VLOOKUP($B255,Seqs!$A:$B,2,0),AQ255,1),"")</f>
        <v>H</v>
      </c>
      <c r="AQ255" s="3">
        <v>278</v>
      </c>
      <c r="AR255" s="3" t="str">
        <f>IFERROR(MID(VLOOKUP($B255,Seqs!$A:$B,2,0),AS255,1),"")</f>
        <v>G</v>
      </c>
      <c r="AS255" s="3">
        <v>284</v>
      </c>
      <c r="AT255" s="3" t="str">
        <f>IFERROR(MID(VLOOKUP($B255,Seqs!$A:$B,2,0),AU255,1),"")</f>
        <v>M</v>
      </c>
      <c r="AU255" s="3">
        <v>309</v>
      </c>
      <c r="AV255" s="3" t="str">
        <f>IFERROR(MID(VLOOKUP($B255,Seqs!$A:$B,2,0),AW255,1),"")</f>
        <v>N</v>
      </c>
      <c r="AW255" s="3">
        <v>310</v>
      </c>
      <c r="AX255" s="3" t="str">
        <f>IFERROR(MID(VLOOKUP($B255,Seqs!$A:$B,2,0),AY255,1),"")</f>
        <v>C</v>
      </c>
      <c r="AY255" s="3">
        <v>322</v>
      </c>
      <c r="AZ255" s="77" t="str">
        <f>VLOOKUP(B255,Classification!A:D,2,0)</f>
        <v>A</v>
      </c>
      <c r="BA255" s="94" t="str">
        <f>VLOOKUP(B255,Classification!A:D,4,0)</f>
        <v>Opsins</v>
      </c>
      <c r="BB255" s="27" t="b">
        <f t="shared" si="1455"/>
        <v>1</v>
      </c>
      <c r="BC255" s="23">
        <f t="shared" si="1456"/>
        <v>250</v>
      </c>
      <c r="BD255" s="2" t="s">
        <v>23</v>
      </c>
      <c r="BE255" s="3" t="s">
        <v>1292</v>
      </c>
      <c r="BF255" s="119">
        <v>2.63</v>
      </c>
      <c r="BG255" s="49" t="s">
        <v>1</v>
      </c>
      <c r="BH255" s="49" t="s">
        <v>1</v>
      </c>
      <c r="BI255" s="1"/>
      <c r="BJ255" s="70" t="s">
        <v>1288</v>
      </c>
      <c r="BK255" s="57" t="s">
        <v>1288</v>
      </c>
      <c r="BL255" s="57" t="s">
        <v>1288</v>
      </c>
      <c r="BM255" s="57" t="s">
        <v>1288</v>
      </c>
      <c r="BN255" s="57" t="s">
        <v>1288</v>
      </c>
      <c r="BO255" s="57" t="s">
        <v>1288</v>
      </c>
      <c r="BP255" s="57" t="s">
        <v>1288</v>
      </c>
      <c r="BQ255" s="57" t="s">
        <v>1288</v>
      </c>
      <c r="BR255" s="57" t="s">
        <v>1288</v>
      </c>
      <c r="BS255" s="57" t="s">
        <v>1288</v>
      </c>
      <c r="BT255" s="57" t="s">
        <v>1288</v>
      </c>
      <c r="BU255" s="57" t="s">
        <v>1288</v>
      </c>
      <c r="BV255" s="70">
        <f t="shared" si="1457"/>
        <v>33</v>
      </c>
      <c r="BW255" s="71">
        <f t="shared" si="1458"/>
        <v>66</v>
      </c>
      <c r="BX255" s="72">
        <f t="shared" si="1459"/>
        <v>73</v>
      </c>
      <c r="BY255" s="71">
        <f t="shared" si="1460"/>
        <v>102</v>
      </c>
      <c r="BZ255" s="72">
        <f t="shared" si="1461"/>
        <v>107</v>
      </c>
      <c r="CA255" s="71" t="str">
        <f t="shared" si="1462"/>
        <v>-</v>
      </c>
      <c r="CB255" s="72">
        <f t="shared" si="1463"/>
        <v>149</v>
      </c>
      <c r="CC255" s="71">
        <f t="shared" si="1464"/>
        <v>187</v>
      </c>
      <c r="CD255" s="72">
        <f t="shared" si="1465"/>
        <v>199</v>
      </c>
      <c r="CE255" s="71">
        <f t="shared" si="1466"/>
        <v>240</v>
      </c>
      <c r="CF255" s="72">
        <f t="shared" si="1467"/>
        <v>284</v>
      </c>
      <c r="CG255" s="71">
        <f t="shared" si="1468"/>
        <v>310</v>
      </c>
      <c r="CH255" s="70">
        <f t="shared" si="1469"/>
        <v>64</v>
      </c>
      <c r="CI255" s="71">
        <f t="shared" si="1470"/>
        <v>69</v>
      </c>
      <c r="CJ255" s="72">
        <f t="shared" si="1471"/>
        <v>101</v>
      </c>
      <c r="CK255" s="72">
        <f t="shared" si="1472"/>
        <v>106</v>
      </c>
      <c r="CL255" s="72">
        <f t="shared" si="1473"/>
        <v>141</v>
      </c>
      <c r="CM255" s="72" t="str">
        <f t="shared" si="1474"/>
        <v>-</v>
      </c>
      <c r="CN255" s="72">
        <f t="shared" si="1475"/>
        <v>173</v>
      </c>
      <c r="CO255" s="72">
        <f t="shared" si="1476"/>
        <v>189</v>
      </c>
      <c r="CP255" s="72">
        <f t="shared" si="1477"/>
        <v>236</v>
      </c>
      <c r="CQ255" s="72">
        <f t="shared" si="1478"/>
        <v>278</v>
      </c>
      <c r="CR255" s="72">
        <f t="shared" si="1479"/>
        <v>309</v>
      </c>
      <c r="CS255" s="72">
        <f t="shared" si="1480"/>
        <v>322</v>
      </c>
      <c r="CT255" s="23">
        <f t="shared" si="1481"/>
        <v>4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</row>
    <row r="256" spans="1:1030" x14ac:dyDescent="0.2">
      <c r="A256" s="3" t="str">
        <f t="shared" si="1454"/>
        <v>opsd_bovin_6FKA</v>
      </c>
      <c r="B256" s="3" t="s">
        <v>920</v>
      </c>
      <c r="C256" s="3" t="s">
        <v>1486</v>
      </c>
      <c r="D256" s="3" t="str">
        <f>IFERROR(MID(VLOOKUP($B256,Seqs!$A:$B,2,0),E256,1),"")</f>
        <v>E</v>
      </c>
      <c r="E256" s="3">
        <v>33</v>
      </c>
      <c r="F256" s="3" t="str">
        <f>IFERROR(MID(VLOOKUP($B256,Seqs!$A:$B,2,0),G256,1),"")</f>
        <v>Q</v>
      </c>
      <c r="G256" s="3">
        <v>64</v>
      </c>
      <c r="H256" s="3" t="str">
        <f>IFERROR(MID(VLOOKUP($B256,Seqs!$A:$B,2,0),I256,1),"")</f>
        <v>K</v>
      </c>
      <c r="I256" s="23">
        <v>66</v>
      </c>
      <c r="J256" s="3" t="str">
        <f>IFERROR(MID(VLOOKUP($B256,Seqs!$A:$B,2,0),K256,1),"")</f>
        <v>R</v>
      </c>
      <c r="K256" s="23">
        <v>69</v>
      </c>
      <c r="L256" s="3" t="str">
        <f>IFERROR(MID(VLOOKUP($B256,Seqs!$A:$B,2,0),M256,1),"")</f>
        <v>N</v>
      </c>
      <c r="M256" s="3">
        <v>73</v>
      </c>
      <c r="N256" s="3" t="str">
        <f>IFERROR(MID(VLOOKUP($B256,Seqs!$A:$B,2,0),O256,1),"")</f>
        <v>G</v>
      </c>
      <c r="O256" s="3">
        <v>101</v>
      </c>
      <c r="P256" s="3" t="str">
        <f>IFERROR(MID(VLOOKUP($B256,Seqs!$A:$B,2,0),Q256,1),"")</f>
        <v>Y</v>
      </c>
      <c r="Q256" s="3">
        <v>102</v>
      </c>
      <c r="R256" s="3" t="str">
        <f>IFERROR(MID(VLOOKUP($B256,Seqs!$A:$B,2,0),S256,1),"")</f>
        <v>G</v>
      </c>
      <c r="S256" s="3">
        <v>106</v>
      </c>
      <c r="T256" s="3" t="str">
        <f>IFERROR(MID(VLOOKUP($B256,Seqs!$A:$B,2,0),U256,1),"")</f>
        <v>P</v>
      </c>
      <c r="U256" s="3">
        <v>107</v>
      </c>
      <c r="V256" s="3" t="str">
        <f>IFERROR(MID(VLOOKUP($B256,Seqs!$A:$B,2,0),W256,1),"")</f>
        <v>K</v>
      </c>
      <c r="W256" s="3">
        <v>141</v>
      </c>
      <c r="X256" s="3" t="str">
        <f>IFERROR(MID(VLOOKUP($B256,Seqs!$A:$B,2,0),Y256,1),"")</f>
        <v/>
      </c>
      <c r="Y256" s="3" t="s">
        <v>23</v>
      </c>
      <c r="Z256" s="3" t="str">
        <f>IFERROR(MID(VLOOKUP($B256,Seqs!$A:$B,2,0),AA256,1),"")</f>
        <v/>
      </c>
      <c r="AA256" s="3" t="s">
        <v>23</v>
      </c>
      <c r="AB256" s="3" t="str">
        <f>IFERROR(MID(VLOOKUP($B256,Seqs!$A:$B,2,0),AC256,1),"")</f>
        <v>G</v>
      </c>
      <c r="AC256" s="3">
        <v>149</v>
      </c>
      <c r="AD256" s="3" t="str">
        <f>IFERROR(MID(VLOOKUP($B256,Seqs!$A:$B,2,0),AE256,1),"")</f>
        <v>V</v>
      </c>
      <c r="AE256" s="3">
        <v>173</v>
      </c>
      <c r="AF256" s="3" t="str">
        <f>IFERROR(MID(VLOOKUP($B256,Seqs!$A:$B,2,0),AG256,1),"")</f>
        <v>C</v>
      </c>
      <c r="AG256" s="3">
        <v>187</v>
      </c>
      <c r="AH256" s="3" t="str">
        <f>IFERROR(MID(VLOOKUP($B256,Seqs!$A:$B,2,0),AI256,1),"")</f>
        <v>I</v>
      </c>
      <c r="AI256" s="3">
        <v>189</v>
      </c>
      <c r="AJ256" s="3" t="str">
        <f>IFERROR(MID(VLOOKUP($B256,Seqs!$A:$B,2,0),AK256,1),"")</f>
        <v>N</v>
      </c>
      <c r="AK256" s="3">
        <v>199</v>
      </c>
      <c r="AL256" s="3" t="str">
        <f>IFERROR(MID(VLOOKUP($B256,Seqs!$A:$B,2,0),AM256,1),"")</f>
        <v>Q</v>
      </c>
      <c r="AM256" s="3">
        <v>236</v>
      </c>
      <c r="AN256" s="3" t="str">
        <f>IFERROR(MID(VLOOKUP($B256,Seqs!$A:$B,2,0),AO256,1),"")</f>
        <v>S</v>
      </c>
      <c r="AO256" s="3">
        <v>240</v>
      </c>
      <c r="AP256" s="3" t="str">
        <f>IFERROR(MID(VLOOKUP($B256,Seqs!$A:$B,2,0),AQ256,1),"")</f>
        <v>H</v>
      </c>
      <c r="AQ256" s="3">
        <v>278</v>
      </c>
      <c r="AR256" s="3" t="str">
        <f>IFERROR(MID(VLOOKUP($B256,Seqs!$A:$B,2,0),AS256,1),"")</f>
        <v>G</v>
      </c>
      <c r="AS256" s="3">
        <v>284</v>
      </c>
      <c r="AT256" s="3" t="str">
        <f>IFERROR(MID(VLOOKUP($B256,Seqs!$A:$B,2,0),AU256,1),"")</f>
        <v>M</v>
      </c>
      <c r="AU256" s="3">
        <v>309</v>
      </c>
      <c r="AV256" s="3" t="str">
        <f>IFERROR(MID(VLOOKUP($B256,Seqs!$A:$B,2,0),AW256,1),"")</f>
        <v>N</v>
      </c>
      <c r="AW256" s="3">
        <v>310</v>
      </c>
      <c r="AX256" s="3" t="str">
        <f>IFERROR(MID(VLOOKUP($B256,Seqs!$A:$B,2,0),AY256,1),"")</f>
        <v>C</v>
      </c>
      <c r="AY256" s="3">
        <v>322</v>
      </c>
      <c r="AZ256" s="77" t="str">
        <f>VLOOKUP(B256,Classification!A:D,2,0)</f>
        <v>A</v>
      </c>
      <c r="BA256" s="94" t="str">
        <f>VLOOKUP(B256,Classification!A:D,4,0)</f>
        <v>Opsins</v>
      </c>
      <c r="BB256" s="27" t="b">
        <f t="shared" si="1455"/>
        <v>1</v>
      </c>
      <c r="BC256" s="23">
        <f t="shared" si="1456"/>
        <v>250</v>
      </c>
      <c r="BD256" s="2" t="s">
        <v>23</v>
      </c>
      <c r="BE256" s="3" t="s">
        <v>1292</v>
      </c>
      <c r="BF256" s="119">
        <v>2.7</v>
      </c>
      <c r="BG256" s="49" t="s">
        <v>1</v>
      </c>
      <c r="BH256" s="49" t="s">
        <v>1</v>
      </c>
      <c r="BI256" s="1"/>
      <c r="BJ256" s="70" t="s">
        <v>1288</v>
      </c>
      <c r="BK256" s="57" t="s">
        <v>1288</v>
      </c>
      <c r="BL256" s="57" t="s">
        <v>1288</v>
      </c>
      <c r="BM256" s="57" t="s">
        <v>1288</v>
      </c>
      <c r="BN256" s="57" t="s">
        <v>1288</v>
      </c>
      <c r="BO256" s="57" t="s">
        <v>1288</v>
      </c>
      <c r="BP256" s="57" t="s">
        <v>1288</v>
      </c>
      <c r="BQ256" s="57" t="s">
        <v>1288</v>
      </c>
      <c r="BR256" s="57" t="s">
        <v>1288</v>
      </c>
      <c r="BS256" s="57" t="s">
        <v>1288</v>
      </c>
      <c r="BT256" s="57" t="s">
        <v>1288</v>
      </c>
      <c r="BU256" s="57" t="s">
        <v>1288</v>
      </c>
      <c r="BV256" s="70">
        <f t="shared" si="1457"/>
        <v>33</v>
      </c>
      <c r="BW256" s="71">
        <f t="shared" si="1458"/>
        <v>66</v>
      </c>
      <c r="BX256" s="72">
        <f t="shared" si="1459"/>
        <v>73</v>
      </c>
      <c r="BY256" s="71">
        <f t="shared" si="1460"/>
        <v>102</v>
      </c>
      <c r="BZ256" s="72">
        <f t="shared" si="1461"/>
        <v>107</v>
      </c>
      <c r="CA256" s="71" t="str">
        <f t="shared" si="1462"/>
        <v>-</v>
      </c>
      <c r="CB256" s="72">
        <f t="shared" si="1463"/>
        <v>149</v>
      </c>
      <c r="CC256" s="71">
        <f t="shared" si="1464"/>
        <v>187</v>
      </c>
      <c r="CD256" s="72">
        <f t="shared" si="1465"/>
        <v>199</v>
      </c>
      <c r="CE256" s="71">
        <f t="shared" si="1466"/>
        <v>240</v>
      </c>
      <c r="CF256" s="72">
        <f t="shared" si="1467"/>
        <v>284</v>
      </c>
      <c r="CG256" s="71">
        <f t="shared" si="1468"/>
        <v>310</v>
      </c>
      <c r="CH256" s="70">
        <f t="shared" si="1469"/>
        <v>64</v>
      </c>
      <c r="CI256" s="71">
        <f t="shared" si="1470"/>
        <v>69</v>
      </c>
      <c r="CJ256" s="72">
        <f t="shared" si="1471"/>
        <v>101</v>
      </c>
      <c r="CK256" s="72">
        <f t="shared" si="1472"/>
        <v>106</v>
      </c>
      <c r="CL256" s="72">
        <f t="shared" si="1473"/>
        <v>141</v>
      </c>
      <c r="CM256" s="72" t="str">
        <f t="shared" si="1474"/>
        <v>-</v>
      </c>
      <c r="CN256" s="72">
        <f t="shared" si="1475"/>
        <v>173</v>
      </c>
      <c r="CO256" s="72">
        <f t="shared" si="1476"/>
        <v>189</v>
      </c>
      <c r="CP256" s="72">
        <f t="shared" si="1477"/>
        <v>236</v>
      </c>
      <c r="CQ256" s="72">
        <f t="shared" si="1478"/>
        <v>278</v>
      </c>
      <c r="CR256" s="72">
        <f t="shared" si="1479"/>
        <v>309</v>
      </c>
      <c r="CS256" s="72">
        <f t="shared" si="1480"/>
        <v>322</v>
      </c>
      <c r="CT256" s="23">
        <f t="shared" si="1481"/>
        <v>4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30" x14ac:dyDescent="0.2">
      <c r="A257" s="3" t="str">
        <f t="shared" si="1454"/>
        <v>opsd_bovin_6FKB</v>
      </c>
      <c r="B257" s="3" t="s">
        <v>920</v>
      </c>
      <c r="C257" s="3" t="s">
        <v>1487</v>
      </c>
      <c r="D257" s="3" t="str">
        <f>IFERROR(MID(VLOOKUP($B257,Seqs!$A:$B,2,0),E257,1),"")</f>
        <v>E</v>
      </c>
      <c r="E257" s="3">
        <v>33</v>
      </c>
      <c r="F257" s="3" t="str">
        <f>IFERROR(MID(VLOOKUP($B257,Seqs!$A:$B,2,0),G257,1),"")</f>
        <v>Q</v>
      </c>
      <c r="G257" s="3">
        <v>64</v>
      </c>
      <c r="H257" s="3" t="str">
        <f>IFERROR(MID(VLOOKUP($B257,Seqs!$A:$B,2,0),I257,1),"")</f>
        <v>K</v>
      </c>
      <c r="I257" s="23">
        <v>66</v>
      </c>
      <c r="J257" s="3" t="str">
        <f>IFERROR(MID(VLOOKUP($B257,Seqs!$A:$B,2,0),K257,1),"")</f>
        <v>R</v>
      </c>
      <c r="K257" s="23">
        <v>69</v>
      </c>
      <c r="L257" s="3" t="str">
        <f>IFERROR(MID(VLOOKUP($B257,Seqs!$A:$B,2,0),M257,1),"")</f>
        <v>N</v>
      </c>
      <c r="M257" s="3">
        <v>73</v>
      </c>
      <c r="N257" s="3" t="str">
        <f>IFERROR(MID(VLOOKUP($B257,Seqs!$A:$B,2,0),O257,1),"")</f>
        <v>G</v>
      </c>
      <c r="O257" s="3">
        <v>101</v>
      </c>
      <c r="P257" s="3" t="str">
        <f>IFERROR(MID(VLOOKUP($B257,Seqs!$A:$B,2,0),Q257,1),"")</f>
        <v>Y</v>
      </c>
      <c r="Q257" s="3">
        <v>102</v>
      </c>
      <c r="R257" s="3" t="str">
        <f>IFERROR(MID(VLOOKUP($B257,Seqs!$A:$B,2,0),S257,1),"")</f>
        <v>G</v>
      </c>
      <c r="S257" s="3">
        <v>106</v>
      </c>
      <c r="T257" s="3" t="str">
        <f>IFERROR(MID(VLOOKUP($B257,Seqs!$A:$B,2,0),U257,1),"")</f>
        <v>P</v>
      </c>
      <c r="U257" s="3">
        <v>107</v>
      </c>
      <c r="V257" s="3" t="str">
        <f>IFERROR(MID(VLOOKUP($B257,Seqs!$A:$B,2,0),W257,1),"")</f>
        <v>K</v>
      </c>
      <c r="W257" s="3">
        <v>141</v>
      </c>
      <c r="X257" s="3" t="str">
        <f>IFERROR(MID(VLOOKUP($B257,Seqs!$A:$B,2,0),Y257,1),"")</f>
        <v/>
      </c>
      <c r="Y257" s="3" t="s">
        <v>23</v>
      </c>
      <c r="Z257" s="3" t="str">
        <f>IFERROR(MID(VLOOKUP($B257,Seqs!$A:$B,2,0),AA257,1),"")</f>
        <v/>
      </c>
      <c r="AA257" s="3" t="s">
        <v>23</v>
      </c>
      <c r="AB257" s="3" t="str">
        <f>IFERROR(MID(VLOOKUP($B257,Seqs!$A:$B,2,0),AC257,1),"")</f>
        <v>G</v>
      </c>
      <c r="AC257" s="3">
        <v>149</v>
      </c>
      <c r="AD257" s="3" t="str">
        <f>IFERROR(MID(VLOOKUP($B257,Seqs!$A:$B,2,0),AE257,1),"")</f>
        <v>V</v>
      </c>
      <c r="AE257" s="3">
        <v>173</v>
      </c>
      <c r="AF257" s="3" t="str">
        <f>IFERROR(MID(VLOOKUP($B257,Seqs!$A:$B,2,0),AG257,1),"")</f>
        <v>C</v>
      </c>
      <c r="AG257" s="3">
        <v>187</v>
      </c>
      <c r="AH257" s="3" t="str">
        <f>IFERROR(MID(VLOOKUP($B257,Seqs!$A:$B,2,0),AI257,1),"")</f>
        <v>I</v>
      </c>
      <c r="AI257" s="3">
        <v>189</v>
      </c>
      <c r="AJ257" s="3" t="str">
        <f>IFERROR(MID(VLOOKUP($B257,Seqs!$A:$B,2,0),AK257,1),"")</f>
        <v>N</v>
      </c>
      <c r="AK257" s="3">
        <v>199</v>
      </c>
      <c r="AL257" s="3" t="str">
        <f>IFERROR(MID(VLOOKUP($B257,Seqs!$A:$B,2,0),AM257,1),"")</f>
        <v>Q</v>
      </c>
      <c r="AM257" s="3">
        <v>236</v>
      </c>
      <c r="AN257" s="3" t="str">
        <f>IFERROR(MID(VLOOKUP($B257,Seqs!$A:$B,2,0),AO257,1),"")</f>
        <v>S</v>
      </c>
      <c r="AO257" s="3">
        <v>240</v>
      </c>
      <c r="AP257" s="3" t="str">
        <f>IFERROR(MID(VLOOKUP($B257,Seqs!$A:$B,2,0),AQ257,1),"")</f>
        <v>H</v>
      </c>
      <c r="AQ257" s="3">
        <v>278</v>
      </c>
      <c r="AR257" s="3" t="str">
        <f>IFERROR(MID(VLOOKUP($B257,Seqs!$A:$B,2,0),AS257,1),"")</f>
        <v>G</v>
      </c>
      <c r="AS257" s="3">
        <v>284</v>
      </c>
      <c r="AT257" s="3" t="str">
        <f>IFERROR(MID(VLOOKUP($B257,Seqs!$A:$B,2,0),AU257,1),"")</f>
        <v>M</v>
      </c>
      <c r="AU257" s="3">
        <v>309</v>
      </c>
      <c r="AV257" s="3" t="str">
        <f>IFERROR(MID(VLOOKUP($B257,Seqs!$A:$B,2,0),AW257,1),"")</f>
        <v>N</v>
      </c>
      <c r="AW257" s="3">
        <v>310</v>
      </c>
      <c r="AX257" s="3" t="str">
        <f>IFERROR(MID(VLOOKUP($B257,Seqs!$A:$B,2,0),AY257,1),"")</f>
        <v>C</v>
      </c>
      <c r="AY257" s="3">
        <v>322</v>
      </c>
      <c r="AZ257" s="77" t="str">
        <f>VLOOKUP(B257,Classification!A:D,2,0)</f>
        <v>A</v>
      </c>
      <c r="BA257" s="94" t="str">
        <f>VLOOKUP(B257,Classification!A:D,4,0)</f>
        <v>Opsins</v>
      </c>
      <c r="BB257" s="27" t="b">
        <f t="shared" si="1455"/>
        <v>1</v>
      </c>
      <c r="BC257" s="23">
        <f t="shared" si="1456"/>
        <v>250</v>
      </c>
      <c r="BD257" s="2" t="s">
        <v>23</v>
      </c>
      <c r="BE257" s="3" t="s">
        <v>1292</v>
      </c>
      <c r="BF257" s="119">
        <v>3.03</v>
      </c>
      <c r="BG257" s="49" t="s">
        <v>1</v>
      </c>
      <c r="BH257" s="49" t="s">
        <v>1</v>
      </c>
      <c r="BI257" s="1"/>
      <c r="BJ257" s="70" t="s">
        <v>1288</v>
      </c>
      <c r="BK257" s="57" t="s">
        <v>1288</v>
      </c>
      <c r="BL257" s="57" t="s">
        <v>1288</v>
      </c>
      <c r="BM257" s="57" t="s">
        <v>1288</v>
      </c>
      <c r="BN257" s="57" t="s">
        <v>1288</v>
      </c>
      <c r="BO257" s="57" t="s">
        <v>1288</v>
      </c>
      <c r="BP257" s="57" t="s">
        <v>1288</v>
      </c>
      <c r="BQ257" s="57" t="s">
        <v>1288</v>
      </c>
      <c r="BR257" s="57" t="s">
        <v>1288</v>
      </c>
      <c r="BS257" s="57" t="s">
        <v>1288</v>
      </c>
      <c r="BT257" s="57" t="s">
        <v>1288</v>
      </c>
      <c r="BU257" s="57" t="s">
        <v>1288</v>
      </c>
      <c r="BV257" s="70">
        <f t="shared" si="1457"/>
        <v>33</v>
      </c>
      <c r="BW257" s="71">
        <f t="shared" si="1458"/>
        <v>66</v>
      </c>
      <c r="BX257" s="72">
        <f t="shared" si="1459"/>
        <v>73</v>
      </c>
      <c r="BY257" s="71">
        <f t="shared" si="1460"/>
        <v>102</v>
      </c>
      <c r="BZ257" s="72">
        <f t="shared" si="1461"/>
        <v>107</v>
      </c>
      <c r="CA257" s="71" t="str">
        <f t="shared" si="1462"/>
        <v>-</v>
      </c>
      <c r="CB257" s="72">
        <f t="shared" si="1463"/>
        <v>149</v>
      </c>
      <c r="CC257" s="71">
        <f t="shared" si="1464"/>
        <v>187</v>
      </c>
      <c r="CD257" s="72">
        <f t="shared" si="1465"/>
        <v>199</v>
      </c>
      <c r="CE257" s="71">
        <f t="shared" si="1466"/>
        <v>240</v>
      </c>
      <c r="CF257" s="72">
        <f t="shared" si="1467"/>
        <v>284</v>
      </c>
      <c r="CG257" s="71">
        <f t="shared" si="1468"/>
        <v>310</v>
      </c>
      <c r="CH257" s="70">
        <f t="shared" si="1469"/>
        <v>64</v>
      </c>
      <c r="CI257" s="71">
        <f t="shared" si="1470"/>
        <v>69</v>
      </c>
      <c r="CJ257" s="72">
        <f t="shared" si="1471"/>
        <v>101</v>
      </c>
      <c r="CK257" s="72">
        <f t="shared" si="1472"/>
        <v>106</v>
      </c>
      <c r="CL257" s="72">
        <f t="shared" si="1473"/>
        <v>141</v>
      </c>
      <c r="CM257" s="72" t="str">
        <f t="shared" si="1474"/>
        <v>-</v>
      </c>
      <c r="CN257" s="72">
        <f t="shared" si="1475"/>
        <v>173</v>
      </c>
      <c r="CO257" s="72">
        <f t="shared" si="1476"/>
        <v>189</v>
      </c>
      <c r="CP257" s="72">
        <f t="shared" si="1477"/>
        <v>236</v>
      </c>
      <c r="CQ257" s="72">
        <f t="shared" si="1478"/>
        <v>278</v>
      </c>
      <c r="CR257" s="72">
        <f t="shared" si="1479"/>
        <v>309</v>
      </c>
      <c r="CS257" s="72">
        <f t="shared" si="1480"/>
        <v>322</v>
      </c>
      <c r="CT257" s="23">
        <f t="shared" si="1481"/>
        <v>4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30" x14ac:dyDescent="0.2">
      <c r="A258" s="3" t="str">
        <f t="shared" si="1454"/>
        <v>opsd_bovin_6FKC</v>
      </c>
      <c r="B258" s="3" t="s">
        <v>920</v>
      </c>
      <c r="C258" s="3" t="s">
        <v>1488</v>
      </c>
      <c r="D258" s="3" t="str">
        <f>IFERROR(MID(VLOOKUP($B258,Seqs!$A:$B,2,0),E258,1),"")</f>
        <v>E</v>
      </c>
      <c r="E258" s="3">
        <v>33</v>
      </c>
      <c r="F258" s="3" t="str">
        <f>IFERROR(MID(VLOOKUP($B258,Seqs!$A:$B,2,0),G258,1),"")</f>
        <v>Q</v>
      </c>
      <c r="G258" s="3">
        <v>64</v>
      </c>
      <c r="H258" s="3" t="str">
        <f>IFERROR(MID(VLOOKUP($B258,Seqs!$A:$B,2,0),I258,1),"")</f>
        <v>K</v>
      </c>
      <c r="I258" s="23">
        <v>66</v>
      </c>
      <c r="J258" s="3" t="str">
        <f>IFERROR(MID(VLOOKUP($B258,Seqs!$A:$B,2,0),K258,1),"")</f>
        <v>R</v>
      </c>
      <c r="K258" s="23">
        <v>69</v>
      </c>
      <c r="L258" s="3" t="str">
        <f>IFERROR(MID(VLOOKUP($B258,Seqs!$A:$B,2,0),M258,1),"")</f>
        <v>N</v>
      </c>
      <c r="M258" s="3">
        <v>73</v>
      </c>
      <c r="N258" s="3" t="str">
        <f>IFERROR(MID(VLOOKUP($B258,Seqs!$A:$B,2,0),O258,1),"")</f>
        <v>G</v>
      </c>
      <c r="O258" s="3">
        <v>101</v>
      </c>
      <c r="P258" s="3" t="str">
        <f>IFERROR(MID(VLOOKUP($B258,Seqs!$A:$B,2,0),Q258,1),"")</f>
        <v>Y</v>
      </c>
      <c r="Q258" s="3">
        <v>102</v>
      </c>
      <c r="R258" s="3" t="str">
        <f>IFERROR(MID(VLOOKUP($B258,Seqs!$A:$B,2,0),S258,1),"")</f>
        <v>G</v>
      </c>
      <c r="S258" s="3">
        <v>106</v>
      </c>
      <c r="T258" s="3" t="str">
        <f>IFERROR(MID(VLOOKUP($B258,Seqs!$A:$B,2,0),U258,1),"")</f>
        <v>P</v>
      </c>
      <c r="U258" s="3">
        <v>107</v>
      </c>
      <c r="V258" s="3" t="str">
        <f>IFERROR(MID(VLOOKUP($B258,Seqs!$A:$B,2,0),W258,1),"")</f>
        <v>K</v>
      </c>
      <c r="W258" s="3">
        <v>141</v>
      </c>
      <c r="X258" s="3" t="str">
        <f>IFERROR(MID(VLOOKUP($B258,Seqs!$A:$B,2,0),Y258,1),"")</f>
        <v/>
      </c>
      <c r="Y258" s="3" t="s">
        <v>23</v>
      </c>
      <c r="Z258" s="3" t="str">
        <f>IFERROR(MID(VLOOKUP($B258,Seqs!$A:$B,2,0),AA258,1),"")</f>
        <v/>
      </c>
      <c r="AA258" s="3" t="s">
        <v>23</v>
      </c>
      <c r="AB258" s="3" t="str">
        <f>IFERROR(MID(VLOOKUP($B258,Seqs!$A:$B,2,0),AC258,1),"")</f>
        <v>G</v>
      </c>
      <c r="AC258" s="3">
        <v>149</v>
      </c>
      <c r="AD258" s="3" t="str">
        <f>IFERROR(MID(VLOOKUP($B258,Seqs!$A:$B,2,0),AE258,1),"")</f>
        <v>V</v>
      </c>
      <c r="AE258" s="3">
        <v>173</v>
      </c>
      <c r="AF258" s="3" t="str">
        <f>IFERROR(MID(VLOOKUP($B258,Seqs!$A:$B,2,0),AG258,1),"")</f>
        <v>C</v>
      </c>
      <c r="AG258" s="3">
        <v>187</v>
      </c>
      <c r="AH258" s="3" t="str">
        <f>IFERROR(MID(VLOOKUP($B258,Seqs!$A:$B,2,0),AI258,1),"")</f>
        <v>I</v>
      </c>
      <c r="AI258" s="3">
        <v>189</v>
      </c>
      <c r="AJ258" s="3" t="str">
        <f>IFERROR(MID(VLOOKUP($B258,Seqs!$A:$B,2,0),AK258,1),"")</f>
        <v>N</v>
      </c>
      <c r="AK258" s="3">
        <v>199</v>
      </c>
      <c r="AL258" s="3" t="str">
        <f>IFERROR(MID(VLOOKUP($B258,Seqs!$A:$B,2,0),AM258,1),"")</f>
        <v>Q</v>
      </c>
      <c r="AM258" s="3">
        <v>236</v>
      </c>
      <c r="AN258" s="3" t="str">
        <f>IFERROR(MID(VLOOKUP($B258,Seqs!$A:$B,2,0),AO258,1),"")</f>
        <v>S</v>
      </c>
      <c r="AO258" s="3">
        <v>240</v>
      </c>
      <c r="AP258" s="3" t="str">
        <f>IFERROR(MID(VLOOKUP($B258,Seqs!$A:$B,2,0),AQ258,1),"")</f>
        <v>H</v>
      </c>
      <c r="AQ258" s="3">
        <v>278</v>
      </c>
      <c r="AR258" s="3" t="str">
        <f>IFERROR(MID(VLOOKUP($B258,Seqs!$A:$B,2,0),AS258,1),"")</f>
        <v>G</v>
      </c>
      <c r="AS258" s="3">
        <v>284</v>
      </c>
      <c r="AT258" s="3" t="str">
        <f>IFERROR(MID(VLOOKUP($B258,Seqs!$A:$B,2,0),AU258,1),"")</f>
        <v>M</v>
      </c>
      <c r="AU258" s="3">
        <v>309</v>
      </c>
      <c r="AV258" s="3" t="str">
        <f>IFERROR(MID(VLOOKUP($B258,Seqs!$A:$B,2,0),AW258,1),"")</f>
        <v>N</v>
      </c>
      <c r="AW258" s="3">
        <v>310</v>
      </c>
      <c r="AX258" s="3" t="str">
        <f>IFERROR(MID(VLOOKUP($B258,Seqs!$A:$B,2,0),AY258,1),"")</f>
        <v>C</v>
      </c>
      <c r="AY258" s="3">
        <v>322</v>
      </c>
      <c r="AZ258" s="77" t="str">
        <f>VLOOKUP(B258,Classification!A:D,2,0)</f>
        <v>A</v>
      </c>
      <c r="BA258" s="94" t="str">
        <f>VLOOKUP(B258,Classification!A:D,4,0)</f>
        <v>Opsins</v>
      </c>
      <c r="BB258" s="27" t="b">
        <f t="shared" si="1455"/>
        <v>1</v>
      </c>
      <c r="BC258" s="23">
        <f t="shared" si="1456"/>
        <v>250</v>
      </c>
      <c r="BD258" s="2" t="s">
        <v>23</v>
      </c>
      <c r="BE258" s="3" t="s">
        <v>1292</v>
      </c>
      <c r="BF258" s="119">
        <v>2.46</v>
      </c>
      <c r="BG258" s="49" t="s">
        <v>1</v>
      </c>
      <c r="BH258" s="49" t="s">
        <v>1</v>
      </c>
      <c r="BI258" s="1"/>
      <c r="BJ258" s="70" t="s">
        <v>1288</v>
      </c>
      <c r="BK258" s="57" t="s">
        <v>1288</v>
      </c>
      <c r="BL258" s="57" t="s">
        <v>1288</v>
      </c>
      <c r="BM258" s="57" t="s">
        <v>1288</v>
      </c>
      <c r="BN258" s="57" t="s">
        <v>1288</v>
      </c>
      <c r="BO258" s="57" t="s">
        <v>1288</v>
      </c>
      <c r="BP258" s="57" t="s">
        <v>1288</v>
      </c>
      <c r="BQ258" s="57" t="s">
        <v>1288</v>
      </c>
      <c r="BR258" s="57" t="s">
        <v>1288</v>
      </c>
      <c r="BS258" s="57" t="s">
        <v>1288</v>
      </c>
      <c r="BT258" s="57" t="s">
        <v>1288</v>
      </c>
      <c r="BU258" s="57" t="s">
        <v>1288</v>
      </c>
      <c r="BV258" s="70">
        <f t="shared" si="1457"/>
        <v>33</v>
      </c>
      <c r="BW258" s="71">
        <f t="shared" si="1458"/>
        <v>66</v>
      </c>
      <c r="BX258" s="72">
        <f t="shared" si="1459"/>
        <v>73</v>
      </c>
      <c r="BY258" s="71">
        <f t="shared" si="1460"/>
        <v>102</v>
      </c>
      <c r="BZ258" s="72">
        <f t="shared" si="1461"/>
        <v>107</v>
      </c>
      <c r="CA258" s="71" t="str">
        <f t="shared" si="1462"/>
        <v>-</v>
      </c>
      <c r="CB258" s="72">
        <f t="shared" si="1463"/>
        <v>149</v>
      </c>
      <c r="CC258" s="71">
        <f t="shared" si="1464"/>
        <v>187</v>
      </c>
      <c r="CD258" s="72">
        <f t="shared" si="1465"/>
        <v>199</v>
      </c>
      <c r="CE258" s="71">
        <f t="shared" si="1466"/>
        <v>240</v>
      </c>
      <c r="CF258" s="72">
        <f t="shared" si="1467"/>
        <v>284</v>
      </c>
      <c r="CG258" s="71">
        <f t="shared" si="1468"/>
        <v>310</v>
      </c>
      <c r="CH258" s="70">
        <f t="shared" si="1469"/>
        <v>64</v>
      </c>
      <c r="CI258" s="71">
        <f t="shared" si="1470"/>
        <v>69</v>
      </c>
      <c r="CJ258" s="72">
        <f t="shared" si="1471"/>
        <v>101</v>
      </c>
      <c r="CK258" s="72">
        <f t="shared" si="1472"/>
        <v>106</v>
      </c>
      <c r="CL258" s="72">
        <f t="shared" si="1473"/>
        <v>141</v>
      </c>
      <c r="CM258" s="72" t="str">
        <f t="shared" si="1474"/>
        <v>-</v>
      </c>
      <c r="CN258" s="72">
        <f t="shared" si="1475"/>
        <v>173</v>
      </c>
      <c r="CO258" s="72">
        <f t="shared" si="1476"/>
        <v>189</v>
      </c>
      <c r="CP258" s="72">
        <f t="shared" si="1477"/>
        <v>236</v>
      </c>
      <c r="CQ258" s="72">
        <f t="shared" si="1478"/>
        <v>278</v>
      </c>
      <c r="CR258" s="72">
        <f t="shared" si="1479"/>
        <v>309</v>
      </c>
      <c r="CS258" s="72">
        <f t="shared" si="1480"/>
        <v>322</v>
      </c>
      <c r="CT258" s="23">
        <f t="shared" si="1481"/>
        <v>4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</row>
    <row r="259" spans="1:1030" x14ac:dyDescent="0.2">
      <c r="A259" s="3" t="str">
        <f t="shared" si="1454"/>
        <v>opsd_bovin_6FKD</v>
      </c>
      <c r="B259" s="3" t="s">
        <v>920</v>
      </c>
      <c r="C259" s="3" t="s">
        <v>1489</v>
      </c>
      <c r="D259" s="3" t="str">
        <f>IFERROR(MID(VLOOKUP($B259,Seqs!$A:$B,2,0),E259,1),"")</f>
        <v>E</v>
      </c>
      <c r="E259" s="3">
        <v>33</v>
      </c>
      <c r="F259" s="3" t="str">
        <f>IFERROR(MID(VLOOKUP($B259,Seqs!$A:$B,2,0),G259,1),"")</f>
        <v>Q</v>
      </c>
      <c r="G259" s="3">
        <v>64</v>
      </c>
      <c r="H259" s="3" t="str">
        <f>IFERROR(MID(VLOOKUP($B259,Seqs!$A:$B,2,0),I259,1),"")</f>
        <v>K</v>
      </c>
      <c r="I259" s="23">
        <v>66</v>
      </c>
      <c r="J259" s="3" t="str">
        <f>IFERROR(MID(VLOOKUP($B259,Seqs!$A:$B,2,0),K259,1),"")</f>
        <v>R</v>
      </c>
      <c r="K259" s="23">
        <v>69</v>
      </c>
      <c r="L259" s="3" t="str">
        <f>IFERROR(MID(VLOOKUP($B259,Seqs!$A:$B,2,0),M259,1),"")</f>
        <v>N</v>
      </c>
      <c r="M259" s="3">
        <v>73</v>
      </c>
      <c r="N259" s="3" t="str">
        <f>IFERROR(MID(VLOOKUP($B259,Seqs!$A:$B,2,0),O259,1),"")</f>
        <v>G</v>
      </c>
      <c r="O259" s="3">
        <v>101</v>
      </c>
      <c r="P259" s="3" t="str">
        <f>IFERROR(MID(VLOOKUP($B259,Seqs!$A:$B,2,0),Q259,1),"")</f>
        <v>Y</v>
      </c>
      <c r="Q259" s="3">
        <v>102</v>
      </c>
      <c r="R259" s="3" t="str">
        <f>IFERROR(MID(VLOOKUP($B259,Seqs!$A:$B,2,0),S259,1),"")</f>
        <v>G</v>
      </c>
      <c r="S259" s="3">
        <v>106</v>
      </c>
      <c r="T259" s="3" t="str">
        <f>IFERROR(MID(VLOOKUP($B259,Seqs!$A:$B,2,0),U259,1),"")</f>
        <v>P</v>
      </c>
      <c r="U259" s="3">
        <v>107</v>
      </c>
      <c r="V259" s="3" t="str">
        <f>IFERROR(MID(VLOOKUP($B259,Seqs!$A:$B,2,0),W259,1),"")</f>
        <v>K</v>
      </c>
      <c r="W259" s="3">
        <v>141</v>
      </c>
      <c r="X259" s="3" t="str">
        <f>IFERROR(MID(VLOOKUP($B259,Seqs!$A:$B,2,0),Y259,1),"")</f>
        <v/>
      </c>
      <c r="Y259" s="3" t="s">
        <v>23</v>
      </c>
      <c r="Z259" s="3" t="str">
        <f>IFERROR(MID(VLOOKUP($B259,Seqs!$A:$B,2,0),AA259,1),"")</f>
        <v/>
      </c>
      <c r="AA259" s="3" t="s">
        <v>23</v>
      </c>
      <c r="AB259" s="3" t="str">
        <f>IFERROR(MID(VLOOKUP($B259,Seqs!$A:$B,2,0),AC259,1),"")</f>
        <v>G</v>
      </c>
      <c r="AC259" s="3">
        <v>149</v>
      </c>
      <c r="AD259" s="3" t="str">
        <f>IFERROR(MID(VLOOKUP($B259,Seqs!$A:$B,2,0),AE259,1),"")</f>
        <v>V</v>
      </c>
      <c r="AE259" s="3">
        <v>173</v>
      </c>
      <c r="AF259" s="3" t="str">
        <f>IFERROR(MID(VLOOKUP($B259,Seqs!$A:$B,2,0),AG259,1),"")</f>
        <v>C</v>
      </c>
      <c r="AG259" s="3">
        <v>187</v>
      </c>
      <c r="AH259" s="3" t="str">
        <f>IFERROR(MID(VLOOKUP($B259,Seqs!$A:$B,2,0),AI259,1),"")</f>
        <v>I</v>
      </c>
      <c r="AI259" s="3">
        <v>189</v>
      </c>
      <c r="AJ259" s="3" t="str">
        <f>IFERROR(MID(VLOOKUP($B259,Seqs!$A:$B,2,0),AK259,1),"")</f>
        <v>N</v>
      </c>
      <c r="AK259" s="3">
        <v>199</v>
      </c>
      <c r="AL259" s="3" t="str">
        <f>IFERROR(MID(VLOOKUP($B259,Seqs!$A:$B,2,0),AM259,1),"")</f>
        <v>Q</v>
      </c>
      <c r="AM259" s="3">
        <v>236</v>
      </c>
      <c r="AN259" s="3" t="str">
        <f>IFERROR(MID(VLOOKUP($B259,Seqs!$A:$B,2,0),AO259,1),"")</f>
        <v>S</v>
      </c>
      <c r="AO259" s="3">
        <v>240</v>
      </c>
      <c r="AP259" s="3" t="str">
        <f>IFERROR(MID(VLOOKUP($B259,Seqs!$A:$B,2,0),AQ259,1),"")</f>
        <v>H</v>
      </c>
      <c r="AQ259" s="3">
        <v>278</v>
      </c>
      <c r="AR259" s="3" t="str">
        <f>IFERROR(MID(VLOOKUP($B259,Seqs!$A:$B,2,0),AS259,1),"")</f>
        <v>G</v>
      </c>
      <c r="AS259" s="3">
        <v>284</v>
      </c>
      <c r="AT259" s="3" t="str">
        <f>IFERROR(MID(VLOOKUP($B259,Seqs!$A:$B,2,0),AU259,1),"")</f>
        <v>M</v>
      </c>
      <c r="AU259" s="3">
        <v>309</v>
      </c>
      <c r="AV259" s="3" t="str">
        <f>IFERROR(MID(VLOOKUP($B259,Seqs!$A:$B,2,0),AW259,1),"")</f>
        <v>N</v>
      </c>
      <c r="AW259" s="3">
        <v>310</v>
      </c>
      <c r="AX259" s="3" t="str">
        <f>IFERROR(MID(VLOOKUP($B259,Seqs!$A:$B,2,0),AY259,1),"")</f>
        <v>C</v>
      </c>
      <c r="AY259" s="3">
        <v>322</v>
      </c>
      <c r="AZ259" s="77" t="str">
        <f>VLOOKUP(B259,Classification!A:D,2,0)</f>
        <v>A</v>
      </c>
      <c r="BA259" s="94" t="str">
        <f>VLOOKUP(B259,Classification!A:D,4,0)</f>
        <v>Opsins</v>
      </c>
      <c r="BB259" s="27" t="b">
        <f t="shared" si="1455"/>
        <v>1</v>
      </c>
      <c r="BC259" s="23">
        <f t="shared" si="1456"/>
        <v>250</v>
      </c>
      <c r="BD259" s="2" t="s">
        <v>23</v>
      </c>
      <c r="BE259" s="3" t="s">
        <v>1292</v>
      </c>
      <c r="BF259" s="119">
        <v>2.4900000000000002</v>
      </c>
      <c r="BG259" s="49" t="s">
        <v>1</v>
      </c>
      <c r="BH259" s="49" t="s">
        <v>1</v>
      </c>
      <c r="BI259" s="1"/>
      <c r="BJ259" s="70" t="s">
        <v>1288</v>
      </c>
      <c r="BK259" s="57" t="s">
        <v>1288</v>
      </c>
      <c r="BL259" s="57" t="s">
        <v>1288</v>
      </c>
      <c r="BM259" s="57" t="s">
        <v>1288</v>
      </c>
      <c r="BN259" s="57" t="s">
        <v>1288</v>
      </c>
      <c r="BO259" s="57" t="s">
        <v>1288</v>
      </c>
      <c r="BP259" s="57" t="s">
        <v>1288</v>
      </c>
      <c r="BQ259" s="57" t="s">
        <v>1288</v>
      </c>
      <c r="BR259" s="57" t="s">
        <v>1288</v>
      </c>
      <c r="BS259" s="57" t="s">
        <v>1288</v>
      </c>
      <c r="BT259" s="57" t="s">
        <v>1288</v>
      </c>
      <c r="BU259" s="57" t="s">
        <v>1288</v>
      </c>
      <c r="BV259" s="70">
        <f t="shared" si="1457"/>
        <v>33</v>
      </c>
      <c r="BW259" s="71">
        <f t="shared" si="1458"/>
        <v>66</v>
      </c>
      <c r="BX259" s="72">
        <f t="shared" si="1459"/>
        <v>73</v>
      </c>
      <c r="BY259" s="71">
        <f t="shared" si="1460"/>
        <v>102</v>
      </c>
      <c r="BZ259" s="72">
        <f t="shared" si="1461"/>
        <v>107</v>
      </c>
      <c r="CA259" s="71" t="str">
        <f t="shared" si="1462"/>
        <v>-</v>
      </c>
      <c r="CB259" s="72">
        <f t="shared" si="1463"/>
        <v>149</v>
      </c>
      <c r="CC259" s="71">
        <f t="shared" si="1464"/>
        <v>187</v>
      </c>
      <c r="CD259" s="72">
        <f t="shared" si="1465"/>
        <v>199</v>
      </c>
      <c r="CE259" s="71">
        <f t="shared" si="1466"/>
        <v>240</v>
      </c>
      <c r="CF259" s="72">
        <f t="shared" si="1467"/>
        <v>284</v>
      </c>
      <c r="CG259" s="71">
        <f t="shared" si="1468"/>
        <v>310</v>
      </c>
      <c r="CH259" s="70">
        <f t="shared" si="1469"/>
        <v>64</v>
      </c>
      <c r="CI259" s="71">
        <f t="shared" si="1470"/>
        <v>69</v>
      </c>
      <c r="CJ259" s="72">
        <f t="shared" si="1471"/>
        <v>101</v>
      </c>
      <c r="CK259" s="72">
        <f t="shared" si="1472"/>
        <v>106</v>
      </c>
      <c r="CL259" s="72">
        <f t="shared" si="1473"/>
        <v>141</v>
      </c>
      <c r="CM259" s="72" t="str">
        <f t="shared" si="1474"/>
        <v>-</v>
      </c>
      <c r="CN259" s="72">
        <f t="shared" si="1475"/>
        <v>173</v>
      </c>
      <c r="CO259" s="72">
        <f t="shared" si="1476"/>
        <v>189</v>
      </c>
      <c r="CP259" s="72">
        <f t="shared" si="1477"/>
        <v>236</v>
      </c>
      <c r="CQ259" s="72">
        <f t="shared" si="1478"/>
        <v>278</v>
      </c>
      <c r="CR259" s="72">
        <f t="shared" si="1479"/>
        <v>309</v>
      </c>
      <c r="CS259" s="72">
        <f t="shared" si="1480"/>
        <v>322</v>
      </c>
      <c r="CT259" s="23">
        <f t="shared" si="1481"/>
        <v>4</v>
      </c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</row>
    <row r="260" spans="1:1030" x14ac:dyDescent="0.2">
      <c r="A260" s="3" t="str">
        <f t="shared" ref="A260" si="1482">CONCATENATE(B260,"_",C260)</f>
        <v>opsd_bovin_6FUF</v>
      </c>
      <c r="B260" s="3" t="s">
        <v>920</v>
      </c>
      <c r="C260" s="3" t="s">
        <v>1519</v>
      </c>
      <c r="D260" s="3" t="str">
        <f>IFERROR(MID(VLOOKUP($B260,Seqs!$A:$B,2,0),E260,1),"")</f>
        <v>E</v>
      </c>
      <c r="E260" s="3">
        <v>33</v>
      </c>
      <c r="F260" s="3" t="str">
        <f>IFERROR(MID(VLOOKUP($B260,Seqs!$A:$B,2,0),G260,1),"")</f>
        <v>H</v>
      </c>
      <c r="G260" s="3">
        <v>65</v>
      </c>
      <c r="H260" s="3" t="str">
        <f>IFERROR(MID(VLOOKUP($B260,Seqs!$A:$B,2,0),I260,1),"")</f>
        <v>K</v>
      </c>
      <c r="I260" s="23">
        <v>66</v>
      </c>
      <c r="J260" s="3" t="str">
        <f>IFERROR(MID(VLOOKUP($B260,Seqs!$A:$B,2,0),K260,1),"")</f>
        <v>R</v>
      </c>
      <c r="K260" s="23">
        <v>69</v>
      </c>
      <c r="L260" s="3" t="str">
        <f>IFERROR(MID(VLOOKUP($B260,Seqs!$A:$B,2,0),M260,1),"")</f>
        <v>N</v>
      </c>
      <c r="M260" s="3">
        <v>73</v>
      </c>
      <c r="N260" s="3" t="str">
        <f>IFERROR(MID(VLOOKUP($B260,Seqs!$A:$B,2,0),O260,1),"")</f>
        <v>G</v>
      </c>
      <c r="O260" s="3">
        <v>101</v>
      </c>
      <c r="P260" s="3" t="str">
        <f>IFERROR(MID(VLOOKUP($B260,Seqs!$A:$B,2,0),Q260,1),"")</f>
        <v>Y</v>
      </c>
      <c r="Q260" s="3">
        <v>102</v>
      </c>
      <c r="R260" s="3" t="str">
        <f>IFERROR(MID(VLOOKUP($B260,Seqs!$A:$B,2,0),S260,1),"")</f>
        <v>G</v>
      </c>
      <c r="S260" s="3">
        <v>106</v>
      </c>
      <c r="T260" s="3" t="str">
        <f>IFERROR(MID(VLOOKUP($B260,Seqs!$A:$B,2,0),U260,1),"")</f>
        <v>P</v>
      </c>
      <c r="U260" s="3">
        <v>107</v>
      </c>
      <c r="V260" s="3" t="str">
        <f>IFERROR(MID(VLOOKUP($B260,Seqs!$A:$B,2,0),W260,1),"")</f>
        <v>K</v>
      </c>
      <c r="W260" s="3">
        <v>141</v>
      </c>
      <c r="X260" s="3" t="str">
        <f>IFERROR(MID(VLOOKUP($B260,Seqs!$A:$B,2,0),Y260,1),"")</f>
        <v/>
      </c>
      <c r="Y260" s="3" t="s">
        <v>23</v>
      </c>
      <c r="Z260" s="3" t="str">
        <f>IFERROR(MID(VLOOKUP($B260,Seqs!$A:$B,2,0),AA260,1),"")</f>
        <v/>
      </c>
      <c r="AA260" s="3" t="s">
        <v>23</v>
      </c>
      <c r="AB260" s="3" t="str">
        <f>IFERROR(MID(VLOOKUP($B260,Seqs!$A:$B,2,0),AC260,1),"")</f>
        <v>G</v>
      </c>
      <c r="AC260" s="3">
        <v>149</v>
      </c>
      <c r="AD260" s="3" t="str">
        <f>IFERROR(MID(VLOOKUP($B260,Seqs!$A:$B,2,0),AE260,1),"")</f>
        <v>V</v>
      </c>
      <c r="AE260" s="3">
        <v>173</v>
      </c>
      <c r="AF260" s="3" t="str">
        <f>IFERROR(MID(VLOOKUP($B260,Seqs!$A:$B,2,0),AG260,1),"")</f>
        <v>C</v>
      </c>
      <c r="AG260" s="3">
        <v>187</v>
      </c>
      <c r="AH260" s="3" t="str">
        <f>IFERROR(MID(VLOOKUP($B260,Seqs!$A:$B,2,0),AI260,1),"")</f>
        <v>I</v>
      </c>
      <c r="AI260" s="3">
        <v>189</v>
      </c>
      <c r="AJ260" s="3" t="str">
        <f>IFERROR(MID(VLOOKUP($B260,Seqs!$A:$B,2,0),AK260,1),"")</f>
        <v>N</v>
      </c>
      <c r="AK260" s="3">
        <v>199</v>
      </c>
      <c r="AL260" s="3" t="str">
        <f>IFERROR(MID(VLOOKUP($B260,Seqs!$A:$B,2,0),AM260,1),"")</f>
        <v>Q</v>
      </c>
      <c r="AM260" s="3">
        <v>237</v>
      </c>
      <c r="AN260" s="3" t="str">
        <f>IFERROR(MID(VLOOKUP($B260,Seqs!$A:$B,2,0),AO260,1),"")</f>
        <v>S</v>
      </c>
      <c r="AO260" s="3">
        <v>240</v>
      </c>
      <c r="AP260" s="3" t="str">
        <f>IFERROR(MID(VLOOKUP($B260,Seqs!$A:$B,2,0),AQ260,1),"")</f>
        <v>H</v>
      </c>
      <c r="AQ260" s="3">
        <v>278</v>
      </c>
      <c r="AR260" s="3" t="str">
        <f>IFERROR(MID(VLOOKUP($B260,Seqs!$A:$B,2,0),AS260,1),"")</f>
        <v>T</v>
      </c>
      <c r="AS260" s="3">
        <v>289</v>
      </c>
      <c r="AT260" s="3" t="str">
        <f>IFERROR(MID(VLOOKUP($B260,Seqs!$A:$B,2,0),AU260,1),"")</f>
        <v>M</v>
      </c>
      <c r="AU260" s="3">
        <v>309</v>
      </c>
      <c r="AV260" s="3" t="str">
        <f>IFERROR(MID(VLOOKUP($B260,Seqs!$A:$B,2,0),AW260,1),"")</f>
        <v>N</v>
      </c>
      <c r="AW260" s="3">
        <v>310</v>
      </c>
      <c r="AX260" s="3" t="str">
        <f>IFERROR(MID(VLOOKUP($B260,Seqs!$A:$B,2,0),AY260,1),"")</f>
        <v>R</v>
      </c>
      <c r="AY260" s="3">
        <v>314</v>
      </c>
      <c r="AZ260" s="77" t="str">
        <f>VLOOKUP(B260,Classification!A:D,2,0)</f>
        <v>A</v>
      </c>
      <c r="BA260" s="94" t="str">
        <f>VLOOKUP(B260,Classification!A:D,4,0)</f>
        <v>Opsins</v>
      </c>
      <c r="BB260" s="27" t="b">
        <f t="shared" ref="BB260" si="1483">AND(E260&lt;G260,OR(G260&lt;I260,I260="-"),OR(I260&lt;K260,I260="-"),OR(K260&lt;M260,K260="-"),M260&lt;O260,OR(O260&lt;Q260,Q260="-"),OR(Q260&lt;S260,Q260="-"),OR(S260&lt;U260,S260="-"),U260&lt;W260,OR(W260&lt;Y260,Y260="-"),OR(Y260&lt;AA260,Y260="-"),OR(AA260&lt;AC260,AA260="-"),AC260&lt;AE260,OR(AE260&lt;AG260,AG260="-"),OR(AG260&lt;AI260,AG260="-"),OR(AI260&lt;AK260,AI260="-"),AK260&lt;AM260,AM260&lt;AO260,AO260&lt;AQ260,AQ260&lt;AS260,AS260&lt;AU260,OR(AU260&lt;AW260,AW260="-"),OR(AW260&lt;AY260,AW260="-"))</f>
        <v>1</v>
      </c>
      <c r="BC260" s="23">
        <f t="shared" ref="BC260" si="1484">_xlfn.AGGREGATE(9,6,CH260:CS260)-_xlfn.AGGREGATE(9,6,BV260:CG260)+12</f>
        <v>239</v>
      </c>
      <c r="BD260" s="2" t="s">
        <v>23</v>
      </c>
      <c r="BE260" s="3" t="s">
        <v>1292</v>
      </c>
      <c r="BF260" s="119">
        <v>3.12</v>
      </c>
      <c r="BG260" s="49" t="s">
        <v>1</v>
      </c>
      <c r="BH260" s="49" t="s">
        <v>1</v>
      </c>
      <c r="BI260" s="1"/>
      <c r="BJ260" s="70" t="s">
        <v>1288</v>
      </c>
      <c r="BK260" s="57" t="s">
        <v>1288</v>
      </c>
      <c r="BL260" s="57" t="s">
        <v>1288</v>
      </c>
      <c r="BM260" s="57" t="s">
        <v>1288</v>
      </c>
      <c r="BN260" s="57" t="s">
        <v>1288</v>
      </c>
      <c r="BO260" s="57" t="s">
        <v>1288</v>
      </c>
      <c r="BP260" s="57" t="s">
        <v>1288</v>
      </c>
      <c r="BQ260" s="57" t="s">
        <v>1288</v>
      </c>
      <c r="BR260" s="57" t="s">
        <v>1288</v>
      </c>
      <c r="BS260" s="57" t="s">
        <v>1288</v>
      </c>
      <c r="BT260" s="57" t="s">
        <v>1288</v>
      </c>
      <c r="BU260" s="57" t="s">
        <v>1288</v>
      </c>
      <c r="BV260" s="70">
        <f t="shared" ref="BV260" si="1485">E260</f>
        <v>33</v>
      </c>
      <c r="BW260" s="71">
        <f t="shared" ref="BW260" si="1486">I260</f>
        <v>66</v>
      </c>
      <c r="BX260" s="72">
        <f t="shared" ref="BX260" si="1487">M260</f>
        <v>73</v>
      </c>
      <c r="BY260" s="71">
        <f t="shared" ref="BY260" si="1488">Q260</f>
        <v>102</v>
      </c>
      <c r="BZ260" s="72">
        <f t="shared" ref="BZ260" si="1489">U260</f>
        <v>107</v>
      </c>
      <c r="CA260" s="71" t="str">
        <f t="shared" ref="CA260" si="1490">Y260</f>
        <v>-</v>
      </c>
      <c r="CB260" s="72">
        <f t="shared" ref="CB260" si="1491">AC260</f>
        <v>149</v>
      </c>
      <c r="CC260" s="71">
        <f t="shared" ref="CC260" si="1492">AG260</f>
        <v>187</v>
      </c>
      <c r="CD260" s="72">
        <f t="shared" ref="CD260" si="1493">AK260</f>
        <v>199</v>
      </c>
      <c r="CE260" s="71">
        <f t="shared" ref="CE260" si="1494">AO260</f>
        <v>240</v>
      </c>
      <c r="CF260" s="72">
        <f t="shared" ref="CF260" si="1495">AS260</f>
        <v>289</v>
      </c>
      <c r="CG260" s="71">
        <f t="shared" ref="CG260" si="1496">AW260</f>
        <v>310</v>
      </c>
      <c r="CH260" s="70">
        <f t="shared" ref="CH260" si="1497">G260</f>
        <v>65</v>
      </c>
      <c r="CI260" s="71">
        <f t="shared" ref="CI260" si="1498">K260</f>
        <v>69</v>
      </c>
      <c r="CJ260" s="72">
        <f t="shared" ref="CJ260" si="1499">O260</f>
        <v>101</v>
      </c>
      <c r="CK260" s="72">
        <f t="shared" ref="CK260" si="1500">S260</f>
        <v>106</v>
      </c>
      <c r="CL260" s="72">
        <f t="shared" ref="CL260" si="1501">W260</f>
        <v>141</v>
      </c>
      <c r="CM260" s="72" t="str">
        <f t="shared" ref="CM260" si="1502">AA260</f>
        <v>-</v>
      </c>
      <c r="CN260" s="72">
        <f t="shared" ref="CN260" si="1503">AE260</f>
        <v>173</v>
      </c>
      <c r="CO260" s="72">
        <f t="shared" ref="CO260" si="1504">AI260</f>
        <v>189</v>
      </c>
      <c r="CP260" s="72">
        <f t="shared" ref="CP260" si="1505">AM260</f>
        <v>237</v>
      </c>
      <c r="CQ260" s="72">
        <f t="shared" ref="CQ260" si="1506">AQ260</f>
        <v>278</v>
      </c>
      <c r="CR260" s="72">
        <f t="shared" ref="CR260" si="1507">AU260</f>
        <v>309</v>
      </c>
      <c r="CS260" s="72">
        <f t="shared" ref="CS260" si="1508">AY260</f>
        <v>314</v>
      </c>
      <c r="CT260" s="23">
        <f t="shared" ref="CT260" si="1509">M260-K260</f>
        <v>4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</row>
    <row r="261" spans="1:1030" x14ac:dyDescent="0.2">
      <c r="A261" s="3" t="str">
        <f t="shared" si="1452"/>
        <v>opsd_human__wt</v>
      </c>
      <c r="B261" s="3" t="s">
        <v>339</v>
      </c>
      <c r="C261" s="3" t="s">
        <v>100</v>
      </c>
      <c r="D261" s="3" t="str">
        <f>IFERROR(MID(VLOOKUP($B261,Seqs!$A:$B,2,0),E261,1),"")</f>
        <v>P</v>
      </c>
      <c r="E261" s="3">
        <v>34</v>
      </c>
      <c r="F261" s="3" t="str">
        <f>IFERROR(MID(VLOOKUP($B261,Seqs!$A:$B,2,0),G261,1),"")</f>
        <v>H</v>
      </c>
      <c r="G261" s="3">
        <v>65</v>
      </c>
      <c r="H261" s="3" t="str">
        <f>IFERROR(MID(VLOOKUP($B261,Seqs!$A:$B,2,0),I261,1),"")</f>
        <v>K</v>
      </c>
      <c r="I261" s="23">
        <v>66</v>
      </c>
      <c r="J261" s="3" t="str">
        <f>IFERROR(MID(VLOOKUP($B261,Seqs!$A:$B,2,0),K261,1),"")</f>
        <v>R</v>
      </c>
      <c r="K261" s="23">
        <v>69</v>
      </c>
      <c r="L261" s="3" t="str">
        <f>IFERROR(MID(VLOOKUP($B261,Seqs!$A:$B,2,0),M261,1),"")</f>
        <v>T</v>
      </c>
      <c r="M261" s="3">
        <v>70</v>
      </c>
      <c r="N261" s="3" t="str">
        <f>IFERROR(MID(VLOOKUP($B261,Seqs!$A:$B,2,0),O261,1),"")</f>
        <v>H</v>
      </c>
      <c r="O261" s="3">
        <v>100</v>
      </c>
      <c r="P261" s="3" t="str">
        <f>IFERROR(MID(VLOOKUP($B261,Seqs!$A:$B,2,0),Q261,1),"")</f>
        <v>Y</v>
      </c>
      <c r="Q261" s="3">
        <v>102</v>
      </c>
      <c r="R261" s="3" t="str">
        <f>IFERROR(MID(VLOOKUP($B261,Seqs!$A:$B,2,0),S261,1),"")</f>
        <v>F</v>
      </c>
      <c r="S261" s="3">
        <v>105</v>
      </c>
      <c r="T261" s="3" t="str">
        <f>IFERROR(MID(VLOOKUP($B261,Seqs!$A:$B,2,0),U261,1),"")</f>
        <v>G</v>
      </c>
      <c r="U261" s="3">
        <v>106</v>
      </c>
      <c r="V261" s="3" t="str">
        <f>IFERROR(MID(VLOOKUP($B261,Seqs!$A:$B,2,0),W261,1),"")</f>
        <v>K</v>
      </c>
      <c r="W261" s="3">
        <v>141</v>
      </c>
      <c r="X261" s="3" t="str">
        <f>IFERROR(MID(VLOOKUP($B261,Seqs!$A:$B,2,0),Y261,1),"")</f>
        <v>P</v>
      </c>
      <c r="Y261" s="3">
        <v>142</v>
      </c>
      <c r="Z261" s="3" t="str">
        <f>IFERROR(MID(VLOOKUP($B261,Seqs!$A:$B,2,0),AA261,1),"")</f>
        <v>F</v>
      </c>
      <c r="AA261" s="3">
        <v>148</v>
      </c>
      <c r="AB261" s="3" t="str">
        <f>IFERROR(MID(VLOOKUP($B261,Seqs!$A:$B,2,0),AC261,1),"")</f>
        <v>G</v>
      </c>
      <c r="AC261" s="9">
        <v>149</v>
      </c>
      <c r="AD261" s="3" t="str">
        <f>IFERROR(MID(VLOOKUP($B261,Seqs!$A:$B,2,0),AE261,1),"")</f>
        <v>A</v>
      </c>
      <c r="AE261" s="3">
        <v>173</v>
      </c>
      <c r="AF261" s="3" t="str">
        <f>IFERROR(MID(VLOOKUP($B261,Seqs!$A:$B,2,0),AG261,1),"")</f>
        <v>C</v>
      </c>
      <c r="AG261" s="3">
        <v>187</v>
      </c>
      <c r="AH261" s="3" t="str">
        <f>IFERROR(MID(VLOOKUP($B261,Seqs!$A:$B,2,0),AI261,1),"")</f>
        <v>I</v>
      </c>
      <c r="AI261" s="3">
        <v>189</v>
      </c>
      <c r="AJ261" s="3" t="str">
        <f>IFERROR(MID(VLOOKUP($B261,Seqs!$A:$B,2,0),AK261,1),"")</f>
        <v>N</v>
      </c>
      <c r="AK261" s="3">
        <v>199</v>
      </c>
      <c r="AL261" s="3" t="str">
        <f>IFERROR(MID(VLOOKUP($B261,Seqs!$A:$B,2,0),AM261,1),"")</f>
        <v>Q</v>
      </c>
      <c r="AM261" s="3">
        <v>237</v>
      </c>
      <c r="AN261" s="3" t="str">
        <f>IFERROR(MID(VLOOKUP($B261,Seqs!$A:$B,2,0),AO261,1),"")</f>
        <v>A</v>
      </c>
      <c r="AO261" s="3">
        <v>241</v>
      </c>
      <c r="AP261" s="3" t="str">
        <f>IFERROR(MID(VLOOKUP($B261,Seqs!$A:$B,2,0),AQ261,1),"")</f>
        <v>H</v>
      </c>
      <c r="AQ261" s="3">
        <v>278</v>
      </c>
      <c r="AR261" s="3" t="str">
        <f>IFERROR(MID(VLOOKUP($B261,Seqs!$A:$B,2,0),AS261,1),"")</f>
        <v>G</v>
      </c>
      <c r="AS261" s="3">
        <v>284</v>
      </c>
      <c r="AT261" s="3" t="str">
        <f>IFERROR(MID(VLOOKUP($B261,Seqs!$A:$B,2,0),AU261,1),"")</f>
        <v>M</v>
      </c>
      <c r="AU261" s="3">
        <v>309</v>
      </c>
      <c r="AV261" s="3" t="str">
        <f>IFERROR(MID(VLOOKUP($B261,Seqs!$A:$B,2,0),AW261,1),"")</f>
        <v>N</v>
      </c>
      <c r="AW261" s="3">
        <v>310</v>
      </c>
      <c r="AX261" s="3" t="str">
        <f>IFERROR(MID(VLOOKUP($B261,Seqs!$A:$B,2,0),AY261,1),"")</f>
        <v>C</v>
      </c>
      <c r="AY261" s="3">
        <v>322</v>
      </c>
      <c r="AZ261" s="77" t="str">
        <f>VLOOKUP(B261,Classification!A:D,2,0)</f>
        <v>A</v>
      </c>
      <c r="BA261" s="94" t="str">
        <f>VLOOKUP(B261,Classification!A:D,4,0)</f>
        <v>Opsins</v>
      </c>
      <c r="BB261" s="27" t="b">
        <f t="shared" si="1453"/>
        <v>1</v>
      </c>
      <c r="BC261" s="23">
        <f t="shared" si="1426"/>
        <v>258</v>
      </c>
      <c r="BD261" s="56" t="s">
        <v>23</v>
      </c>
      <c r="BE261" s="3" t="s">
        <v>23</v>
      </c>
      <c r="BF261" s="119" t="s">
        <v>23</v>
      </c>
      <c r="BG261" s="49" t="s">
        <v>1373</v>
      </c>
      <c r="BH261" s="49" t="s">
        <v>1378</v>
      </c>
      <c r="BI261" s="1"/>
      <c r="BJ261" s="70" t="s">
        <v>1288</v>
      </c>
      <c r="BK261" s="57" t="s">
        <v>1288</v>
      </c>
      <c r="BL261" s="57" t="s">
        <v>1288</v>
      </c>
      <c r="BM261" s="57" t="s">
        <v>1288</v>
      </c>
      <c r="BN261" s="57" t="s">
        <v>1288</v>
      </c>
      <c r="BO261" s="57" t="s">
        <v>1288</v>
      </c>
      <c r="BP261" s="57" t="s">
        <v>1288</v>
      </c>
      <c r="BQ261" s="57" t="s">
        <v>1288</v>
      </c>
      <c r="BR261" s="57" t="s">
        <v>1288</v>
      </c>
      <c r="BS261" s="57" t="s">
        <v>1288</v>
      </c>
      <c r="BT261" s="57" t="s">
        <v>1288</v>
      </c>
      <c r="BU261" s="57" t="s">
        <v>1288</v>
      </c>
      <c r="BV261" s="70">
        <f t="shared" si="1427"/>
        <v>34</v>
      </c>
      <c r="BW261" s="71">
        <f t="shared" si="1428"/>
        <v>66</v>
      </c>
      <c r="BX261" s="72">
        <f t="shared" si="1429"/>
        <v>70</v>
      </c>
      <c r="BY261" s="71">
        <f t="shared" si="1430"/>
        <v>102</v>
      </c>
      <c r="BZ261" s="72">
        <f t="shared" si="1431"/>
        <v>106</v>
      </c>
      <c r="CA261" s="71">
        <f t="shared" si="1432"/>
        <v>142</v>
      </c>
      <c r="CB261" s="72">
        <f t="shared" si="1433"/>
        <v>149</v>
      </c>
      <c r="CC261" s="71">
        <f t="shared" si="1434"/>
        <v>187</v>
      </c>
      <c r="CD261" s="72">
        <f t="shared" si="1435"/>
        <v>199</v>
      </c>
      <c r="CE261" s="71">
        <f t="shared" si="1436"/>
        <v>241</v>
      </c>
      <c r="CF261" s="72">
        <f t="shared" si="1437"/>
        <v>284</v>
      </c>
      <c r="CG261" s="71">
        <f t="shared" si="1438"/>
        <v>310</v>
      </c>
      <c r="CH261" s="70">
        <f t="shared" si="1439"/>
        <v>65</v>
      </c>
      <c r="CI261" s="71">
        <f t="shared" si="1440"/>
        <v>69</v>
      </c>
      <c r="CJ261" s="72">
        <f t="shared" si="1441"/>
        <v>100</v>
      </c>
      <c r="CK261" s="72">
        <f t="shared" si="1442"/>
        <v>105</v>
      </c>
      <c r="CL261" s="72">
        <f t="shared" si="1443"/>
        <v>141</v>
      </c>
      <c r="CM261" s="72">
        <f t="shared" si="1444"/>
        <v>148</v>
      </c>
      <c r="CN261" s="72">
        <f t="shared" si="1445"/>
        <v>173</v>
      </c>
      <c r="CO261" s="72">
        <f t="shared" si="1446"/>
        <v>189</v>
      </c>
      <c r="CP261" s="72">
        <f t="shared" si="1447"/>
        <v>237</v>
      </c>
      <c r="CQ261" s="72">
        <f t="shared" si="1448"/>
        <v>278</v>
      </c>
      <c r="CR261" s="72">
        <f t="shared" si="1449"/>
        <v>309</v>
      </c>
      <c r="CS261" s="72">
        <f t="shared" si="1450"/>
        <v>322</v>
      </c>
      <c r="CT261" s="23">
        <f t="shared" si="1451"/>
        <v>1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30" x14ac:dyDescent="0.2">
      <c r="A262" s="3" t="str">
        <f t="shared" si="1452"/>
        <v>opsd_human_4ZWJ</v>
      </c>
      <c r="B262" s="3" t="s">
        <v>339</v>
      </c>
      <c r="C262" s="3" t="s">
        <v>55</v>
      </c>
      <c r="D262" s="3" t="str">
        <f>IFERROR(MID(VLOOKUP($B262,Seqs!$A:$B,2,0),E262,1),"")</f>
        <v>P</v>
      </c>
      <c r="E262" s="3">
        <v>34</v>
      </c>
      <c r="F262" s="3" t="str">
        <f>IFERROR(MID(VLOOKUP($B262,Seqs!$A:$B,2,0),G262,1),"")</f>
        <v>H</v>
      </c>
      <c r="G262" s="3">
        <v>65</v>
      </c>
      <c r="H262" s="3" t="str">
        <f>IFERROR(MID(VLOOKUP($B262,Seqs!$A:$B,2,0),I262,1),"")</f>
        <v>K</v>
      </c>
      <c r="I262" s="23">
        <v>66</v>
      </c>
      <c r="J262" s="3" t="str">
        <f>IFERROR(MID(VLOOKUP($B262,Seqs!$A:$B,2,0),K262,1),"")</f>
        <v>R</v>
      </c>
      <c r="K262" s="23">
        <v>69</v>
      </c>
      <c r="L262" s="3" t="str">
        <f>IFERROR(MID(VLOOKUP($B262,Seqs!$A:$B,2,0),M262,1),"")</f>
        <v>T</v>
      </c>
      <c r="M262" s="3">
        <v>70</v>
      </c>
      <c r="N262" s="3" t="str">
        <f>IFERROR(MID(VLOOKUP($B262,Seqs!$A:$B,2,0),O262,1),"")</f>
        <v>H</v>
      </c>
      <c r="O262" s="3">
        <v>100</v>
      </c>
      <c r="P262" s="3" t="str">
        <f>IFERROR(MID(VLOOKUP($B262,Seqs!$A:$B,2,0),Q262,1),"")</f>
        <v>Y</v>
      </c>
      <c r="Q262" s="3">
        <v>102</v>
      </c>
      <c r="R262" s="3" t="str">
        <f>IFERROR(MID(VLOOKUP($B262,Seqs!$A:$B,2,0),S262,1),"")</f>
        <v>F</v>
      </c>
      <c r="S262" s="3">
        <v>105</v>
      </c>
      <c r="T262" s="3" t="str">
        <f>IFERROR(MID(VLOOKUP($B262,Seqs!$A:$B,2,0),U262,1),"")</f>
        <v>G</v>
      </c>
      <c r="U262" s="3">
        <v>106</v>
      </c>
      <c r="V262" s="3" t="str">
        <f>IFERROR(MID(VLOOKUP($B262,Seqs!$A:$B,2,0),W262,1),"")</f>
        <v>K</v>
      </c>
      <c r="W262" s="3">
        <v>141</v>
      </c>
      <c r="X262" s="3" t="str">
        <f>IFERROR(MID(VLOOKUP($B262,Seqs!$A:$B,2,0),Y262,1),"")</f>
        <v>P</v>
      </c>
      <c r="Y262" s="3">
        <v>142</v>
      </c>
      <c r="Z262" s="3" t="str">
        <f>IFERROR(MID(VLOOKUP($B262,Seqs!$A:$B,2,0),AA262,1),"")</f>
        <v>F</v>
      </c>
      <c r="AA262" s="3">
        <v>148</v>
      </c>
      <c r="AB262" s="3" t="str">
        <f>IFERROR(MID(VLOOKUP($B262,Seqs!$A:$B,2,0),AC262,1),"")</f>
        <v>G</v>
      </c>
      <c r="AC262" s="9">
        <v>149</v>
      </c>
      <c r="AD262" s="3" t="str">
        <f>IFERROR(MID(VLOOKUP($B262,Seqs!$A:$B,2,0),AE262,1),"")</f>
        <v>A</v>
      </c>
      <c r="AE262" s="3">
        <v>173</v>
      </c>
      <c r="AF262" s="3" t="str">
        <f>IFERROR(MID(VLOOKUP($B262,Seqs!$A:$B,2,0),AG262,1),"")</f>
        <v>C</v>
      </c>
      <c r="AG262" s="3">
        <v>187</v>
      </c>
      <c r="AH262" s="3" t="str">
        <f>IFERROR(MID(VLOOKUP($B262,Seqs!$A:$B,2,0),AI262,1),"")</f>
        <v>I</v>
      </c>
      <c r="AI262" s="3">
        <v>189</v>
      </c>
      <c r="AJ262" s="3" t="str">
        <f>IFERROR(MID(VLOOKUP($B262,Seqs!$A:$B,2,0),AK262,1),"")</f>
        <v>N</v>
      </c>
      <c r="AK262" s="3">
        <v>199</v>
      </c>
      <c r="AL262" s="3" t="str">
        <f>IFERROR(MID(VLOOKUP($B262,Seqs!$A:$B,2,0),AM262,1),"")</f>
        <v>Q</v>
      </c>
      <c r="AM262" s="3">
        <v>237</v>
      </c>
      <c r="AN262" s="3" t="str">
        <f>IFERROR(MID(VLOOKUP($B262,Seqs!$A:$B,2,0),AO262,1),"")</f>
        <v>A</v>
      </c>
      <c r="AO262" s="3">
        <v>241</v>
      </c>
      <c r="AP262" s="3" t="str">
        <f>IFERROR(MID(VLOOKUP($B262,Seqs!$A:$B,2,0),AQ262,1),"")</f>
        <v>H</v>
      </c>
      <c r="AQ262" s="3">
        <v>278</v>
      </c>
      <c r="AR262" s="3" t="str">
        <f>IFERROR(MID(VLOOKUP($B262,Seqs!$A:$B,2,0),AS262,1),"")</f>
        <v>G</v>
      </c>
      <c r="AS262" s="3">
        <v>284</v>
      </c>
      <c r="AT262" s="3" t="str">
        <f>IFERROR(MID(VLOOKUP($B262,Seqs!$A:$B,2,0),AU262,1),"")</f>
        <v>M</v>
      </c>
      <c r="AU262" s="3">
        <v>309</v>
      </c>
      <c r="AV262" s="3" t="str">
        <f>IFERROR(MID(VLOOKUP($B262,Seqs!$A:$B,2,0),AW262,1),"")</f>
        <v>N</v>
      </c>
      <c r="AW262" s="3">
        <v>310</v>
      </c>
      <c r="AX262" s="3" t="str">
        <f>IFERROR(MID(VLOOKUP($B262,Seqs!$A:$B,2,0),AY262,1),"")</f>
        <v>C</v>
      </c>
      <c r="AY262" s="3">
        <v>322</v>
      </c>
      <c r="AZ262" s="77" t="str">
        <f>VLOOKUP(B262,Classification!A:D,2,0)</f>
        <v>A</v>
      </c>
      <c r="BA262" s="94" t="str">
        <f>VLOOKUP(B262,Classification!A:D,4,0)</f>
        <v>Opsins</v>
      </c>
      <c r="BB262" s="27" t="b">
        <f t="shared" si="1453"/>
        <v>1</v>
      </c>
      <c r="BC262" s="23">
        <f t="shared" si="1426"/>
        <v>258</v>
      </c>
      <c r="BD262" s="2" t="s">
        <v>1376</v>
      </c>
      <c r="BE262" s="3" t="s">
        <v>1292</v>
      </c>
      <c r="BF262" s="119">
        <v>3.3</v>
      </c>
      <c r="BG262" s="49" t="s">
        <v>1378</v>
      </c>
      <c r="BH262" s="49" t="s">
        <v>1378</v>
      </c>
      <c r="BI262" s="1"/>
      <c r="BJ262" s="70" t="s">
        <v>1288</v>
      </c>
      <c r="BK262" s="57" t="s">
        <v>1288</v>
      </c>
      <c r="BL262" s="57" t="s">
        <v>1288</v>
      </c>
      <c r="BM262" s="57" t="s">
        <v>1288</v>
      </c>
      <c r="BN262" s="57" t="s">
        <v>1288</v>
      </c>
      <c r="BO262" s="57" t="s">
        <v>1288</v>
      </c>
      <c r="BP262" s="57" t="s">
        <v>1288</v>
      </c>
      <c r="BQ262" s="57" t="s">
        <v>1288</v>
      </c>
      <c r="BR262" s="57" t="s">
        <v>1288</v>
      </c>
      <c r="BS262" s="57" t="s">
        <v>1288</v>
      </c>
      <c r="BT262" s="57" t="s">
        <v>1288</v>
      </c>
      <c r="BU262" s="57" t="s">
        <v>1288</v>
      </c>
      <c r="BV262" s="70">
        <f t="shared" si="1427"/>
        <v>34</v>
      </c>
      <c r="BW262" s="71">
        <f t="shared" si="1428"/>
        <v>66</v>
      </c>
      <c r="BX262" s="72">
        <f t="shared" si="1429"/>
        <v>70</v>
      </c>
      <c r="BY262" s="71">
        <f t="shared" si="1430"/>
        <v>102</v>
      </c>
      <c r="BZ262" s="72">
        <f t="shared" si="1431"/>
        <v>106</v>
      </c>
      <c r="CA262" s="71">
        <f t="shared" si="1432"/>
        <v>142</v>
      </c>
      <c r="CB262" s="72">
        <f t="shared" si="1433"/>
        <v>149</v>
      </c>
      <c r="CC262" s="71">
        <f t="shared" si="1434"/>
        <v>187</v>
      </c>
      <c r="CD262" s="72">
        <f t="shared" si="1435"/>
        <v>199</v>
      </c>
      <c r="CE262" s="71">
        <f t="shared" si="1436"/>
        <v>241</v>
      </c>
      <c r="CF262" s="72">
        <f t="shared" si="1437"/>
        <v>284</v>
      </c>
      <c r="CG262" s="71">
        <f t="shared" si="1438"/>
        <v>310</v>
      </c>
      <c r="CH262" s="70">
        <f t="shared" si="1439"/>
        <v>65</v>
      </c>
      <c r="CI262" s="71">
        <f t="shared" si="1440"/>
        <v>69</v>
      </c>
      <c r="CJ262" s="72">
        <f t="shared" si="1441"/>
        <v>100</v>
      </c>
      <c r="CK262" s="72">
        <f t="shared" si="1442"/>
        <v>105</v>
      </c>
      <c r="CL262" s="72">
        <f t="shared" si="1443"/>
        <v>141</v>
      </c>
      <c r="CM262" s="72">
        <f t="shared" si="1444"/>
        <v>148</v>
      </c>
      <c r="CN262" s="72">
        <f t="shared" si="1445"/>
        <v>173</v>
      </c>
      <c r="CO262" s="72">
        <f t="shared" si="1446"/>
        <v>189</v>
      </c>
      <c r="CP262" s="72">
        <f t="shared" si="1447"/>
        <v>237</v>
      </c>
      <c r="CQ262" s="72">
        <f t="shared" si="1448"/>
        <v>278</v>
      </c>
      <c r="CR262" s="72">
        <f t="shared" si="1449"/>
        <v>309</v>
      </c>
      <c r="CS262" s="72">
        <f t="shared" si="1450"/>
        <v>322</v>
      </c>
      <c r="CT262" s="23">
        <f t="shared" si="1451"/>
        <v>1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30" x14ac:dyDescent="0.2">
      <c r="A263" s="3" t="str">
        <f t="shared" si="1452"/>
        <v>opsd_human_5DGY</v>
      </c>
      <c r="B263" s="3" t="s">
        <v>339</v>
      </c>
      <c r="C263" s="3" t="s">
        <v>1435</v>
      </c>
      <c r="D263" s="3" t="str">
        <f>IFERROR(MID(VLOOKUP($B263,Seqs!$A:$B,2,0),E263,1),"")</f>
        <v>P</v>
      </c>
      <c r="E263" s="3">
        <v>34</v>
      </c>
      <c r="F263" s="3" t="str">
        <f>IFERROR(MID(VLOOKUP($B263,Seqs!$A:$B,2,0),G263,1),"")</f>
        <v>H</v>
      </c>
      <c r="G263" s="3">
        <v>65</v>
      </c>
      <c r="H263" s="3" t="str">
        <f>IFERROR(MID(VLOOKUP($B263,Seqs!$A:$B,2,0),I263,1),"")</f>
        <v>K</v>
      </c>
      <c r="I263" s="23">
        <v>66</v>
      </c>
      <c r="J263" s="3" t="str">
        <f>IFERROR(MID(VLOOKUP($B263,Seqs!$A:$B,2,0),K263,1),"")</f>
        <v>R</v>
      </c>
      <c r="K263" s="23">
        <v>69</v>
      </c>
      <c r="L263" s="3" t="str">
        <f>IFERROR(MID(VLOOKUP($B263,Seqs!$A:$B,2,0),M263,1),"")</f>
        <v>T</v>
      </c>
      <c r="M263" s="3">
        <v>70</v>
      </c>
      <c r="N263" s="3" t="str">
        <f>IFERROR(MID(VLOOKUP($B263,Seqs!$A:$B,2,0),O263,1),"")</f>
        <v>H</v>
      </c>
      <c r="O263" s="3">
        <v>100</v>
      </c>
      <c r="P263" s="3" t="str">
        <f>IFERROR(MID(VLOOKUP($B263,Seqs!$A:$B,2,0),Q263,1),"")</f>
        <v>Y</v>
      </c>
      <c r="Q263" s="3">
        <v>102</v>
      </c>
      <c r="R263" s="3" t="str">
        <f>IFERROR(MID(VLOOKUP($B263,Seqs!$A:$B,2,0),S263,1),"")</f>
        <v>F</v>
      </c>
      <c r="S263" s="3">
        <v>105</v>
      </c>
      <c r="T263" s="3" t="str">
        <f>IFERROR(MID(VLOOKUP($B263,Seqs!$A:$B,2,0),U263,1),"")</f>
        <v>G</v>
      </c>
      <c r="U263" s="3">
        <v>106</v>
      </c>
      <c r="V263" s="3" t="str">
        <f>IFERROR(MID(VLOOKUP($B263,Seqs!$A:$B,2,0),W263,1),"")</f>
        <v>K</v>
      </c>
      <c r="W263" s="3">
        <v>141</v>
      </c>
      <c r="X263" s="3" t="str">
        <f>IFERROR(MID(VLOOKUP($B263,Seqs!$A:$B,2,0),Y263,1),"")</f>
        <v>P</v>
      </c>
      <c r="Y263" s="3">
        <v>142</v>
      </c>
      <c r="Z263" s="3" t="str">
        <f>IFERROR(MID(VLOOKUP($B263,Seqs!$A:$B,2,0),AA263,1),"")</f>
        <v>F</v>
      </c>
      <c r="AA263" s="3">
        <v>148</v>
      </c>
      <c r="AB263" s="3" t="str">
        <f>IFERROR(MID(VLOOKUP($B263,Seqs!$A:$B,2,0),AC263,1),"")</f>
        <v>G</v>
      </c>
      <c r="AC263" s="3">
        <v>149</v>
      </c>
      <c r="AD263" s="3" t="str">
        <f>IFERROR(MID(VLOOKUP($B263,Seqs!$A:$B,2,0),AE263,1),"")</f>
        <v>A</v>
      </c>
      <c r="AE263" s="3">
        <v>173</v>
      </c>
      <c r="AF263" s="3" t="str">
        <f>IFERROR(MID(VLOOKUP($B263,Seqs!$A:$B,2,0),AG263,1),"")</f>
        <v>C</v>
      </c>
      <c r="AG263" s="3">
        <v>187</v>
      </c>
      <c r="AH263" s="3" t="str">
        <f>IFERROR(MID(VLOOKUP($B263,Seqs!$A:$B,2,0),AI263,1),"")</f>
        <v>I</v>
      </c>
      <c r="AI263" s="3">
        <v>189</v>
      </c>
      <c r="AJ263" s="3" t="str">
        <f>IFERROR(MID(VLOOKUP($B263,Seqs!$A:$B,2,0),AK263,1),"")</f>
        <v>N</v>
      </c>
      <c r="AK263" s="3">
        <v>199</v>
      </c>
      <c r="AL263" s="3" t="str">
        <f>IFERROR(MID(VLOOKUP($B263,Seqs!$A:$B,2,0),AM263,1),"")</f>
        <v>Q</v>
      </c>
      <c r="AM263" s="3">
        <v>237</v>
      </c>
      <c r="AN263" s="3" t="str">
        <f>IFERROR(MID(VLOOKUP($B263,Seqs!$A:$B,2,0),AO263,1),"")</f>
        <v>A</v>
      </c>
      <c r="AO263" s="3">
        <v>241</v>
      </c>
      <c r="AP263" s="3" t="str">
        <f>IFERROR(MID(VLOOKUP($B263,Seqs!$A:$B,2,0),AQ263,1),"")</f>
        <v>H</v>
      </c>
      <c r="AQ263" s="3">
        <v>278</v>
      </c>
      <c r="AR263" s="3" t="str">
        <f>IFERROR(MID(VLOOKUP($B263,Seqs!$A:$B,2,0),AS263,1),"")</f>
        <v>G</v>
      </c>
      <c r="AS263" s="3">
        <v>284</v>
      </c>
      <c r="AT263" s="3" t="str">
        <f>IFERROR(MID(VLOOKUP($B263,Seqs!$A:$B,2,0),AU263,1),"")</f>
        <v>M</v>
      </c>
      <c r="AU263" s="3">
        <v>309</v>
      </c>
      <c r="AV263" s="3" t="str">
        <f>IFERROR(MID(VLOOKUP($B263,Seqs!$A:$B,2,0),AW263,1),"")</f>
        <v>N</v>
      </c>
      <c r="AW263" s="3">
        <v>310</v>
      </c>
      <c r="AX263" s="3" t="str">
        <f>IFERROR(MID(VLOOKUP($B263,Seqs!$A:$B,2,0),AY263,1),"")</f>
        <v>C</v>
      </c>
      <c r="AY263" s="3">
        <v>322</v>
      </c>
      <c r="AZ263" s="77" t="str">
        <f>VLOOKUP(B263,Classification!A:D,2,0)</f>
        <v>A</v>
      </c>
      <c r="BA263" s="94" t="str">
        <f>VLOOKUP(B263,Classification!A:D,4,0)</f>
        <v>Opsins</v>
      </c>
      <c r="BB263" s="27" t="b">
        <f t="shared" si="1453"/>
        <v>1</v>
      </c>
      <c r="BC263" s="23">
        <f t="shared" si="1426"/>
        <v>258</v>
      </c>
      <c r="BD263" s="2" t="s">
        <v>23</v>
      </c>
      <c r="BE263" s="3" t="s">
        <v>1292</v>
      </c>
      <c r="BF263" s="119">
        <v>7.7</v>
      </c>
      <c r="BG263" s="49" t="s">
        <v>1434</v>
      </c>
      <c r="BH263" s="49" t="s">
        <v>1434</v>
      </c>
      <c r="BI263" s="1"/>
      <c r="BJ263" s="70" t="s">
        <v>1288</v>
      </c>
      <c r="BK263" s="57" t="s">
        <v>1288</v>
      </c>
      <c r="BL263" s="57" t="s">
        <v>1288</v>
      </c>
      <c r="BM263" s="57" t="s">
        <v>1288</v>
      </c>
      <c r="BN263" s="57" t="s">
        <v>1288</v>
      </c>
      <c r="BO263" s="57" t="s">
        <v>1288</v>
      </c>
      <c r="BP263" s="57" t="s">
        <v>1288</v>
      </c>
      <c r="BQ263" s="57" t="s">
        <v>1288</v>
      </c>
      <c r="BR263" s="57" t="s">
        <v>1288</v>
      </c>
      <c r="BS263" s="57" t="s">
        <v>1288</v>
      </c>
      <c r="BT263" s="57" t="s">
        <v>1288</v>
      </c>
      <c r="BU263" s="57" t="s">
        <v>1288</v>
      </c>
      <c r="BV263" s="70">
        <f t="shared" si="1427"/>
        <v>34</v>
      </c>
      <c r="BW263" s="71">
        <f t="shared" si="1428"/>
        <v>66</v>
      </c>
      <c r="BX263" s="72">
        <f t="shared" si="1429"/>
        <v>70</v>
      </c>
      <c r="BY263" s="71">
        <f t="shared" si="1430"/>
        <v>102</v>
      </c>
      <c r="BZ263" s="72">
        <f t="shared" si="1431"/>
        <v>106</v>
      </c>
      <c r="CA263" s="71">
        <f t="shared" si="1432"/>
        <v>142</v>
      </c>
      <c r="CB263" s="72">
        <f t="shared" si="1433"/>
        <v>149</v>
      </c>
      <c r="CC263" s="71">
        <f t="shared" si="1434"/>
        <v>187</v>
      </c>
      <c r="CD263" s="72">
        <f t="shared" si="1435"/>
        <v>199</v>
      </c>
      <c r="CE263" s="71">
        <f t="shared" si="1436"/>
        <v>241</v>
      </c>
      <c r="CF263" s="72">
        <f t="shared" si="1437"/>
        <v>284</v>
      </c>
      <c r="CG263" s="71">
        <f t="shared" si="1438"/>
        <v>310</v>
      </c>
      <c r="CH263" s="70">
        <f t="shared" si="1439"/>
        <v>65</v>
      </c>
      <c r="CI263" s="71">
        <f t="shared" si="1440"/>
        <v>69</v>
      </c>
      <c r="CJ263" s="72">
        <f t="shared" si="1441"/>
        <v>100</v>
      </c>
      <c r="CK263" s="72">
        <f t="shared" si="1442"/>
        <v>105</v>
      </c>
      <c r="CL263" s="72">
        <f t="shared" si="1443"/>
        <v>141</v>
      </c>
      <c r="CM263" s="72">
        <f t="shared" si="1444"/>
        <v>148</v>
      </c>
      <c r="CN263" s="72">
        <f t="shared" si="1445"/>
        <v>173</v>
      </c>
      <c r="CO263" s="72">
        <f t="shared" si="1446"/>
        <v>189</v>
      </c>
      <c r="CP263" s="72">
        <f t="shared" si="1447"/>
        <v>237</v>
      </c>
      <c r="CQ263" s="72">
        <f t="shared" si="1448"/>
        <v>278</v>
      </c>
      <c r="CR263" s="72">
        <f t="shared" si="1449"/>
        <v>309</v>
      </c>
      <c r="CS263" s="72">
        <f t="shared" si="1450"/>
        <v>322</v>
      </c>
      <c r="CT263" s="23">
        <f t="shared" si="1451"/>
        <v>1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30" x14ac:dyDescent="0.2">
      <c r="A264" s="3" t="str">
        <f>CONCATENATE(B264,"_",C264)</f>
        <v>opsd_human_5W0P</v>
      </c>
      <c r="B264" s="3" t="s">
        <v>339</v>
      </c>
      <c r="C264" s="3" t="s">
        <v>1433</v>
      </c>
      <c r="D264" s="3" t="str">
        <f>IFERROR(MID(VLOOKUP($B264,Seqs!$A:$B,2,0),E264,1),"")</f>
        <v>P</v>
      </c>
      <c r="E264" s="3">
        <v>34</v>
      </c>
      <c r="F264" s="3" t="str">
        <f>IFERROR(MID(VLOOKUP($B264,Seqs!$A:$B,2,0),G264,1),"")</f>
        <v>H</v>
      </c>
      <c r="G264" s="3">
        <v>65</v>
      </c>
      <c r="H264" s="3" t="str">
        <f>IFERROR(MID(VLOOKUP($B264,Seqs!$A:$B,2,0),I264,1),"")</f>
        <v>K</v>
      </c>
      <c r="I264" s="23">
        <v>66</v>
      </c>
      <c r="J264" s="3" t="str">
        <f>IFERROR(MID(VLOOKUP($B264,Seqs!$A:$B,2,0),K264,1),"")</f>
        <v>R</v>
      </c>
      <c r="K264" s="23">
        <v>69</v>
      </c>
      <c r="L264" s="3" t="str">
        <f>IFERROR(MID(VLOOKUP($B264,Seqs!$A:$B,2,0),M264,1),"")</f>
        <v>T</v>
      </c>
      <c r="M264" s="3">
        <v>70</v>
      </c>
      <c r="N264" s="3" t="str">
        <f>IFERROR(MID(VLOOKUP($B264,Seqs!$A:$B,2,0),O264,1),"")</f>
        <v>H</v>
      </c>
      <c r="O264" s="3">
        <v>100</v>
      </c>
      <c r="P264" s="3" t="str">
        <f>IFERROR(MID(VLOOKUP($B264,Seqs!$A:$B,2,0),Q264,1),"")</f>
        <v>Y</v>
      </c>
      <c r="Q264" s="3">
        <v>102</v>
      </c>
      <c r="R264" s="3" t="str">
        <f>IFERROR(MID(VLOOKUP($B264,Seqs!$A:$B,2,0),S264,1),"")</f>
        <v>F</v>
      </c>
      <c r="S264" s="3">
        <v>105</v>
      </c>
      <c r="T264" s="3" t="str">
        <f>IFERROR(MID(VLOOKUP($B264,Seqs!$A:$B,2,0),U264,1),"")</f>
        <v>G</v>
      </c>
      <c r="U264" s="3">
        <v>106</v>
      </c>
      <c r="V264" s="3" t="str">
        <f>IFERROR(MID(VLOOKUP($B264,Seqs!$A:$B,2,0),W264,1),"")</f>
        <v>K</v>
      </c>
      <c r="W264" s="3">
        <v>141</v>
      </c>
      <c r="X264" s="3" t="str">
        <f>IFERROR(MID(VLOOKUP($B264,Seqs!$A:$B,2,0),Y264,1),"")</f>
        <v>P</v>
      </c>
      <c r="Y264" s="3">
        <v>142</v>
      </c>
      <c r="Z264" s="3" t="str">
        <f>IFERROR(MID(VLOOKUP($B264,Seqs!$A:$B,2,0),AA264,1),"")</f>
        <v>F</v>
      </c>
      <c r="AA264" s="3">
        <v>148</v>
      </c>
      <c r="AB264" s="3" t="str">
        <f>IFERROR(MID(VLOOKUP($B264,Seqs!$A:$B,2,0),AC264,1),"")</f>
        <v>G</v>
      </c>
      <c r="AC264" s="3">
        <v>149</v>
      </c>
      <c r="AD264" s="3" t="str">
        <f>IFERROR(MID(VLOOKUP($B264,Seqs!$A:$B,2,0),AE264,1),"")</f>
        <v>A</v>
      </c>
      <c r="AE264" s="3">
        <v>173</v>
      </c>
      <c r="AF264" s="3" t="str">
        <f>IFERROR(MID(VLOOKUP($B264,Seqs!$A:$B,2,0),AG264,1),"")</f>
        <v>C</v>
      </c>
      <c r="AG264" s="3">
        <v>187</v>
      </c>
      <c r="AH264" s="3" t="str">
        <f>IFERROR(MID(VLOOKUP($B264,Seqs!$A:$B,2,0),AI264,1),"")</f>
        <v>I</v>
      </c>
      <c r="AI264" s="3">
        <v>189</v>
      </c>
      <c r="AJ264" s="3" t="str">
        <f>IFERROR(MID(VLOOKUP($B264,Seqs!$A:$B,2,0),AK264,1),"")</f>
        <v>N</v>
      </c>
      <c r="AK264" s="3">
        <v>199</v>
      </c>
      <c r="AL264" s="3" t="str">
        <f>IFERROR(MID(VLOOKUP($B264,Seqs!$A:$B,2,0),AM264,1),"")</f>
        <v>Q</v>
      </c>
      <c r="AM264" s="3">
        <v>237</v>
      </c>
      <c r="AN264" s="3" t="str">
        <f>IFERROR(MID(VLOOKUP($B264,Seqs!$A:$B,2,0),AO264,1),"")</f>
        <v>A</v>
      </c>
      <c r="AO264" s="3">
        <v>241</v>
      </c>
      <c r="AP264" s="3" t="str">
        <f>IFERROR(MID(VLOOKUP($B264,Seqs!$A:$B,2,0),AQ264,1),"")</f>
        <v>H</v>
      </c>
      <c r="AQ264" s="3">
        <v>278</v>
      </c>
      <c r="AR264" s="3" t="str">
        <f>IFERROR(MID(VLOOKUP($B264,Seqs!$A:$B,2,0),AS264,1),"")</f>
        <v>G</v>
      </c>
      <c r="AS264" s="3">
        <v>284</v>
      </c>
      <c r="AT264" s="3" t="str">
        <f>IFERROR(MID(VLOOKUP($B264,Seqs!$A:$B,2,0),AU264,1),"")</f>
        <v>M</v>
      </c>
      <c r="AU264" s="3">
        <v>309</v>
      </c>
      <c r="AV264" s="3" t="str">
        <f>IFERROR(MID(VLOOKUP($B264,Seqs!$A:$B,2,0),AW264,1),"")</f>
        <v>N</v>
      </c>
      <c r="AW264" s="3">
        <v>310</v>
      </c>
      <c r="AX264" s="3" t="str">
        <f>IFERROR(MID(VLOOKUP($B264,Seqs!$A:$B,2,0),AY264,1),"")</f>
        <v>C</v>
      </c>
      <c r="AY264" s="3">
        <v>322</v>
      </c>
      <c r="AZ264" s="77" t="str">
        <f>VLOOKUP(B264,Classification!A:D,2,0)</f>
        <v>A</v>
      </c>
      <c r="BA264" s="94" t="str">
        <f>VLOOKUP(B264,Classification!A:D,4,0)</f>
        <v>Opsins</v>
      </c>
      <c r="BB264" s="27" t="b">
        <f>AND(E264&lt;G264,OR(G264&lt;I264,I264="-"),OR(I264&lt;K264,I264="-"),OR(K264&lt;M264,K264="-"),M264&lt;O264,OR(O264&lt;Q264,Q264="-"),OR(Q264&lt;S264,Q264="-"),OR(S264&lt;U264,S264="-"),U264&lt;W264,OR(W264&lt;Y264,Y264="-"),OR(Y264&lt;AA264,Y264="-"),OR(AA264&lt;AC264,AA264="-"),AC264&lt;AE264,OR(AE264&lt;AG264,AG264="-"),OR(AG264&lt;AI264,AG264="-"),OR(AI264&lt;AK264,AI264="-"),AK264&lt;AM264,AM264&lt;AO264,AO264&lt;AQ264,AQ264&lt;AS264,AS264&lt;AU264,OR(AU264&lt;AW264,AW264="-"),OR(AW264&lt;AY264,AW264="-"))</f>
        <v>1</v>
      </c>
      <c r="BC264" s="23">
        <f>_xlfn.AGGREGATE(9,6,CH264:CS264)-_xlfn.AGGREGATE(9,6,BV264:CG264)+12</f>
        <v>258</v>
      </c>
      <c r="BD264" s="2" t="s">
        <v>23</v>
      </c>
      <c r="BE264" s="3" t="s">
        <v>1292</v>
      </c>
      <c r="BF264" s="119">
        <v>3.01</v>
      </c>
      <c r="BG264" s="49" t="s">
        <v>1434</v>
      </c>
      <c r="BH264" s="49" t="s">
        <v>1434</v>
      </c>
      <c r="BI264" s="1"/>
      <c r="BJ264" s="70" t="s">
        <v>1288</v>
      </c>
      <c r="BK264" s="57" t="s">
        <v>1288</v>
      </c>
      <c r="BL264" s="57" t="s">
        <v>1288</v>
      </c>
      <c r="BM264" s="57" t="s">
        <v>1288</v>
      </c>
      <c r="BN264" s="57" t="s">
        <v>1288</v>
      </c>
      <c r="BO264" s="57" t="s">
        <v>1288</v>
      </c>
      <c r="BP264" s="57" t="s">
        <v>1288</v>
      </c>
      <c r="BQ264" s="57" t="s">
        <v>1288</v>
      </c>
      <c r="BR264" s="57" t="s">
        <v>1288</v>
      </c>
      <c r="BS264" s="57" t="s">
        <v>1288</v>
      </c>
      <c r="BT264" s="57" t="s">
        <v>1288</v>
      </c>
      <c r="BU264" s="57" t="s">
        <v>1288</v>
      </c>
      <c r="BV264" s="70">
        <f>E264</f>
        <v>34</v>
      </c>
      <c r="BW264" s="71">
        <f>I264</f>
        <v>66</v>
      </c>
      <c r="BX264" s="72">
        <f>M264</f>
        <v>70</v>
      </c>
      <c r="BY264" s="71">
        <f>Q264</f>
        <v>102</v>
      </c>
      <c r="BZ264" s="72">
        <f>U264</f>
        <v>106</v>
      </c>
      <c r="CA264" s="71">
        <f>Y264</f>
        <v>142</v>
      </c>
      <c r="CB264" s="72">
        <f>AC264</f>
        <v>149</v>
      </c>
      <c r="CC264" s="71">
        <f>AG264</f>
        <v>187</v>
      </c>
      <c r="CD264" s="72">
        <f>AK264</f>
        <v>199</v>
      </c>
      <c r="CE264" s="71">
        <f>AO264</f>
        <v>241</v>
      </c>
      <c r="CF264" s="72">
        <f>AS264</f>
        <v>284</v>
      </c>
      <c r="CG264" s="71">
        <f>AW264</f>
        <v>310</v>
      </c>
      <c r="CH264" s="70">
        <f>G264</f>
        <v>65</v>
      </c>
      <c r="CI264" s="71">
        <f>K264</f>
        <v>69</v>
      </c>
      <c r="CJ264" s="72">
        <f>O264</f>
        <v>100</v>
      </c>
      <c r="CK264" s="72">
        <f>S264</f>
        <v>105</v>
      </c>
      <c r="CL264" s="72">
        <f>W264</f>
        <v>141</v>
      </c>
      <c r="CM264" s="72">
        <f>AA264</f>
        <v>148</v>
      </c>
      <c r="CN264" s="72">
        <f>AE264</f>
        <v>173</v>
      </c>
      <c r="CO264" s="72">
        <f>AI264</f>
        <v>189</v>
      </c>
      <c r="CP264" s="72">
        <f>AM264</f>
        <v>237</v>
      </c>
      <c r="CQ264" s="72">
        <f>AQ264</f>
        <v>278</v>
      </c>
      <c r="CR264" s="72">
        <f>AU264</f>
        <v>309</v>
      </c>
      <c r="CS264" s="72">
        <f>AY264</f>
        <v>322</v>
      </c>
      <c r="CT264" s="23">
        <f>M264-K264</f>
        <v>1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30" x14ac:dyDescent="0.2">
      <c r="A265" s="3" t="str">
        <f>CONCATENATE(B265,"_",C265)</f>
        <v>opsd_human_6CMO</v>
      </c>
      <c r="B265" s="3" t="s">
        <v>339</v>
      </c>
      <c r="C265" s="3" t="s">
        <v>1503</v>
      </c>
      <c r="D265" s="3" t="str">
        <f>IFERROR(MID(VLOOKUP($B265,Seqs!$A:$B,2,0),E265,1),"")</f>
        <v>E</v>
      </c>
      <c r="E265" s="3">
        <v>33</v>
      </c>
      <c r="F265" s="3" t="str">
        <f>IFERROR(MID(VLOOKUP($B265,Seqs!$A:$B,2,0),G265,1),"")</f>
        <v>H</v>
      </c>
      <c r="G265" s="3">
        <v>65</v>
      </c>
      <c r="H265" s="3" t="str">
        <f>IFERROR(MID(VLOOKUP($B265,Seqs!$A:$B,2,0),I265,1),"")</f>
        <v>K</v>
      </c>
      <c r="I265" s="23">
        <v>66</v>
      </c>
      <c r="J265" s="3" t="str">
        <f>IFERROR(MID(VLOOKUP($B265,Seqs!$A:$B,2,0),K265,1),"")</f>
        <v>R</v>
      </c>
      <c r="K265" s="23">
        <v>69</v>
      </c>
      <c r="L265" s="3" t="str">
        <f>IFERROR(MID(VLOOKUP($B265,Seqs!$A:$B,2,0),M265,1),"")</f>
        <v>T</v>
      </c>
      <c r="M265" s="3">
        <v>70</v>
      </c>
      <c r="N265" s="3" t="str">
        <f>IFERROR(MID(VLOOKUP($B265,Seqs!$A:$B,2,0),O265,1),"")</f>
        <v>G</v>
      </c>
      <c r="O265" s="3">
        <v>101</v>
      </c>
      <c r="P265" s="3" t="str">
        <f>IFERROR(MID(VLOOKUP($B265,Seqs!$A:$B,2,0),Q265,1),"")</f>
        <v>Y</v>
      </c>
      <c r="Q265" s="3">
        <v>102</v>
      </c>
      <c r="R265" s="3" t="str">
        <f>IFERROR(MID(VLOOKUP($B265,Seqs!$A:$B,2,0),S265,1),"")</f>
        <v>F</v>
      </c>
      <c r="S265" s="3">
        <v>105</v>
      </c>
      <c r="T265" s="3" t="str">
        <f>IFERROR(MID(VLOOKUP($B265,Seqs!$A:$B,2,0),U265,1),"")</f>
        <v>G</v>
      </c>
      <c r="U265" s="3">
        <v>106</v>
      </c>
      <c r="V265" s="3" t="str">
        <f>IFERROR(MID(VLOOKUP($B265,Seqs!$A:$B,2,0),W265,1),"")</f>
        <v>K</v>
      </c>
      <c r="W265" s="3">
        <v>141</v>
      </c>
      <c r="X265" s="3" t="str">
        <f>IFERROR(MID(VLOOKUP($B265,Seqs!$A:$B,2,0),Y265,1),"")</f>
        <v/>
      </c>
      <c r="Y265" s="3" t="s">
        <v>23</v>
      </c>
      <c r="Z265" s="3" t="str">
        <f>IFERROR(MID(VLOOKUP($B265,Seqs!$A:$B,2,0),AA265,1),"")</f>
        <v/>
      </c>
      <c r="AA265" s="3" t="s">
        <v>23</v>
      </c>
      <c r="AB265" s="3" t="str">
        <f>IFERROR(MID(VLOOKUP($B265,Seqs!$A:$B,2,0),AC265,1),"")</f>
        <v>E</v>
      </c>
      <c r="AC265" s="3">
        <v>150</v>
      </c>
      <c r="AD265" s="3" t="str">
        <f>IFERROR(MID(VLOOKUP($B265,Seqs!$A:$B,2,0),AE265,1),"")</f>
        <v>A</v>
      </c>
      <c r="AE265" s="3">
        <v>173</v>
      </c>
      <c r="AF265" s="3" t="str">
        <f>IFERROR(MID(VLOOKUP($B265,Seqs!$A:$B,2,0),AG265,1),"")</f>
        <v>C</v>
      </c>
      <c r="AG265" s="3">
        <v>187</v>
      </c>
      <c r="AH265" s="3" t="str">
        <f>IFERROR(MID(VLOOKUP($B265,Seqs!$A:$B,2,0),AI265,1),"")</f>
        <v>I</v>
      </c>
      <c r="AI265" s="3">
        <v>189</v>
      </c>
      <c r="AJ265" s="3" t="str">
        <f>IFERROR(MID(VLOOKUP($B265,Seqs!$A:$B,2,0),AK265,1),"")</f>
        <v>N</v>
      </c>
      <c r="AK265" s="3">
        <v>200</v>
      </c>
      <c r="AL265" s="3" t="str">
        <f>IFERROR(MID(VLOOKUP($B265,Seqs!$A:$B,2,0),AM265,1),"")</f>
        <v>Q</v>
      </c>
      <c r="AM265" s="3">
        <v>238</v>
      </c>
      <c r="AN265" s="3" t="str">
        <f>IFERROR(MID(VLOOKUP($B265,Seqs!$A:$B,2,0),AO265,1),"")</f>
        <v>S</v>
      </c>
      <c r="AO265" s="3">
        <v>240</v>
      </c>
      <c r="AP265" s="3" t="str">
        <f>IFERROR(MID(VLOOKUP($B265,Seqs!$A:$B,2,0),AQ265,1),"")</f>
        <v>H</v>
      </c>
      <c r="AQ265" s="3">
        <v>278</v>
      </c>
      <c r="AR265" s="3" t="str">
        <f>IFERROR(MID(VLOOKUP($B265,Seqs!$A:$B,2,0),AS265,1),"")</f>
        <v>I</v>
      </c>
      <c r="AS265" s="3">
        <v>286</v>
      </c>
      <c r="AT265" s="3" t="str">
        <f>IFERROR(MID(VLOOKUP($B265,Seqs!$A:$B,2,0),AU265,1),"")</f>
        <v>M</v>
      </c>
      <c r="AU265" s="3">
        <v>309</v>
      </c>
      <c r="AV265" s="3" t="str">
        <f>IFERROR(MID(VLOOKUP($B265,Seqs!$A:$B,2,0),AW265,1),"")</f>
        <v>N</v>
      </c>
      <c r="AW265" s="3">
        <v>310</v>
      </c>
      <c r="AX265" s="3" t="str">
        <f>IFERROR(MID(VLOOKUP($B265,Seqs!$A:$B,2,0),AY265,1),"")</f>
        <v>C</v>
      </c>
      <c r="AY265" s="3">
        <v>323</v>
      </c>
      <c r="AZ265" s="77" t="str">
        <f>VLOOKUP(B265,Classification!A:D,2,0)</f>
        <v>A</v>
      </c>
      <c r="BA265" s="94" t="str">
        <f>VLOOKUP(B265,Classification!A:D,4,0)</f>
        <v>Opsins</v>
      </c>
      <c r="BB265" s="27" t="b">
        <f>AND(E265&lt;G265,OR(G265&lt;I265,I265="-"),OR(I265&lt;K265,I265="-"),OR(K265&lt;M265,K265="-"),M265&lt;O265,OR(O265&lt;Q265,Q265="-"),OR(Q265&lt;S265,Q265="-"),OR(S265&lt;U265,S265="-"),U265&lt;W265,OR(W265&lt;Y265,Y265="-"),OR(Y265&lt;AA265,Y265="-"),OR(AA265&lt;AC265,AA265="-"),AC265&lt;AE265,OR(AE265&lt;AG265,AG265="-"),OR(AG265&lt;AI265,AG265="-"),OR(AI265&lt;AK265,AI265="-"),AK265&lt;AM265,AM265&lt;AO265,AO265&lt;AQ265,AQ265&lt;AS265,AS265&lt;AU265,OR(AU265&lt;AW265,AW265="-"),OR(AW265&lt;AY265,AW265="-"))</f>
        <v>1</v>
      </c>
      <c r="BC265" s="23">
        <f>_xlfn.AGGREGATE(9,6,CH265:CS265)-_xlfn.AGGREGATE(9,6,BV265:CG265)+12</f>
        <v>253</v>
      </c>
      <c r="BD265" s="2" t="s">
        <v>23</v>
      </c>
      <c r="BE265" s="3" t="s">
        <v>1292</v>
      </c>
      <c r="BF265" s="119">
        <v>4.5</v>
      </c>
      <c r="BG265" s="49" t="s">
        <v>1434</v>
      </c>
      <c r="BH265" s="49" t="s">
        <v>1434</v>
      </c>
      <c r="BI265" s="1"/>
      <c r="BJ265" s="70" t="s">
        <v>1288</v>
      </c>
      <c r="BK265" s="57" t="s">
        <v>1288</v>
      </c>
      <c r="BL265" s="57" t="s">
        <v>1288</v>
      </c>
      <c r="BM265" s="57" t="s">
        <v>1288</v>
      </c>
      <c r="BN265" s="57" t="s">
        <v>1288</v>
      </c>
      <c r="BO265" s="57" t="s">
        <v>1288</v>
      </c>
      <c r="BP265" s="57" t="s">
        <v>1288</v>
      </c>
      <c r="BQ265" s="57" t="s">
        <v>1288</v>
      </c>
      <c r="BR265" s="57" t="s">
        <v>1288</v>
      </c>
      <c r="BS265" s="57" t="s">
        <v>1288</v>
      </c>
      <c r="BT265" s="57" t="s">
        <v>1288</v>
      </c>
      <c r="BU265" s="57" t="s">
        <v>1288</v>
      </c>
      <c r="BV265" s="70">
        <f>E265</f>
        <v>33</v>
      </c>
      <c r="BW265" s="71">
        <f>I265</f>
        <v>66</v>
      </c>
      <c r="BX265" s="72">
        <f>M265</f>
        <v>70</v>
      </c>
      <c r="BY265" s="71">
        <f>Q265</f>
        <v>102</v>
      </c>
      <c r="BZ265" s="72">
        <f>U265</f>
        <v>106</v>
      </c>
      <c r="CA265" s="71" t="str">
        <f>Y265</f>
        <v>-</v>
      </c>
      <c r="CB265" s="72">
        <f>AC265</f>
        <v>150</v>
      </c>
      <c r="CC265" s="71">
        <f>AG265</f>
        <v>187</v>
      </c>
      <c r="CD265" s="72">
        <f>AK265</f>
        <v>200</v>
      </c>
      <c r="CE265" s="71">
        <f>AO265</f>
        <v>240</v>
      </c>
      <c r="CF265" s="72">
        <f>AS265</f>
        <v>286</v>
      </c>
      <c r="CG265" s="71">
        <f>AW265</f>
        <v>310</v>
      </c>
      <c r="CH265" s="70">
        <f>G265</f>
        <v>65</v>
      </c>
      <c r="CI265" s="71">
        <f>K265</f>
        <v>69</v>
      </c>
      <c r="CJ265" s="72">
        <f>O265</f>
        <v>101</v>
      </c>
      <c r="CK265" s="72">
        <f>S265</f>
        <v>105</v>
      </c>
      <c r="CL265" s="72">
        <f>W265</f>
        <v>141</v>
      </c>
      <c r="CM265" s="72" t="str">
        <f>AA265</f>
        <v>-</v>
      </c>
      <c r="CN265" s="72">
        <f>AE265</f>
        <v>173</v>
      </c>
      <c r="CO265" s="72">
        <f>AI265</f>
        <v>189</v>
      </c>
      <c r="CP265" s="72">
        <f>AM265</f>
        <v>238</v>
      </c>
      <c r="CQ265" s="72">
        <f>AQ265</f>
        <v>278</v>
      </c>
      <c r="CR265" s="72">
        <f>AU265</f>
        <v>309</v>
      </c>
      <c r="CS265" s="72">
        <f>AY265</f>
        <v>323</v>
      </c>
      <c r="CT265" s="23">
        <f>M265-K265</f>
        <v>1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30" x14ac:dyDescent="0.2">
      <c r="A266" s="3" t="str">
        <f t="shared" si="1452"/>
        <v>opsd_todpa__wt</v>
      </c>
      <c r="B266" s="3" t="s">
        <v>922</v>
      </c>
      <c r="C266" s="3" t="s">
        <v>100</v>
      </c>
      <c r="D266" s="3" t="str">
        <f>IFERROR(MID(VLOOKUP($B266,Seqs!$A:$B,2,0),E266,1),"")</f>
        <v>D</v>
      </c>
      <c r="E266" s="3">
        <v>31</v>
      </c>
      <c r="F266" s="3" t="str">
        <f>IFERROR(MID(VLOOKUP($B266,Seqs!$A:$B,2,0),G266,1),"")</f>
        <v>T</v>
      </c>
      <c r="G266" s="3">
        <v>62</v>
      </c>
      <c r="H266" s="3" t="str">
        <f>IFERROR(MID(VLOOKUP($B266,Seqs!$A:$B,2,0),I266,1),"")</f>
        <v>K</v>
      </c>
      <c r="I266" s="23">
        <v>63</v>
      </c>
      <c r="J266" s="3" t="str">
        <f>IFERROR(MID(VLOOKUP($B266,Seqs!$A:$B,2,0),K266,1),"")</f>
        <v>Q</v>
      </c>
      <c r="K266" s="23">
        <v>66</v>
      </c>
      <c r="L266" s="3" t="str">
        <f>IFERROR(MID(VLOOKUP($B266,Seqs!$A:$B,2,0),M266,1),"")</f>
        <v>T</v>
      </c>
      <c r="M266" s="3">
        <v>67</v>
      </c>
      <c r="N266" s="3" t="str">
        <f>IFERROR(MID(VLOOKUP($B266,Seqs!$A:$B,2,0),O266,1),"")</f>
        <v>K</v>
      </c>
      <c r="O266" s="3">
        <v>99</v>
      </c>
      <c r="P266" s="3" t="str">
        <f>IFERROR(MID(VLOOKUP($B266,Seqs!$A:$B,2,0),Q266,1),"")</f>
        <v>K</v>
      </c>
      <c r="Q266" s="3">
        <v>100</v>
      </c>
      <c r="R266" s="3" t="str">
        <f>IFERROR(MID(VLOOKUP($B266,Seqs!$A:$B,2,0),S266,1),"")</f>
        <v>F</v>
      </c>
      <c r="S266" s="3">
        <v>103</v>
      </c>
      <c r="T266" s="3" t="str">
        <f>IFERROR(MID(VLOOKUP($B266,Seqs!$A:$B,2,0),U266,1),"")</f>
        <v>G</v>
      </c>
      <c r="U266" s="3">
        <v>104</v>
      </c>
      <c r="V266" s="3" t="str">
        <f>IFERROR(MID(VLOOKUP($B266,Seqs!$A:$B,2,0),W266,1),"")</f>
        <v>R</v>
      </c>
      <c r="W266" s="3">
        <v>139</v>
      </c>
      <c r="X266" s="3" t="str">
        <f>IFERROR(MID(VLOOKUP($B266,Seqs!$A:$B,2,0),Y266,1),"")</f>
        <v>P</v>
      </c>
      <c r="Y266" s="3">
        <v>140</v>
      </c>
      <c r="Z266" s="3" t="str">
        <f>IFERROR(MID(VLOOKUP($B266,Seqs!$A:$B,2,0),AA266,1),"")</f>
        <v>M</v>
      </c>
      <c r="AA266" s="3">
        <v>147</v>
      </c>
      <c r="AB266" s="3" t="str">
        <f>IFERROR(MID(VLOOKUP($B266,Seqs!$A:$B,2,0),AC266,1),"")</f>
        <v>S</v>
      </c>
      <c r="AC266" s="9">
        <v>148</v>
      </c>
      <c r="AD266" s="3" t="str">
        <f>IFERROR(MID(VLOOKUP($B266,Seqs!$A:$B,2,0),AE266,1),"")</f>
        <v>F</v>
      </c>
      <c r="AE266" s="3">
        <v>172</v>
      </c>
      <c r="AF266" s="3" t="str">
        <f>IFERROR(MID(VLOOKUP($B266,Seqs!$A:$B,2,0),AG266,1),"")</f>
        <v>C</v>
      </c>
      <c r="AG266" s="3">
        <v>186</v>
      </c>
      <c r="AH266" s="3" t="str">
        <f>IFERROR(MID(VLOOKUP($B266,Seqs!$A:$B,2,0),AI266,1),"")</f>
        <v>F</v>
      </c>
      <c r="AI266" s="3">
        <v>188</v>
      </c>
      <c r="AJ266" s="3" t="str">
        <f>IFERROR(MID(VLOOKUP($B266,Seqs!$A:$B,2,0),AK266,1),"")</f>
        <v>D</v>
      </c>
      <c r="AK266" s="3">
        <v>194</v>
      </c>
      <c r="AL266" s="3" t="str">
        <f>IFERROR(MID(VLOOKUP($B266,Seqs!$A:$B,2,0),AM266,1),"")</f>
        <v>K</v>
      </c>
      <c r="AM266" s="3">
        <v>239</v>
      </c>
      <c r="AN266" s="3" t="str">
        <f>IFERROR(MID(VLOOKUP($B266,Seqs!$A:$B,2,0),AO266,1),"")</f>
        <v>K</v>
      </c>
      <c r="AO266" s="3">
        <v>244</v>
      </c>
      <c r="AP266" s="3" t="str">
        <f>IFERROR(MID(VLOOKUP($B266,Seqs!$A:$B,2,0),AQ266,1),"")</f>
        <v>G</v>
      </c>
      <c r="AQ266" s="3">
        <v>287</v>
      </c>
      <c r="AR266" s="3" t="str">
        <f>IFERROR(MID(VLOOKUP($B266,Seqs!$A:$B,2,0),AS266,1),"")</f>
        <v>T</v>
      </c>
      <c r="AS266" s="3">
        <v>293</v>
      </c>
      <c r="AT266" s="3" t="str">
        <f>IFERROR(MID(VLOOKUP($B266,Seqs!$A:$B,2,0),AU266,1),"")</f>
        <v>S</v>
      </c>
      <c r="AU266" s="3">
        <v>318</v>
      </c>
      <c r="AV266" s="3" t="str">
        <f>IFERROR(MID(VLOOKUP($B266,Seqs!$A:$B,2,0),AW266,1),"")</f>
        <v>H</v>
      </c>
      <c r="AW266" s="3">
        <v>319</v>
      </c>
      <c r="AX266" s="3" t="str">
        <f>IFERROR(MID(VLOOKUP($B266,Seqs!$A:$B,2,0),AY266,1),"")</f>
        <v>F</v>
      </c>
      <c r="AY266" s="3">
        <v>330</v>
      </c>
      <c r="AZ266" s="77" t="str">
        <f>VLOOKUP(B266,Classification!A:D,2,0)</f>
        <v>A</v>
      </c>
      <c r="BA266" s="94" t="str">
        <f>VLOOKUP(B266,Classification!A:D,4,0)</f>
        <v>Opsins</v>
      </c>
      <c r="BB266" s="27" t="b">
        <f t="shared" si="1453"/>
        <v>1</v>
      </c>
      <c r="BC266" s="23">
        <f t="shared" si="1426"/>
        <v>273</v>
      </c>
      <c r="BD266" s="56" t="s">
        <v>23</v>
      </c>
      <c r="BE266" s="3" t="s">
        <v>23</v>
      </c>
      <c r="BF266" s="119" t="s">
        <v>23</v>
      </c>
      <c r="BG266" s="49" t="s">
        <v>1373</v>
      </c>
      <c r="BH266" s="49" t="s">
        <v>1378</v>
      </c>
      <c r="BI266" s="1"/>
      <c r="BJ266" s="70" t="s">
        <v>1288</v>
      </c>
      <c r="BK266" s="57" t="s">
        <v>1288</v>
      </c>
      <c r="BL266" s="57" t="s">
        <v>1288</v>
      </c>
      <c r="BM266" s="57" t="s">
        <v>1288</v>
      </c>
      <c r="BN266" s="57" t="s">
        <v>1288</v>
      </c>
      <c r="BO266" s="57" t="s">
        <v>1288</v>
      </c>
      <c r="BP266" s="57" t="s">
        <v>1288</v>
      </c>
      <c r="BQ266" s="57" t="s">
        <v>1288</v>
      </c>
      <c r="BR266" s="57" t="s">
        <v>1288</v>
      </c>
      <c r="BS266" s="57" t="s">
        <v>1288</v>
      </c>
      <c r="BT266" s="57" t="s">
        <v>1288</v>
      </c>
      <c r="BU266" s="57" t="s">
        <v>1288</v>
      </c>
      <c r="BV266" s="70">
        <f t="shared" si="1427"/>
        <v>31</v>
      </c>
      <c r="BW266" s="71">
        <f t="shared" si="1428"/>
        <v>63</v>
      </c>
      <c r="BX266" s="72">
        <f t="shared" si="1429"/>
        <v>67</v>
      </c>
      <c r="BY266" s="71">
        <f t="shared" si="1430"/>
        <v>100</v>
      </c>
      <c r="BZ266" s="72">
        <f t="shared" si="1431"/>
        <v>104</v>
      </c>
      <c r="CA266" s="71">
        <f t="shared" si="1432"/>
        <v>140</v>
      </c>
      <c r="CB266" s="72">
        <f t="shared" si="1433"/>
        <v>148</v>
      </c>
      <c r="CC266" s="71">
        <f t="shared" si="1434"/>
        <v>186</v>
      </c>
      <c r="CD266" s="72">
        <f t="shared" si="1435"/>
        <v>194</v>
      </c>
      <c r="CE266" s="71">
        <f t="shared" si="1436"/>
        <v>244</v>
      </c>
      <c r="CF266" s="72">
        <f t="shared" si="1437"/>
        <v>293</v>
      </c>
      <c r="CG266" s="71">
        <f t="shared" si="1438"/>
        <v>319</v>
      </c>
      <c r="CH266" s="70">
        <f t="shared" si="1439"/>
        <v>62</v>
      </c>
      <c r="CI266" s="71">
        <f t="shared" si="1440"/>
        <v>66</v>
      </c>
      <c r="CJ266" s="72">
        <f t="shared" si="1441"/>
        <v>99</v>
      </c>
      <c r="CK266" s="72">
        <f t="shared" si="1442"/>
        <v>103</v>
      </c>
      <c r="CL266" s="72">
        <f t="shared" si="1443"/>
        <v>139</v>
      </c>
      <c r="CM266" s="72">
        <f t="shared" si="1444"/>
        <v>147</v>
      </c>
      <c r="CN266" s="72">
        <f t="shared" si="1445"/>
        <v>172</v>
      </c>
      <c r="CO266" s="72">
        <f t="shared" si="1446"/>
        <v>188</v>
      </c>
      <c r="CP266" s="72">
        <f t="shared" si="1447"/>
        <v>239</v>
      </c>
      <c r="CQ266" s="72">
        <f t="shared" si="1448"/>
        <v>287</v>
      </c>
      <c r="CR266" s="72">
        <f t="shared" si="1449"/>
        <v>318</v>
      </c>
      <c r="CS266" s="72">
        <f t="shared" si="1450"/>
        <v>330</v>
      </c>
      <c r="CT266" s="23">
        <f t="shared" si="1451"/>
        <v>1</v>
      </c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</row>
    <row r="267" spans="1:1030" x14ac:dyDescent="0.2">
      <c r="A267" s="3" t="str">
        <f t="shared" si="1452"/>
        <v>opsd_todpa_2Z73</v>
      </c>
      <c r="B267" s="3" t="s">
        <v>922</v>
      </c>
      <c r="C267" s="3" t="s">
        <v>97</v>
      </c>
      <c r="D267" s="3" t="str">
        <f>IFERROR(MID(VLOOKUP($B267,Seqs!$A:$B,2,0),E267,1),"")</f>
        <v>D</v>
      </c>
      <c r="E267" s="3">
        <v>31</v>
      </c>
      <c r="F267" s="3" t="str">
        <f>IFERROR(MID(VLOOKUP($B267,Seqs!$A:$B,2,0),G267,1),"")</f>
        <v>T</v>
      </c>
      <c r="G267" s="3">
        <v>62</v>
      </c>
      <c r="H267" s="3" t="str">
        <f>IFERROR(MID(VLOOKUP($B267,Seqs!$A:$B,2,0),I267,1),"")</f>
        <v>K</v>
      </c>
      <c r="I267" s="23">
        <v>63</v>
      </c>
      <c r="J267" s="3" t="str">
        <f>IFERROR(MID(VLOOKUP($B267,Seqs!$A:$B,2,0),K267,1),"")</f>
        <v>Q</v>
      </c>
      <c r="K267" s="23">
        <v>66</v>
      </c>
      <c r="L267" s="3" t="str">
        <f>IFERROR(MID(VLOOKUP($B267,Seqs!$A:$B,2,0),M267,1),"")</f>
        <v>T</v>
      </c>
      <c r="M267" s="3">
        <v>67</v>
      </c>
      <c r="N267" s="3" t="str">
        <f>IFERROR(MID(VLOOKUP($B267,Seqs!$A:$B,2,0),O267,1),"")</f>
        <v>K</v>
      </c>
      <c r="O267" s="3">
        <v>99</v>
      </c>
      <c r="P267" s="3" t="str">
        <f>IFERROR(MID(VLOOKUP($B267,Seqs!$A:$B,2,0),Q267,1),"")</f>
        <v>K</v>
      </c>
      <c r="Q267" s="3">
        <v>100</v>
      </c>
      <c r="R267" s="3" t="str">
        <f>IFERROR(MID(VLOOKUP($B267,Seqs!$A:$B,2,0),S267,1),"")</f>
        <v>F</v>
      </c>
      <c r="S267" s="3">
        <v>103</v>
      </c>
      <c r="T267" s="3" t="str">
        <f>IFERROR(MID(VLOOKUP($B267,Seqs!$A:$B,2,0),U267,1),"")</f>
        <v>G</v>
      </c>
      <c r="U267" s="3">
        <v>104</v>
      </c>
      <c r="V267" s="3" t="str">
        <f>IFERROR(MID(VLOOKUP($B267,Seqs!$A:$B,2,0),W267,1),"")</f>
        <v>R</v>
      </c>
      <c r="W267" s="3">
        <v>139</v>
      </c>
      <c r="X267" s="3" t="str">
        <f>IFERROR(MID(VLOOKUP($B267,Seqs!$A:$B,2,0),Y267,1),"")</f>
        <v/>
      </c>
      <c r="Y267" s="3" t="s">
        <v>23</v>
      </c>
      <c r="Z267" s="3" t="str">
        <f>IFERROR(MID(VLOOKUP($B267,Seqs!$A:$B,2,0),AA267,1),"")</f>
        <v/>
      </c>
      <c r="AA267" s="3" t="s">
        <v>23</v>
      </c>
      <c r="AB267" s="3" t="str">
        <f>IFERROR(MID(VLOOKUP($B267,Seqs!$A:$B,2,0),AC267,1),"")</f>
        <v>S</v>
      </c>
      <c r="AC267" s="9">
        <v>148</v>
      </c>
      <c r="AD267" s="3" t="str">
        <f>IFERROR(MID(VLOOKUP($B267,Seqs!$A:$B,2,0),AE267,1),"")</f>
        <v>F</v>
      </c>
      <c r="AE267" s="3">
        <v>172</v>
      </c>
      <c r="AF267" s="3" t="str">
        <f>IFERROR(MID(VLOOKUP($B267,Seqs!$A:$B,2,0),AG267,1),"")</f>
        <v>C</v>
      </c>
      <c r="AG267" s="3">
        <v>186</v>
      </c>
      <c r="AH267" s="3" t="str">
        <f>IFERROR(MID(VLOOKUP($B267,Seqs!$A:$B,2,0),AI267,1),"")</f>
        <v>F</v>
      </c>
      <c r="AI267" s="3">
        <v>188</v>
      </c>
      <c r="AJ267" s="3" t="str">
        <f>IFERROR(MID(VLOOKUP($B267,Seqs!$A:$B,2,0),AK267,1),"")</f>
        <v>D</v>
      </c>
      <c r="AK267" s="3">
        <v>194</v>
      </c>
      <c r="AL267" s="3" t="str">
        <f>IFERROR(MID(VLOOKUP($B267,Seqs!$A:$B,2,0),AM267,1),"")</f>
        <v>K</v>
      </c>
      <c r="AM267" s="3">
        <v>239</v>
      </c>
      <c r="AN267" s="3" t="str">
        <f>IFERROR(MID(VLOOKUP($B267,Seqs!$A:$B,2,0),AO267,1),"")</f>
        <v>K</v>
      </c>
      <c r="AO267" s="3">
        <v>244</v>
      </c>
      <c r="AP267" s="3" t="str">
        <f>IFERROR(MID(VLOOKUP($B267,Seqs!$A:$B,2,0),AQ267,1),"")</f>
        <v>G</v>
      </c>
      <c r="AQ267" s="3">
        <v>287</v>
      </c>
      <c r="AR267" s="3" t="str">
        <f>IFERROR(MID(VLOOKUP($B267,Seqs!$A:$B,2,0),AS267,1),"")</f>
        <v>T</v>
      </c>
      <c r="AS267" s="3">
        <v>293</v>
      </c>
      <c r="AT267" s="3" t="str">
        <f>IFERROR(MID(VLOOKUP($B267,Seqs!$A:$B,2,0),AU267,1),"")</f>
        <v>S</v>
      </c>
      <c r="AU267" s="3">
        <v>318</v>
      </c>
      <c r="AV267" s="3" t="str">
        <f>IFERROR(MID(VLOOKUP($B267,Seqs!$A:$B,2,0),AW267,1),"")</f>
        <v>H</v>
      </c>
      <c r="AW267" s="3">
        <v>319</v>
      </c>
      <c r="AX267" s="3" t="str">
        <f>IFERROR(MID(VLOOKUP($B267,Seqs!$A:$B,2,0),AY267,1),"")</f>
        <v>F</v>
      </c>
      <c r="AY267" s="3">
        <v>330</v>
      </c>
      <c r="AZ267" s="77" t="str">
        <f>VLOOKUP(B267,Classification!A:D,2,0)</f>
        <v>A</v>
      </c>
      <c r="BA267" s="94" t="str">
        <f>VLOOKUP(B267,Classification!A:D,4,0)</f>
        <v>Opsins</v>
      </c>
      <c r="BB267" s="27" t="b">
        <f t="shared" si="1453"/>
        <v>1</v>
      </c>
      <c r="BC267" s="23">
        <f t="shared" si="1426"/>
        <v>266</v>
      </c>
      <c r="BD267" s="2" t="s">
        <v>1377</v>
      </c>
      <c r="BE267" s="3" t="s">
        <v>1375</v>
      </c>
      <c r="BF267" s="119">
        <v>2.5</v>
      </c>
      <c r="BG267" s="49" t="s">
        <v>1378</v>
      </c>
      <c r="BH267" s="49" t="s">
        <v>1378</v>
      </c>
      <c r="BI267" s="1"/>
      <c r="BJ267" s="70" t="s">
        <v>1288</v>
      </c>
      <c r="BK267" s="57" t="s">
        <v>1288</v>
      </c>
      <c r="BL267" s="57" t="s">
        <v>1288</v>
      </c>
      <c r="BM267" s="57" t="s">
        <v>1288</v>
      </c>
      <c r="BN267" s="57" t="s">
        <v>1288</v>
      </c>
      <c r="BO267" s="57" t="s">
        <v>1288</v>
      </c>
      <c r="BP267" s="57" t="s">
        <v>1288</v>
      </c>
      <c r="BQ267" s="57" t="s">
        <v>1288</v>
      </c>
      <c r="BR267" s="57" t="s">
        <v>1288</v>
      </c>
      <c r="BS267" s="57" t="s">
        <v>1288</v>
      </c>
      <c r="BT267" s="57" t="s">
        <v>1288</v>
      </c>
      <c r="BU267" s="57" t="s">
        <v>1288</v>
      </c>
      <c r="BV267" s="70">
        <f t="shared" si="1427"/>
        <v>31</v>
      </c>
      <c r="BW267" s="71">
        <f t="shared" si="1428"/>
        <v>63</v>
      </c>
      <c r="BX267" s="72">
        <f t="shared" si="1429"/>
        <v>67</v>
      </c>
      <c r="BY267" s="71">
        <f t="shared" si="1430"/>
        <v>100</v>
      </c>
      <c r="BZ267" s="72">
        <f t="shared" si="1431"/>
        <v>104</v>
      </c>
      <c r="CA267" s="71" t="str">
        <f t="shared" si="1432"/>
        <v>-</v>
      </c>
      <c r="CB267" s="72">
        <f t="shared" si="1433"/>
        <v>148</v>
      </c>
      <c r="CC267" s="71">
        <f t="shared" si="1434"/>
        <v>186</v>
      </c>
      <c r="CD267" s="72">
        <f t="shared" si="1435"/>
        <v>194</v>
      </c>
      <c r="CE267" s="71">
        <f t="shared" si="1436"/>
        <v>244</v>
      </c>
      <c r="CF267" s="72">
        <f t="shared" si="1437"/>
        <v>293</v>
      </c>
      <c r="CG267" s="71">
        <f t="shared" si="1438"/>
        <v>319</v>
      </c>
      <c r="CH267" s="70">
        <f t="shared" si="1439"/>
        <v>62</v>
      </c>
      <c r="CI267" s="71">
        <f t="shared" si="1440"/>
        <v>66</v>
      </c>
      <c r="CJ267" s="72">
        <f t="shared" si="1441"/>
        <v>99</v>
      </c>
      <c r="CK267" s="72">
        <f t="shared" si="1442"/>
        <v>103</v>
      </c>
      <c r="CL267" s="72">
        <f t="shared" si="1443"/>
        <v>139</v>
      </c>
      <c r="CM267" s="72" t="str">
        <f t="shared" si="1444"/>
        <v>-</v>
      </c>
      <c r="CN267" s="72">
        <f t="shared" si="1445"/>
        <v>172</v>
      </c>
      <c r="CO267" s="72">
        <f t="shared" si="1446"/>
        <v>188</v>
      </c>
      <c r="CP267" s="72">
        <f t="shared" si="1447"/>
        <v>239</v>
      </c>
      <c r="CQ267" s="72">
        <f t="shared" si="1448"/>
        <v>287</v>
      </c>
      <c r="CR267" s="72">
        <f t="shared" si="1449"/>
        <v>318</v>
      </c>
      <c r="CS267" s="72">
        <f t="shared" si="1450"/>
        <v>330</v>
      </c>
      <c r="CT267" s="23">
        <f t="shared" si="1451"/>
        <v>1</v>
      </c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  <c r="AMP267" s="2"/>
    </row>
    <row r="268" spans="1:1030" x14ac:dyDescent="0.2">
      <c r="A268" s="3" t="str">
        <f t="shared" si="1452"/>
        <v>ox1r_human__wt</v>
      </c>
      <c r="B268" s="3" t="s">
        <v>1175</v>
      </c>
      <c r="C268" s="3" t="s">
        <v>100</v>
      </c>
      <c r="D268" s="3" t="str">
        <f>IFERROR(MID(VLOOKUP($B268,Seqs!$A:$B,2,0),E268,1),"")</f>
        <v>E</v>
      </c>
      <c r="E268" s="3">
        <v>46</v>
      </c>
      <c r="F268" s="3" t="str">
        <f>IFERROR(MID(VLOOKUP($B268,Seqs!$A:$B,2,0),G268,1),"")</f>
        <v>N</v>
      </c>
      <c r="G268" s="3">
        <v>74</v>
      </c>
      <c r="H268" s="3" t="str">
        <f>IFERROR(MID(VLOOKUP($B268,Seqs!$A:$B,2,0),I268,1),"")</f>
        <v>H</v>
      </c>
      <c r="I268" s="23">
        <v>75</v>
      </c>
      <c r="J268" s="3" t="str">
        <f>IFERROR(MID(VLOOKUP($B268,Seqs!$A:$B,2,0),K268,1),"")</f>
        <v>R</v>
      </c>
      <c r="K268" s="23">
        <v>78</v>
      </c>
      <c r="L268" s="3" t="str">
        <f>IFERROR(MID(VLOOKUP($B268,Seqs!$A:$B,2,0),M268,1),"")</f>
        <v>T</v>
      </c>
      <c r="M268" s="3">
        <v>79</v>
      </c>
      <c r="N268" s="3" t="str">
        <f>IFERROR(MID(VLOOKUP($B268,Seqs!$A:$B,2,0),O268,1),"")</f>
        <v>T</v>
      </c>
      <c r="O268" s="3">
        <v>109</v>
      </c>
      <c r="P268" s="3" t="str">
        <f>IFERROR(MID(VLOOKUP($B268,Seqs!$A:$B,2,0),Q268,1),"")</f>
        <v>S</v>
      </c>
      <c r="Q268" s="3">
        <v>111</v>
      </c>
      <c r="R268" s="3" t="str">
        <f>IFERROR(MID(VLOOKUP($B268,Seqs!$A:$B,2,0),S268,1),"")</f>
        <v>F</v>
      </c>
      <c r="S268" s="3">
        <v>114</v>
      </c>
      <c r="T268" s="3" t="str">
        <f>IFERROR(MID(VLOOKUP($B268,Seqs!$A:$B,2,0),U268,1),"")</f>
        <v>G</v>
      </c>
      <c r="U268" s="3">
        <v>115</v>
      </c>
      <c r="V268" s="3" t="str">
        <f>IFERROR(MID(VLOOKUP($B268,Seqs!$A:$B,2,0),W268,1),"")</f>
        <v>H</v>
      </c>
      <c r="W268" s="3">
        <v>150</v>
      </c>
      <c r="X268" s="3" t="str">
        <f>IFERROR(MID(VLOOKUP($B268,Seqs!$A:$B,2,0),Y268,1),"")</f>
        <v>P</v>
      </c>
      <c r="Y268" s="3">
        <v>151</v>
      </c>
      <c r="Z268" s="3" t="str">
        <f>IFERROR(MID(VLOOKUP($B268,Seqs!$A:$B,2,0),AA268,1),"")</f>
        <v>F</v>
      </c>
      <c r="AA268" s="73">
        <v>154</v>
      </c>
      <c r="AB268" s="3" t="str">
        <f>IFERROR(MID(VLOOKUP($B268,Seqs!$A:$B,2,0),AC268,1),"")</f>
        <v>T</v>
      </c>
      <c r="AC268" s="9">
        <v>157</v>
      </c>
      <c r="AD268" s="3" t="str">
        <f>IFERROR(MID(VLOOKUP($B268,Seqs!$A:$B,2,0),AE268,1),"")</f>
        <v>M</v>
      </c>
      <c r="AE268" s="3">
        <v>183</v>
      </c>
      <c r="AF268" s="3" t="str">
        <f>IFERROR(MID(VLOOKUP($B268,Seqs!$A:$B,2,0),AG268,1),"")</f>
        <v>C</v>
      </c>
      <c r="AG268" s="3">
        <v>202</v>
      </c>
      <c r="AH268" s="3" t="str">
        <f>IFERROR(MID(VLOOKUP($B268,Seqs!$A:$B,2,0),AI268,1),"")</f>
        <v>E</v>
      </c>
      <c r="AI268" s="3">
        <v>204</v>
      </c>
      <c r="AJ268" s="3" t="str">
        <f>IFERROR(MID(VLOOKUP($B268,Seqs!$A:$B,2,0),AK268,1),"")</f>
        <v>D</v>
      </c>
      <c r="AK268" s="3">
        <v>209</v>
      </c>
      <c r="AL268" s="3" t="str">
        <f>IFERROR(MID(VLOOKUP($B268,Seqs!$A:$B,2,0),AM268,1),"")</f>
        <v>P</v>
      </c>
      <c r="AM268" s="3">
        <v>248</v>
      </c>
      <c r="AN268" s="3" t="str">
        <f>IFERROR(MID(VLOOKUP($B268,Seqs!$A:$B,2,0),AO268,1),"")</f>
        <v>F</v>
      </c>
      <c r="AO268" s="3">
        <v>283</v>
      </c>
      <c r="AP268" s="3" t="str">
        <f>IFERROR(MID(VLOOKUP($B268,Seqs!$A:$B,2,0),AQ268,1),"")</f>
        <v>F</v>
      </c>
      <c r="AQ268" s="3">
        <v>324</v>
      </c>
      <c r="AR268" s="3" t="str">
        <f>IFERROR(MID(VLOOKUP($B268,Seqs!$A:$B,2,0),AS268,1),"")</f>
        <v>R</v>
      </c>
      <c r="AS268" s="3">
        <v>333</v>
      </c>
      <c r="AT268" s="3" t="str">
        <f>IFERROR(MID(VLOOKUP($B268,Seqs!$A:$B,2,0),AU268,1),"")</f>
        <v>L</v>
      </c>
      <c r="AU268" s="3">
        <v>361</v>
      </c>
      <c r="AV268" s="3" t="str">
        <f>IFERROR(MID(VLOOKUP($B268,Seqs!$A:$B,2,0),AW268,1),"")</f>
        <v>S</v>
      </c>
      <c r="AW268" s="3">
        <v>362</v>
      </c>
      <c r="AX268" s="3" t="str">
        <f>IFERROR(MID(VLOOKUP($B268,Seqs!$A:$B,2,0),AY268,1),"")</f>
        <v>F</v>
      </c>
      <c r="AY268" s="3">
        <v>373</v>
      </c>
      <c r="AZ268" s="77" t="str">
        <f>VLOOKUP(B268,Classification!A:D,2,0)</f>
        <v>A</v>
      </c>
      <c r="BA268" s="94" t="str">
        <f>VLOOKUP(B268,Classification!A:D,4,0)</f>
        <v>Orexin</v>
      </c>
      <c r="BB268" s="27" t="b">
        <f t="shared" si="1453"/>
        <v>1</v>
      </c>
      <c r="BC268" s="23">
        <f t="shared" si="1426"/>
        <v>261</v>
      </c>
      <c r="BD268" s="56" t="s">
        <v>23</v>
      </c>
      <c r="BE268" s="3" t="s">
        <v>23</v>
      </c>
      <c r="BF268" s="119" t="s">
        <v>23</v>
      </c>
      <c r="BG268" s="49" t="s">
        <v>1373</v>
      </c>
      <c r="BH268" s="49" t="s">
        <v>1378</v>
      </c>
      <c r="BI268" s="1"/>
      <c r="BJ268" s="70" t="s">
        <v>1288</v>
      </c>
      <c r="BK268" s="57" t="s">
        <v>1288</v>
      </c>
      <c r="BL268" s="57" t="s">
        <v>1288</v>
      </c>
      <c r="BM268" s="57" t="s">
        <v>1288</v>
      </c>
      <c r="BN268" s="57" t="s">
        <v>1288</v>
      </c>
      <c r="BO268" s="57" t="s">
        <v>1288</v>
      </c>
      <c r="BP268" s="57" t="s">
        <v>1288</v>
      </c>
      <c r="BQ268" s="57" t="s">
        <v>1288</v>
      </c>
      <c r="BR268" s="57" t="s">
        <v>1288</v>
      </c>
      <c r="BS268" s="57" t="s">
        <v>1288</v>
      </c>
      <c r="BT268" s="57" t="s">
        <v>1288</v>
      </c>
      <c r="BU268" s="57" t="s">
        <v>1288</v>
      </c>
      <c r="BV268" s="70">
        <f t="shared" si="1427"/>
        <v>46</v>
      </c>
      <c r="BW268" s="71">
        <f t="shared" si="1428"/>
        <v>75</v>
      </c>
      <c r="BX268" s="72">
        <f t="shared" si="1429"/>
        <v>79</v>
      </c>
      <c r="BY268" s="71">
        <f t="shared" si="1430"/>
        <v>111</v>
      </c>
      <c r="BZ268" s="72">
        <f t="shared" si="1431"/>
        <v>115</v>
      </c>
      <c r="CA268" s="71">
        <f t="shared" si="1432"/>
        <v>151</v>
      </c>
      <c r="CB268" s="72">
        <f t="shared" si="1433"/>
        <v>157</v>
      </c>
      <c r="CC268" s="71">
        <f t="shared" si="1434"/>
        <v>202</v>
      </c>
      <c r="CD268" s="72">
        <f t="shared" si="1435"/>
        <v>209</v>
      </c>
      <c r="CE268" s="71">
        <f t="shared" si="1436"/>
        <v>283</v>
      </c>
      <c r="CF268" s="72">
        <f t="shared" si="1437"/>
        <v>333</v>
      </c>
      <c r="CG268" s="71">
        <f t="shared" si="1438"/>
        <v>362</v>
      </c>
      <c r="CH268" s="70">
        <f t="shared" si="1439"/>
        <v>74</v>
      </c>
      <c r="CI268" s="71">
        <f t="shared" si="1440"/>
        <v>78</v>
      </c>
      <c r="CJ268" s="72">
        <f t="shared" si="1441"/>
        <v>109</v>
      </c>
      <c r="CK268" s="72">
        <f t="shared" si="1442"/>
        <v>114</v>
      </c>
      <c r="CL268" s="72">
        <f t="shared" si="1443"/>
        <v>150</v>
      </c>
      <c r="CM268" s="72">
        <f t="shared" si="1444"/>
        <v>154</v>
      </c>
      <c r="CN268" s="72">
        <f t="shared" si="1445"/>
        <v>183</v>
      </c>
      <c r="CO268" s="72">
        <f t="shared" si="1446"/>
        <v>204</v>
      </c>
      <c r="CP268" s="72">
        <f t="shared" si="1447"/>
        <v>248</v>
      </c>
      <c r="CQ268" s="72">
        <f t="shared" si="1448"/>
        <v>324</v>
      </c>
      <c r="CR268" s="72">
        <f t="shared" si="1449"/>
        <v>361</v>
      </c>
      <c r="CS268" s="72">
        <f t="shared" si="1450"/>
        <v>373</v>
      </c>
      <c r="CT268" s="23">
        <f t="shared" si="1451"/>
        <v>1</v>
      </c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</row>
    <row r="269" spans="1:1030" x14ac:dyDescent="0.2">
      <c r="A269" s="3" t="str">
        <f t="shared" si="1452"/>
        <v>ox1r_human_4ZJ8</v>
      </c>
      <c r="B269" s="3" t="s">
        <v>1175</v>
      </c>
      <c r="C269" s="3" t="s">
        <v>90</v>
      </c>
      <c r="D269" s="3" t="str">
        <f>IFERROR(MID(VLOOKUP($B269,Seqs!$A:$B,2,0),E269,1),"")</f>
        <v>E</v>
      </c>
      <c r="E269" s="3">
        <v>46</v>
      </c>
      <c r="F269" s="3" t="str">
        <f>IFERROR(MID(VLOOKUP($B269,Seqs!$A:$B,2,0),G269,1),"")</f>
        <v>N</v>
      </c>
      <c r="G269" s="3">
        <v>74</v>
      </c>
      <c r="H269" s="3" t="str">
        <f>IFERROR(MID(VLOOKUP($B269,Seqs!$A:$B,2,0),I269,1),"")</f>
        <v>H</v>
      </c>
      <c r="I269" s="23">
        <v>75</v>
      </c>
      <c r="J269" s="3" t="str">
        <f>IFERROR(MID(VLOOKUP($B269,Seqs!$A:$B,2,0),K269,1),"")</f>
        <v>R</v>
      </c>
      <c r="K269" s="23">
        <v>78</v>
      </c>
      <c r="L269" s="3" t="str">
        <f>IFERROR(MID(VLOOKUP($B269,Seqs!$A:$B,2,0),M269,1),"")</f>
        <v>T</v>
      </c>
      <c r="M269" s="3">
        <v>79</v>
      </c>
      <c r="N269" s="3" t="str">
        <f>IFERROR(MID(VLOOKUP($B269,Seqs!$A:$B,2,0),O269,1),"")</f>
        <v>T</v>
      </c>
      <c r="O269" s="3">
        <v>109</v>
      </c>
      <c r="P269" s="3" t="str">
        <f>IFERROR(MID(VLOOKUP($B269,Seqs!$A:$B,2,0),Q269,1),"")</f>
        <v>S</v>
      </c>
      <c r="Q269" s="3">
        <v>111</v>
      </c>
      <c r="R269" s="3" t="str">
        <f>IFERROR(MID(VLOOKUP($B269,Seqs!$A:$B,2,0),S269,1),"")</f>
        <v>F</v>
      </c>
      <c r="S269" s="3">
        <v>114</v>
      </c>
      <c r="T269" s="3" t="str">
        <f>IFERROR(MID(VLOOKUP($B269,Seqs!$A:$B,2,0),U269,1),"")</f>
        <v>G</v>
      </c>
      <c r="U269" s="3">
        <v>115</v>
      </c>
      <c r="V269" s="3" t="str">
        <f>IFERROR(MID(VLOOKUP($B269,Seqs!$A:$B,2,0),W269,1),"")</f>
        <v>H</v>
      </c>
      <c r="W269" s="3">
        <v>150</v>
      </c>
      <c r="X269" s="3" t="str">
        <f>IFERROR(MID(VLOOKUP($B269,Seqs!$A:$B,2,0),Y269,1),"")</f>
        <v>P</v>
      </c>
      <c r="Y269" s="3">
        <v>151</v>
      </c>
      <c r="Z269" s="3" t="str">
        <f>IFERROR(MID(VLOOKUP($B269,Seqs!$A:$B,2,0),AA269,1),"")</f>
        <v>F</v>
      </c>
      <c r="AA269" s="3">
        <v>154</v>
      </c>
      <c r="AB269" s="3" t="str">
        <f>IFERROR(MID(VLOOKUP($B269,Seqs!$A:$B,2,0),AC269,1),"")</f>
        <v>T</v>
      </c>
      <c r="AC269" s="9">
        <v>157</v>
      </c>
      <c r="AD269" s="3" t="str">
        <f>IFERROR(MID(VLOOKUP($B269,Seqs!$A:$B,2,0),AE269,1),"")</f>
        <v>M</v>
      </c>
      <c r="AE269" s="3">
        <v>183</v>
      </c>
      <c r="AF269" s="3" t="str">
        <f>IFERROR(MID(VLOOKUP($B269,Seqs!$A:$B,2,0),AG269,1),"")</f>
        <v>C</v>
      </c>
      <c r="AG269" s="3">
        <v>202</v>
      </c>
      <c r="AH269" s="3" t="str">
        <f>IFERROR(MID(VLOOKUP($B269,Seqs!$A:$B,2,0),AI269,1),"")</f>
        <v>E</v>
      </c>
      <c r="AI269" s="3">
        <v>204</v>
      </c>
      <c r="AJ269" s="3" t="str">
        <f>IFERROR(MID(VLOOKUP($B269,Seqs!$A:$B,2,0),AK269,1),"")</f>
        <v>D</v>
      </c>
      <c r="AK269" s="3">
        <v>209</v>
      </c>
      <c r="AL269" s="3" t="str">
        <f>IFERROR(MID(VLOOKUP($B269,Seqs!$A:$B,2,0),AM269,1),"")</f>
        <v>L</v>
      </c>
      <c r="AM269" s="3">
        <v>242</v>
      </c>
      <c r="AN269" s="3" t="str">
        <f>IFERROR(MID(VLOOKUP($B269,Seqs!$A:$B,2,0),AO269,1),"")</f>
        <v>K</v>
      </c>
      <c r="AO269" s="3">
        <v>288</v>
      </c>
      <c r="AP269" s="3" t="str">
        <f>IFERROR(MID(VLOOKUP($B269,Seqs!$A:$B,2,0),AQ269,1),"")</f>
        <v>F</v>
      </c>
      <c r="AQ269" s="3">
        <v>324</v>
      </c>
      <c r="AR269" s="3" t="str">
        <f>IFERROR(MID(VLOOKUP($B269,Seqs!$A:$B,2,0),AS269,1),"")</f>
        <v>R</v>
      </c>
      <c r="AS269" s="3">
        <v>333</v>
      </c>
      <c r="AT269" s="3" t="str">
        <f>IFERROR(MID(VLOOKUP($B269,Seqs!$A:$B,2,0),AU269,1),"")</f>
        <v>L</v>
      </c>
      <c r="AU269" s="3">
        <v>361</v>
      </c>
      <c r="AV269" s="3" t="str">
        <f>IFERROR(MID(VLOOKUP($B269,Seqs!$A:$B,2,0),AW269,1),"")</f>
        <v>S</v>
      </c>
      <c r="AW269" s="3">
        <v>362</v>
      </c>
      <c r="AX269" s="3" t="str">
        <f>IFERROR(MID(VLOOKUP($B269,Seqs!$A:$B,2,0),AY269,1),"")</f>
        <v>F</v>
      </c>
      <c r="AY269" s="3">
        <v>373</v>
      </c>
      <c r="AZ269" s="77" t="str">
        <f>VLOOKUP(B269,Classification!A:D,2,0)</f>
        <v>A</v>
      </c>
      <c r="BA269" s="94" t="str">
        <f>VLOOKUP(B269,Classification!A:D,4,0)</f>
        <v>Orexin</v>
      </c>
      <c r="BB269" s="27" t="b">
        <f t="shared" si="1453"/>
        <v>1</v>
      </c>
      <c r="BC269" s="23">
        <f t="shared" si="1426"/>
        <v>250</v>
      </c>
      <c r="BD269" s="4" t="s">
        <v>1377</v>
      </c>
      <c r="BE269" s="3" t="s">
        <v>1375</v>
      </c>
      <c r="BF269" s="119">
        <v>2.75</v>
      </c>
      <c r="BG269" s="49" t="s">
        <v>1378</v>
      </c>
      <c r="BH269" s="49" t="s">
        <v>1378</v>
      </c>
      <c r="BI269" s="1"/>
      <c r="BJ269" s="70" t="s">
        <v>1288</v>
      </c>
      <c r="BK269" s="57" t="s">
        <v>1288</v>
      </c>
      <c r="BL269" s="57" t="s">
        <v>1288</v>
      </c>
      <c r="BM269" s="57" t="s">
        <v>1288</v>
      </c>
      <c r="BN269" s="57" t="s">
        <v>1288</v>
      </c>
      <c r="BO269" s="57" t="s">
        <v>1288</v>
      </c>
      <c r="BP269" s="57" t="s">
        <v>1288</v>
      </c>
      <c r="BQ269" s="57" t="s">
        <v>1288</v>
      </c>
      <c r="BR269" s="57" t="s">
        <v>1288</v>
      </c>
      <c r="BS269" s="57" t="s">
        <v>1288</v>
      </c>
      <c r="BT269" s="57" t="s">
        <v>1288</v>
      </c>
      <c r="BU269" s="57" t="s">
        <v>1288</v>
      </c>
      <c r="BV269" s="70">
        <f t="shared" si="1427"/>
        <v>46</v>
      </c>
      <c r="BW269" s="71">
        <f t="shared" si="1428"/>
        <v>75</v>
      </c>
      <c r="BX269" s="72">
        <f t="shared" si="1429"/>
        <v>79</v>
      </c>
      <c r="BY269" s="71">
        <f t="shared" si="1430"/>
        <v>111</v>
      </c>
      <c r="BZ269" s="72">
        <f t="shared" si="1431"/>
        <v>115</v>
      </c>
      <c r="CA269" s="71">
        <f t="shared" si="1432"/>
        <v>151</v>
      </c>
      <c r="CB269" s="72">
        <f t="shared" si="1433"/>
        <v>157</v>
      </c>
      <c r="CC269" s="71">
        <f t="shared" si="1434"/>
        <v>202</v>
      </c>
      <c r="CD269" s="72">
        <f t="shared" si="1435"/>
        <v>209</v>
      </c>
      <c r="CE269" s="71">
        <f t="shared" si="1436"/>
        <v>288</v>
      </c>
      <c r="CF269" s="72">
        <f t="shared" si="1437"/>
        <v>333</v>
      </c>
      <c r="CG269" s="71">
        <f t="shared" si="1438"/>
        <v>362</v>
      </c>
      <c r="CH269" s="70">
        <f t="shared" si="1439"/>
        <v>74</v>
      </c>
      <c r="CI269" s="71">
        <f t="shared" si="1440"/>
        <v>78</v>
      </c>
      <c r="CJ269" s="72">
        <f t="shared" si="1441"/>
        <v>109</v>
      </c>
      <c r="CK269" s="72">
        <f t="shared" si="1442"/>
        <v>114</v>
      </c>
      <c r="CL269" s="72">
        <f t="shared" si="1443"/>
        <v>150</v>
      </c>
      <c r="CM269" s="72">
        <f t="shared" si="1444"/>
        <v>154</v>
      </c>
      <c r="CN269" s="72">
        <f t="shared" si="1445"/>
        <v>183</v>
      </c>
      <c r="CO269" s="72">
        <f t="shared" si="1446"/>
        <v>204</v>
      </c>
      <c r="CP269" s="72">
        <f t="shared" si="1447"/>
        <v>242</v>
      </c>
      <c r="CQ269" s="72">
        <f t="shared" si="1448"/>
        <v>324</v>
      </c>
      <c r="CR269" s="72">
        <f t="shared" si="1449"/>
        <v>361</v>
      </c>
      <c r="CS269" s="72">
        <f t="shared" si="1450"/>
        <v>373</v>
      </c>
      <c r="CT269" s="23">
        <f t="shared" si="1451"/>
        <v>1</v>
      </c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  <c r="AMP269" s="2"/>
    </row>
    <row r="270" spans="1:1030" x14ac:dyDescent="0.2">
      <c r="A270" s="3" t="str">
        <f t="shared" si="1452"/>
        <v>ox1r_human_4ZJC</v>
      </c>
      <c r="B270" s="3" t="s">
        <v>1175</v>
      </c>
      <c r="C270" s="3" t="s">
        <v>91</v>
      </c>
      <c r="D270" s="3" t="str">
        <f>IFERROR(MID(VLOOKUP($B270,Seqs!$A:$B,2,0),E270,1),"")</f>
        <v>E</v>
      </c>
      <c r="E270" s="3">
        <v>46</v>
      </c>
      <c r="F270" s="3" t="str">
        <f>IFERROR(MID(VLOOKUP($B270,Seqs!$A:$B,2,0),G270,1),"")</f>
        <v>N</v>
      </c>
      <c r="G270" s="3">
        <v>74</v>
      </c>
      <c r="H270" s="3" t="str">
        <f>IFERROR(MID(VLOOKUP($B270,Seqs!$A:$B,2,0),I270,1),"")</f>
        <v>H</v>
      </c>
      <c r="I270" s="23">
        <v>75</v>
      </c>
      <c r="J270" s="3" t="str">
        <f>IFERROR(MID(VLOOKUP($B270,Seqs!$A:$B,2,0),K270,1),"")</f>
        <v>R</v>
      </c>
      <c r="K270" s="23">
        <v>78</v>
      </c>
      <c r="L270" s="3" t="str">
        <f>IFERROR(MID(VLOOKUP($B270,Seqs!$A:$B,2,0),M270,1),"")</f>
        <v>T</v>
      </c>
      <c r="M270" s="3">
        <v>79</v>
      </c>
      <c r="N270" s="3" t="str">
        <f>IFERROR(MID(VLOOKUP($B270,Seqs!$A:$B,2,0),O270,1),"")</f>
        <v>T</v>
      </c>
      <c r="O270" s="3">
        <v>109</v>
      </c>
      <c r="P270" s="3" t="str">
        <f>IFERROR(MID(VLOOKUP($B270,Seqs!$A:$B,2,0),Q270,1),"")</f>
        <v>S</v>
      </c>
      <c r="Q270" s="3">
        <v>111</v>
      </c>
      <c r="R270" s="3" t="str">
        <f>IFERROR(MID(VLOOKUP($B270,Seqs!$A:$B,2,0),S270,1),"")</f>
        <v>F</v>
      </c>
      <c r="S270" s="3">
        <v>114</v>
      </c>
      <c r="T270" s="3" t="str">
        <f>IFERROR(MID(VLOOKUP($B270,Seqs!$A:$B,2,0),U270,1),"")</f>
        <v>G</v>
      </c>
      <c r="U270" s="3">
        <v>115</v>
      </c>
      <c r="V270" s="3" t="str">
        <f>IFERROR(MID(VLOOKUP($B270,Seqs!$A:$B,2,0),W270,1),"")</f>
        <v>H</v>
      </c>
      <c r="W270" s="3">
        <v>150</v>
      </c>
      <c r="X270" s="3" t="str">
        <f>IFERROR(MID(VLOOKUP($B270,Seqs!$A:$B,2,0),Y270,1),"")</f>
        <v>P</v>
      </c>
      <c r="Y270" s="3">
        <v>151</v>
      </c>
      <c r="Z270" s="3" t="str">
        <f>IFERROR(MID(VLOOKUP($B270,Seqs!$A:$B,2,0),AA270,1),"")</f>
        <v>F</v>
      </c>
      <c r="AA270" s="3">
        <v>154</v>
      </c>
      <c r="AB270" s="3" t="str">
        <f>IFERROR(MID(VLOOKUP($B270,Seqs!$A:$B,2,0),AC270,1),"")</f>
        <v>T</v>
      </c>
      <c r="AC270" s="9">
        <v>157</v>
      </c>
      <c r="AD270" s="3" t="str">
        <f>IFERROR(MID(VLOOKUP($B270,Seqs!$A:$B,2,0),AE270,1),"")</f>
        <v>M</v>
      </c>
      <c r="AE270" s="3">
        <v>183</v>
      </c>
      <c r="AF270" s="3" t="str">
        <f>IFERROR(MID(VLOOKUP($B270,Seqs!$A:$B,2,0),AG270,1),"")</f>
        <v>C</v>
      </c>
      <c r="AG270" s="3">
        <v>202</v>
      </c>
      <c r="AH270" s="3" t="str">
        <f>IFERROR(MID(VLOOKUP($B270,Seqs!$A:$B,2,0),AI270,1),"")</f>
        <v>E</v>
      </c>
      <c r="AI270" s="3">
        <v>204</v>
      </c>
      <c r="AJ270" s="3" t="str">
        <f>IFERROR(MID(VLOOKUP($B270,Seqs!$A:$B,2,0),AK270,1),"")</f>
        <v>D</v>
      </c>
      <c r="AK270" s="3">
        <v>209</v>
      </c>
      <c r="AL270" s="3" t="str">
        <f>IFERROR(MID(VLOOKUP($B270,Seqs!$A:$B,2,0),AM270,1),"")</f>
        <v>L</v>
      </c>
      <c r="AM270" s="3">
        <v>242</v>
      </c>
      <c r="AN270" s="3" t="str">
        <f>IFERROR(MID(VLOOKUP($B270,Seqs!$A:$B,2,0),AO270,1),"")</f>
        <v>K</v>
      </c>
      <c r="AO270" s="3">
        <v>288</v>
      </c>
      <c r="AP270" s="3" t="str">
        <f>IFERROR(MID(VLOOKUP($B270,Seqs!$A:$B,2,0),AQ270,1),"")</f>
        <v>F</v>
      </c>
      <c r="AQ270" s="3">
        <v>324</v>
      </c>
      <c r="AR270" s="3" t="str">
        <f>IFERROR(MID(VLOOKUP($B270,Seqs!$A:$B,2,0),AS270,1),"")</f>
        <v>R</v>
      </c>
      <c r="AS270" s="3">
        <v>333</v>
      </c>
      <c r="AT270" s="3" t="str">
        <f>IFERROR(MID(VLOOKUP($B270,Seqs!$A:$B,2,0),AU270,1),"")</f>
        <v>L</v>
      </c>
      <c r="AU270" s="3">
        <v>361</v>
      </c>
      <c r="AV270" s="3" t="str">
        <f>IFERROR(MID(VLOOKUP($B270,Seqs!$A:$B,2,0),AW270,1),"")</f>
        <v>S</v>
      </c>
      <c r="AW270" s="3">
        <v>362</v>
      </c>
      <c r="AX270" s="3" t="str">
        <f>IFERROR(MID(VLOOKUP($B270,Seqs!$A:$B,2,0),AY270,1),"")</f>
        <v>F</v>
      </c>
      <c r="AY270" s="3">
        <v>373</v>
      </c>
      <c r="AZ270" s="77" t="str">
        <f>VLOOKUP(B270,Classification!A:D,2,0)</f>
        <v>A</v>
      </c>
      <c r="BA270" s="94" t="str">
        <f>VLOOKUP(B270,Classification!A:D,4,0)</f>
        <v>Orexin</v>
      </c>
      <c r="BB270" s="27" t="b">
        <f t="shared" si="1453"/>
        <v>1</v>
      </c>
      <c r="BC270" s="23">
        <f t="shared" si="1426"/>
        <v>250</v>
      </c>
      <c r="BD270" s="2" t="s">
        <v>23</v>
      </c>
      <c r="BE270" s="3" t="s">
        <v>1375</v>
      </c>
      <c r="BF270" s="119">
        <v>2.83</v>
      </c>
      <c r="BG270" s="49" t="s">
        <v>1378</v>
      </c>
      <c r="BH270" s="49" t="s">
        <v>1378</v>
      </c>
      <c r="BI270" s="1"/>
      <c r="BJ270" s="70" t="s">
        <v>1288</v>
      </c>
      <c r="BK270" s="57" t="s">
        <v>1288</v>
      </c>
      <c r="BL270" s="57" t="s">
        <v>1288</v>
      </c>
      <c r="BM270" s="57" t="s">
        <v>1288</v>
      </c>
      <c r="BN270" s="57" t="s">
        <v>1288</v>
      </c>
      <c r="BO270" s="57" t="s">
        <v>1288</v>
      </c>
      <c r="BP270" s="57" t="s">
        <v>1288</v>
      </c>
      <c r="BQ270" s="57" t="s">
        <v>1288</v>
      </c>
      <c r="BR270" s="57" t="s">
        <v>1288</v>
      </c>
      <c r="BS270" s="57" t="s">
        <v>1288</v>
      </c>
      <c r="BT270" s="57" t="s">
        <v>1288</v>
      </c>
      <c r="BU270" s="57" t="s">
        <v>1288</v>
      </c>
      <c r="BV270" s="70">
        <f t="shared" si="1427"/>
        <v>46</v>
      </c>
      <c r="BW270" s="71">
        <f t="shared" si="1428"/>
        <v>75</v>
      </c>
      <c r="BX270" s="72">
        <f t="shared" si="1429"/>
        <v>79</v>
      </c>
      <c r="BY270" s="71">
        <f t="shared" si="1430"/>
        <v>111</v>
      </c>
      <c r="BZ270" s="72">
        <f t="shared" si="1431"/>
        <v>115</v>
      </c>
      <c r="CA270" s="71">
        <f t="shared" si="1432"/>
        <v>151</v>
      </c>
      <c r="CB270" s="72">
        <f t="shared" si="1433"/>
        <v>157</v>
      </c>
      <c r="CC270" s="71">
        <f t="shared" si="1434"/>
        <v>202</v>
      </c>
      <c r="CD270" s="72">
        <f t="shared" si="1435"/>
        <v>209</v>
      </c>
      <c r="CE270" s="71">
        <f t="shared" si="1436"/>
        <v>288</v>
      </c>
      <c r="CF270" s="72">
        <f t="shared" si="1437"/>
        <v>333</v>
      </c>
      <c r="CG270" s="71">
        <f t="shared" si="1438"/>
        <v>362</v>
      </c>
      <c r="CH270" s="70">
        <f t="shared" si="1439"/>
        <v>74</v>
      </c>
      <c r="CI270" s="71">
        <f t="shared" si="1440"/>
        <v>78</v>
      </c>
      <c r="CJ270" s="72">
        <f t="shared" si="1441"/>
        <v>109</v>
      </c>
      <c r="CK270" s="72">
        <f t="shared" si="1442"/>
        <v>114</v>
      </c>
      <c r="CL270" s="72">
        <f t="shared" si="1443"/>
        <v>150</v>
      </c>
      <c r="CM270" s="72">
        <f t="shared" si="1444"/>
        <v>154</v>
      </c>
      <c r="CN270" s="72">
        <f t="shared" si="1445"/>
        <v>183</v>
      </c>
      <c r="CO270" s="72">
        <f t="shared" si="1446"/>
        <v>204</v>
      </c>
      <c r="CP270" s="72">
        <f t="shared" si="1447"/>
        <v>242</v>
      </c>
      <c r="CQ270" s="72">
        <f t="shared" si="1448"/>
        <v>324</v>
      </c>
      <c r="CR270" s="72">
        <f t="shared" si="1449"/>
        <v>361</v>
      </c>
      <c r="CS270" s="72">
        <f t="shared" si="1450"/>
        <v>373</v>
      </c>
      <c r="CT270" s="23">
        <f t="shared" si="1451"/>
        <v>1</v>
      </c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  <c r="AMP270" s="2"/>
    </row>
    <row r="271" spans="1:1030" x14ac:dyDescent="0.2">
      <c r="A271" s="3" t="str">
        <f t="shared" si="1452"/>
        <v>ox2r_human__wt</v>
      </c>
      <c r="B271" s="3" t="s">
        <v>1176</v>
      </c>
      <c r="C271" s="3" t="s">
        <v>100</v>
      </c>
      <c r="D271" s="3" t="str">
        <f>IFERROR(MID(VLOOKUP($B271,Seqs!$A:$B,2,0),E271,1),"")</f>
        <v>Y</v>
      </c>
      <c r="E271" s="3">
        <v>53</v>
      </c>
      <c r="F271" s="3" t="str">
        <f>IFERROR(MID(VLOOKUP($B271,Seqs!$A:$B,2,0),G271,1),"")</f>
        <v>N</v>
      </c>
      <c r="G271" s="3">
        <v>82</v>
      </c>
      <c r="H271" s="3" t="str">
        <f>IFERROR(MID(VLOOKUP($B271,Seqs!$A:$B,2,0),I271,1),"")</f>
        <v>H</v>
      </c>
      <c r="I271" s="23">
        <v>83</v>
      </c>
      <c r="J271" s="3" t="str">
        <f>IFERROR(MID(VLOOKUP($B271,Seqs!$A:$B,2,0),K271,1),"")</f>
        <v>R</v>
      </c>
      <c r="K271" s="23">
        <v>86</v>
      </c>
      <c r="L271" s="3" t="str">
        <f>IFERROR(MID(VLOOKUP($B271,Seqs!$A:$B,2,0),M271,1),"")</f>
        <v>T</v>
      </c>
      <c r="M271" s="3">
        <v>87</v>
      </c>
      <c r="N271" s="3" t="str">
        <f>IFERROR(MID(VLOOKUP($B271,Seqs!$A:$B,2,0),O271,1),"")</f>
        <v>E</v>
      </c>
      <c r="O271" s="105">
        <v>118</v>
      </c>
      <c r="P271" s="3" t="str">
        <f>IFERROR(MID(VLOOKUP($B271,Seqs!$A:$B,2,0),Q271,1),"")</f>
        <v>T</v>
      </c>
      <c r="Q271" s="3">
        <v>119</v>
      </c>
      <c r="R271" s="3" t="str">
        <f>IFERROR(MID(VLOOKUP($B271,Seqs!$A:$B,2,0),S271,1),"")</f>
        <v>F</v>
      </c>
      <c r="S271" s="3">
        <v>122</v>
      </c>
      <c r="T271" s="3" t="str">
        <f>IFERROR(MID(VLOOKUP($B271,Seqs!$A:$B,2,0),U271,1),"")</f>
        <v>G</v>
      </c>
      <c r="U271" s="3">
        <v>123</v>
      </c>
      <c r="V271" s="3" t="str">
        <f>IFERROR(MID(VLOOKUP($B271,Seqs!$A:$B,2,0),W271,1),"")</f>
        <v>H</v>
      </c>
      <c r="W271" s="3">
        <v>158</v>
      </c>
      <c r="X271" s="3" t="str">
        <f>IFERROR(MID(VLOOKUP($B271,Seqs!$A:$B,2,0),Y271,1),"")</f>
        <v>P</v>
      </c>
      <c r="Y271" s="3">
        <v>159</v>
      </c>
      <c r="Z271" s="3" t="str">
        <f>IFERROR(MID(VLOOKUP($B271,Seqs!$A:$B,2,0),AA271,1),"")</f>
        <v>F</v>
      </c>
      <c r="AA271" s="73">
        <v>162</v>
      </c>
      <c r="AB271" s="3" t="str">
        <f>IFERROR(MID(VLOOKUP($B271,Seqs!$A:$B,2,0),AC271,1),"")</f>
        <v>T</v>
      </c>
      <c r="AC271" s="9">
        <v>165</v>
      </c>
      <c r="AD271" s="3" t="str">
        <f>IFERROR(MID(VLOOKUP($B271,Seqs!$A:$B,2,0),AE271,1),"")</f>
        <v>M</v>
      </c>
      <c r="AE271" s="3">
        <v>191</v>
      </c>
      <c r="AF271" s="3" t="str">
        <f>IFERROR(MID(VLOOKUP($B271,Seqs!$A:$B,2,0),AG271,1),"")</f>
        <v>C</v>
      </c>
      <c r="AG271" s="3">
        <v>210</v>
      </c>
      <c r="AH271" s="3" t="str">
        <f>IFERROR(MID(VLOOKUP($B271,Seqs!$A:$B,2,0),AI271,1),"")</f>
        <v>E</v>
      </c>
      <c r="AI271" s="3">
        <v>212</v>
      </c>
      <c r="AJ271" s="3" t="str">
        <f>IFERROR(MID(VLOOKUP($B271,Seqs!$A:$B,2,0),AK271,1),"")</f>
        <v>I</v>
      </c>
      <c r="AK271" s="105">
        <v>218</v>
      </c>
      <c r="AL271" s="3" t="str">
        <f>IFERROR(MID(VLOOKUP($B271,Seqs!$A:$B,2,0),AM271,1),"")</f>
        <v>P</v>
      </c>
      <c r="AM271" s="3">
        <v>256</v>
      </c>
      <c r="AN271" s="3" t="str">
        <f>IFERROR(MID(VLOOKUP($B271,Seqs!$A:$B,2,0),AO271,1),"")</f>
        <v>V</v>
      </c>
      <c r="AO271" s="3">
        <v>289</v>
      </c>
      <c r="AP271" s="3" t="str">
        <f>IFERROR(MID(VLOOKUP($B271,Seqs!$A:$B,2,0),AQ271,1),"")</f>
        <v>F</v>
      </c>
      <c r="AQ271" s="3">
        <v>330</v>
      </c>
      <c r="AR271" s="3" t="str">
        <f>IFERROR(MID(VLOOKUP($B271,Seqs!$A:$B,2,0),AS271,1),"")</f>
        <v>D</v>
      </c>
      <c r="AS271" s="105">
        <v>338</v>
      </c>
      <c r="AT271" s="3" t="str">
        <f>IFERROR(MID(VLOOKUP($B271,Seqs!$A:$B,2,0),AU271,1),"")</f>
        <v>L</v>
      </c>
      <c r="AU271" s="3">
        <v>367</v>
      </c>
      <c r="AV271" s="3" t="str">
        <f>IFERROR(MID(VLOOKUP($B271,Seqs!$A:$B,2,0),AW271,1),"")</f>
        <v>S</v>
      </c>
      <c r="AW271" s="3">
        <v>368</v>
      </c>
      <c r="AX271" s="3" t="str">
        <f>IFERROR(MID(VLOOKUP($B271,Seqs!$A:$B,2,0),AY271,1),"")</f>
        <v>F</v>
      </c>
      <c r="AY271" s="3">
        <v>379</v>
      </c>
      <c r="AZ271" s="77" t="str">
        <f>VLOOKUP(B271,Classification!A:D,2,0)</f>
        <v>A</v>
      </c>
      <c r="BA271" s="94" t="str">
        <f>VLOOKUP(B271,Classification!A:D,4,0)</f>
        <v>Orexin</v>
      </c>
      <c r="BB271" s="27" t="b">
        <f t="shared" si="1453"/>
        <v>1</v>
      </c>
      <c r="BC271" s="23">
        <f t="shared" si="1426"/>
        <v>263</v>
      </c>
      <c r="BD271" s="56" t="s">
        <v>23</v>
      </c>
      <c r="BE271" s="3" t="s">
        <v>23</v>
      </c>
      <c r="BF271" s="119" t="s">
        <v>23</v>
      </c>
      <c r="BG271" s="49" t="s">
        <v>1373</v>
      </c>
      <c r="BH271" s="49" t="s">
        <v>1378</v>
      </c>
      <c r="BI271" s="1"/>
      <c r="BJ271" s="70" t="s">
        <v>1288</v>
      </c>
      <c r="BK271" s="57" t="s">
        <v>1288</v>
      </c>
      <c r="BL271" s="57" t="s">
        <v>1288</v>
      </c>
      <c r="BM271" s="57" t="s">
        <v>1288</v>
      </c>
      <c r="BN271" s="57" t="s">
        <v>1288</v>
      </c>
      <c r="BO271" s="57" t="s">
        <v>1288</v>
      </c>
      <c r="BP271" s="57" t="s">
        <v>1288</v>
      </c>
      <c r="BQ271" s="57" t="s">
        <v>1288</v>
      </c>
      <c r="BR271" s="57" t="s">
        <v>1288</v>
      </c>
      <c r="BS271" s="57" t="s">
        <v>1288</v>
      </c>
      <c r="BT271" s="57" t="s">
        <v>1288</v>
      </c>
      <c r="BU271" s="57" t="s">
        <v>1288</v>
      </c>
      <c r="BV271" s="70">
        <f t="shared" si="1427"/>
        <v>53</v>
      </c>
      <c r="BW271" s="71">
        <f t="shared" si="1428"/>
        <v>83</v>
      </c>
      <c r="BX271" s="72">
        <f t="shared" si="1429"/>
        <v>87</v>
      </c>
      <c r="BY271" s="71">
        <f t="shared" si="1430"/>
        <v>119</v>
      </c>
      <c r="BZ271" s="72">
        <f t="shared" si="1431"/>
        <v>123</v>
      </c>
      <c r="CA271" s="71">
        <f t="shared" si="1432"/>
        <v>159</v>
      </c>
      <c r="CB271" s="72">
        <f t="shared" si="1433"/>
        <v>165</v>
      </c>
      <c r="CC271" s="71">
        <f t="shared" si="1434"/>
        <v>210</v>
      </c>
      <c r="CD271" s="72">
        <f t="shared" si="1435"/>
        <v>218</v>
      </c>
      <c r="CE271" s="71">
        <f t="shared" si="1436"/>
        <v>289</v>
      </c>
      <c r="CF271" s="72">
        <f t="shared" si="1437"/>
        <v>338</v>
      </c>
      <c r="CG271" s="71">
        <f t="shared" si="1438"/>
        <v>368</v>
      </c>
      <c r="CH271" s="70">
        <f t="shared" si="1439"/>
        <v>82</v>
      </c>
      <c r="CI271" s="71">
        <f t="shared" si="1440"/>
        <v>86</v>
      </c>
      <c r="CJ271" s="72">
        <f t="shared" si="1441"/>
        <v>118</v>
      </c>
      <c r="CK271" s="72">
        <f t="shared" si="1442"/>
        <v>122</v>
      </c>
      <c r="CL271" s="72">
        <f t="shared" si="1443"/>
        <v>158</v>
      </c>
      <c r="CM271" s="72">
        <f t="shared" si="1444"/>
        <v>162</v>
      </c>
      <c r="CN271" s="72">
        <f t="shared" si="1445"/>
        <v>191</v>
      </c>
      <c r="CO271" s="72">
        <f t="shared" si="1446"/>
        <v>212</v>
      </c>
      <c r="CP271" s="72">
        <f t="shared" si="1447"/>
        <v>256</v>
      </c>
      <c r="CQ271" s="72">
        <f t="shared" si="1448"/>
        <v>330</v>
      </c>
      <c r="CR271" s="72">
        <f t="shared" si="1449"/>
        <v>367</v>
      </c>
      <c r="CS271" s="72">
        <f t="shared" si="1450"/>
        <v>379</v>
      </c>
      <c r="CT271" s="23">
        <f t="shared" si="1451"/>
        <v>1</v>
      </c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</row>
    <row r="272" spans="1:1030" x14ac:dyDescent="0.2">
      <c r="A272" s="3" t="str">
        <f t="shared" si="1452"/>
        <v>ox2r_human_4S0V</v>
      </c>
      <c r="B272" s="3" t="s">
        <v>1176</v>
      </c>
      <c r="C272" s="3" t="s">
        <v>92</v>
      </c>
      <c r="D272" s="3" t="str">
        <f>IFERROR(MID(VLOOKUP($B272,Seqs!$A:$B,2,0),E272,1),"")</f>
        <v>Y</v>
      </c>
      <c r="E272" s="3">
        <v>53</v>
      </c>
      <c r="F272" s="3" t="str">
        <f>IFERROR(MID(VLOOKUP($B272,Seqs!$A:$B,2,0),G272,1),"")</f>
        <v>N</v>
      </c>
      <c r="G272" s="3">
        <v>82</v>
      </c>
      <c r="H272" s="3" t="str">
        <f>IFERROR(MID(VLOOKUP($B272,Seqs!$A:$B,2,0),I272,1),"")</f>
        <v>H</v>
      </c>
      <c r="I272" s="23">
        <v>83</v>
      </c>
      <c r="J272" s="3" t="str">
        <f>IFERROR(MID(VLOOKUP($B272,Seqs!$A:$B,2,0),K272,1),"")</f>
        <v>R</v>
      </c>
      <c r="K272" s="23">
        <v>86</v>
      </c>
      <c r="L272" s="3" t="str">
        <f>IFERROR(MID(VLOOKUP($B272,Seqs!$A:$B,2,0),M272,1),"")</f>
        <v>T</v>
      </c>
      <c r="M272" s="3">
        <v>87</v>
      </c>
      <c r="N272" s="3" t="str">
        <f>IFERROR(MID(VLOOKUP($B272,Seqs!$A:$B,2,0),O272,1),"")</f>
        <v>E</v>
      </c>
      <c r="O272" s="105">
        <v>118</v>
      </c>
      <c r="P272" s="3" t="str">
        <f>IFERROR(MID(VLOOKUP($B272,Seqs!$A:$B,2,0),Q272,1),"")</f>
        <v>T</v>
      </c>
      <c r="Q272" s="3">
        <v>119</v>
      </c>
      <c r="R272" s="3" t="str">
        <f>IFERROR(MID(VLOOKUP($B272,Seqs!$A:$B,2,0),S272,1),"")</f>
        <v>F</v>
      </c>
      <c r="S272" s="3">
        <v>122</v>
      </c>
      <c r="T272" s="3" t="str">
        <f>IFERROR(MID(VLOOKUP($B272,Seqs!$A:$B,2,0),U272,1),"")</f>
        <v>G</v>
      </c>
      <c r="U272" s="3">
        <v>123</v>
      </c>
      <c r="V272" s="3" t="str">
        <f>IFERROR(MID(VLOOKUP($B272,Seqs!$A:$B,2,0),W272,1),"")</f>
        <v>H</v>
      </c>
      <c r="W272" s="3">
        <v>158</v>
      </c>
      <c r="X272" s="3" t="str">
        <f>IFERROR(MID(VLOOKUP($B272,Seqs!$A:$B,2,0),Y272,1),"")</f>
        <v/>
      </c>
      <c r="Y272" s="3" t="s">
        <v>23</v>
      </c>
      <c r="Z272" s="3" t="str">
        <f>IFERROR(MID(VLOOKUP($B272,Seqs!$A:$B,2,0),AA272,1),"")</f>
        <v/>
      </c>
      <c r="AA272" s="3" t="s">
        <v>23</v>
      </c>
      <c r="AB272" s="3" t="str">
        <f>IFERROR(MID(VLOOKUP($B272,Seqs!$A:$B,2,0),AC272,1),"")</f>
        <v>T</v>
      </c>
      <c r="AC272" s="9">
        <v>165</v>
      </c>
      <c r="AD272" s="3" t="str">
        <f>IFERROR(MID(VLOOKUP($B272,Seqs!$A:$B,2,0),AE272,1),"")</f>
        <v>M</v>
      </c>
      <c r="AE272" s="3">
        <v>191</v>
      </c>
      <c r="AF272" s="3" t="str">
        <f>IFERROR(MID(VLOOKUP($B272,Seqs!$A:$B,2,0),AG272,1),"")</f>
        <v>C</v>
      </c>
      <c r="AG272" s="3">
        <v>210</v>
      </c>
      <c r="AH272" s="3" t="str">
        <f>IFERROR(MID(VLOOKUP($B272,Seqs!$A:$B,2,0),AI272,1),"")</f>
        <v>E</v>
      </c>
      <c r="AI272" s="3">
        <v>212</v>
      </c>
      <c r="AJ272" s="3" t="str">
        <f>IFERROR(MID(VLOOKUP($B272,Seqs!$A:$B,2,0),AK272,1),"")</f>
        <v>I</v>
      </c>
      <c r="AK272" s="105">
        <v>218</v>
      </c>
      <c r="AL272" s="3" t="str">
        <f>IFERROR(MID(VLOOKUP($B272,Seqs!$A:$B,2,0),AM272,1),"")</f>
        <v>C</v>
      </c>
      <c r="AM272" s="105">
        <v>252</v>
      </c>
      <c r="AN272" s="3" t="str">
        <f>IFERROR(MID(VLOOKUP($B272,Seqs!$A:$B,2,0),AO272,1),"")</f>
        <v>K</v>
      </c>
      <c r="AO272" s="3">
        <v>294</v>
      </c>
      <c r="AP272" s="3" t="str">
        <f>IFERROR(MID(VLOOKUP($B272,Seqs!$A:$B,2,0),AQ272,1),"")</f>
        <v>F</v>
      </c>
      <c r="AQ272" s="3">
        <v>330</v>
      </c>
      <c r="AR272" s="3" t="str">
        <f>IFERROR(MID(VLOOKUP($B272,Seqs!$A:$B,2,0),AS272,1),"")</f>
        <v>R</v>
      </c>
      <c r="AS272" s="3">
        <v>339</v>
      </c>
      <c r="AT272" s="3" t="str">
        <f>IFERROR(MID(VLOOKUP($B272,Seqs!$A:$B,2,0),AU272,1),"")</f>
        <v>L</v>
      </c>
      <c r="AU272" s="3">
        <v>367</v>
      </c>
      <c r="AV272" s="3" t="str">
        <f>IFERROR(MID(VLOOKUP($B272,Seqs!$A:$B,2,0),AW272,1),"")</f>
        <v>S</v>
      </c>
      <c r="AW272" s="3">
        <v>368</v>
      </c>
      <c r="AX272" s="3" t="str">
        <f>IFERROR(MID(VLOOKUP($B272,Seqs!$A:$B,2,0),AY272,1),"")</f>
        <v>F</v>
      </c>
      <c r="AY272" s="3">
        <v>379</v>
      </c>
      <c r="AZ272" s="77" t="str">
        <f>VLOOKUP(B272,Classification!A:D,2,0)</f>
        <v>A</v>
      </c>
      <c r="BA272" s="94" t="str">
        <f>VLOOKUP(B272,Classification!A:D,4,0)</f>
        <v>Orexin</v>
      </c>
      <c r="BB272" s="27" t="b">
        <f t="shared" si="1453"/>
        <v>1</v>
      </c>
      <c r="BC272" s="23">
        <f t="shared" si="1426"/>
        <v>250</v>
      </c>
      <c r="BD272" s="2" t="s">
        <v>23</v>
      </c>
      <c r="BE272" s="3" t="s">
        <v>1375</v>
      </c>
      <c r="BF272" s="119">
        <v>2.5</v>
      </c>
      <c r="BG272" s="49" t="s">
        <v>1378</v>
      </c>
      <c r="BH272" s="49" t="s">
        <v>1378</v>
      </c>
      <c r="BI272" s="1"/>
      <c r="BJ272" s="70" t="s">
        <v>1288</v>
      </c>
      <c r="BK272" s="57" t="s">
        <v>1288</v>
      </c>
      <c r="BL272" s="57" t="s">
        <v>1288</v>
      </c>
      <c r="BM272" s="57" t="s">
        <v>1288</v>
      </c>
      <c r="BN272" s="57" t="s">
        <v>1288</v>
      </c>
      <c r="BO272" s="57" t="s">
        <v>1288</v>
      </c>
      <c r="BP272" s="57" t="s">
        <v>1288</v>
      </c>
      <c r="BQ272" s="57" t="s">
        <v>1288</v>
      </c>
      <c r="BR272" s="57" t="s">
        <v>1288</v>
      </c>
      <c r="BS272" s="57" t="s">
        <v>1288</v>
      </c>
      <c r="BT272" s="57" t="s">
        <v>1288</v>
      </c>
      <c r="BU272" s="57" t="s">
        <v>1288</v>
      </c>
      <c r="BV272" s="70">
        <f t="shared" si="1427"/>
        <v>53</v>
      </c>
      <c r="BW272" s="71">
        <f t="shared" si="1428"/>
        <v>83</v>
      </c>
      <c r="BX272" s="72">
        <f t="shared" si="1429"/>
        <v>87</v>
      </c>
      <c r="BY272" s="71">
        <f t="shared" si="1430"/>
        <v>119</v>
      </c>
      <c r="BZ272" s="72">
        <f t="shared" si="1431"/>
        <v>123</v>
      </c>
      <c r="CA272" s="71" t="str">
        <f t="shared" si="1432"/>
        <v>-</v>
      </c>
      <c r="CB272" s="72">
        <f t="shared" si="1433"/>
        <v>165</v>
      </c>
      <c r="CC272" s="71">
        <f t="shared" si="1434"/>
        <v>210</v>
      </c>
      <c r="CD272" s="72">
        <f t="shared" si="1435"/>
        <v>218</v>
      </c>
      <c r="CE272" s="71">
        <f t="shared" si="1436"/>
        <v>294</v>
      </c>
      <c r="CF272" s="72">
        <f t="shared" si="1437"/>
        <v>339</v>
      </c>
      <c r="CG272" s="71">
        <f t="shared" si="1438"/>
        <v>368</v>
      </c>
      <c r="CH272" s="70">
        <f t="shared" si="1439"/>
        <v>82</v>
      </c>
      <c r="CI272" s="71">
        <f t="shared" si="1440"/>
        <v>86</v>
      </c>
      <c r="CJ272" s="72">
        <f t="shared" si="1441"/>
        <v>118</v>
      </c>
      <c r="CK272" s="72">
        <f t="shared" si="1442"/>
        <v>122</v>
      </c>
      <c r="CL272" s="72">
        <f t="shared" si="1443"/>
        <v>158</v>
      </c>
      <c r="CM272" s="72" t="str">
        <f t="shared" si="1444"/>
        <v>-</v>
      </c>
      <c r="CN272" s="72">
        <f t="shared" si="1445"/>
        <v>191</v>
      </c>
      <c r="CO272" s="72">
        <f t="shared" si="1446"/>
        <v>212</v>
      </c>
      <c r="CP272" s="72">
        <f t="shared" si="1447"/>
        <v>252</v>
      </c>
      <c r="CQ272" s="72">
        <f t="shared" si="1448"/>
        <v>330</v>
      </c>
      <c r="CR272" s="72">
        <f t="shared" si="1449"/>
        <v>367</v>
      </c>
      <c r="CS272" s="72">
        <f t="shared" si="1450"/>
        <v>379</v>
      </c>
      <c r="CT272" s="23">
        <f t="shared" si="1451"/>
        <v>1</v>
      </c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</row>
    <row r="273" spans="1:1029" x14ac:dyDescent="0.2">
      <c r="A273" s="3" t="str">
        <f>CONCATENATE(B273,"_",C273)</f>
        <v>ox2r_human_5WQC</v>
      </c>
      <c r="B273" s="3" t="s">
        <v>1176</v>
      </c>
      <c r="C273" s="3" t="s">
        <v>1448</v>
      </c>
      <c r="D273" s="3" t="str">
        <f>IFERROR(MID(VLOOKUP($B273,Seqs!$A:$B,2,0),E273,1),"")</f>
        <v>Y</v>
      </c>
      <c r="E273" s="3">
        <v>53</v>
      </c>
      <c r="F273" s="3" t="str">
        <f>IFERROR(MID(VLOOKUP($B273,Seqs!$A:$B,2,0),G273,1),"")</f>
        <v>N</v>
      </c>
      <c r="G273" s="3">
        <v>82</v>
      </c>
      <c r="H273" s="3" t="str">
        <f>IFERROR(MID(VLOOKUP($B273,Seqs!$A:$B,2,0),I273,1),"")</f>
        <v>H</v>
      </c>
      <c r="I273" s="23">
        <v>83</v>
      </c>
      <c r="J273" s="3" t="str">
        <f>IFERROR(MID(VLOOKUP($B273,Seqs!$A:$B,2,0),K273,1),"")</f>
        <v>R</v>
      </c>
      <c r="K273" s="23">
        <v>86</v>
      </c>
      <c r="L273" s="3" t="str">
        <f>IFERROR(MID(VLOOKUP($B273,Seqs!$A:$B,2,0),M273,1),"")</f>
        <v>T</v>
      </c>
      <c r="M273" s="3">
        <v>87</v>
      </c>
      <c r="N273" s="3" t="str">
        <f>IFERROR(MID(VLOOKUP($B273,Seqs!$A:$B,2,0),O273,1),"")</f>
        <v>E</v>
      </c>
      <c r="O273" s="3">
        <v>118</v>
      </c>
      <c r="P273" s="3" t="str">
        <f>IFERROR(MID(VLOOKUP($B273,Seqs!$A:$B,2,0),Q273,1),"")</f>
        <v>T</v>
      </c>
      <c r="Q273" s="3">
        <v>119</v>
      </c>
      <c r="R273" s="3" t="str">
        <f>IFERROR(MID(VLOOKUP($B273,Seqs!$A:$B,2,0),S273,1),"")</f>
        <v>F</v>
      </c>
      <c r="S273" s="3">
        <v>122</v>
      </c>
      <c r="T273" s="3" t="str">
        <f>IFERROR(MID(VLOOKUP($B273,Seqs!$A:$B,2,0),U273,1),"")</f>
        <v>G</v>
      </c>
      <c r="U273" s="3">
        <v>123</v>
      </c>
      <c r="V273" s="3" t="str">
        <f>IFERROR(MID(VLOOKUP($B273,Seqs!$A:$B,2,0),W273,1),"")</f>
        <v>H</v>
      </c>
      <c r="W273" s="3">
        <v>158</v>
      </c>
      <c r="X273" s="3" t="str">
        <f>IFERROR(MID(VLOOKUP($B273,Seqs!$A:$B,2,0),Y273,1),"")</f>
        <v/>
      </c>
      <c r="Y273" s="3" t="s">
        <v>23</v>
      </c>
      <c r="Z273" s="3" t="str">
        <f>IFERROR(MID(VLOOKUP($B273,Seqs!$A:$B,2,0),AA273,1),"")</f>
        <v/>
      </c>
      <c r="AA273" s="3" t="s">
        <v>23</v>
      </c>
      <c r="AB273" s="3" t="str">
        <f>IFERROR(MID(VLOOKUP($B273,Seqs!$A:$B,2,0),AC273,1),"")</f>
        <v>T</v>
      </c>
      <c r="AC273" s="3">
        <v>165</v>
      </c>
      <c r="AD273" s="3" t="str">
        <f>IFERROR(MID(VLOOKUP($B273,Seqs!$A:$B,2,0),AE273,1),"")</f>
        <v>M</v>
      </c>
      <c r="AE273" s="3">
        <v>191</v>
      </c>
      <c r="AF273" s="3" t="str">
        <f>IFERROR(MID(VLOOKUP($B273,Seqs!$A:$B,2,0),AG273,1),"")</f>
        <v>C</v>
      </c>
      <c r="AG273" s="3">
        <v>210</v>
      </c>
      <c r="AH273" s="3" t="str">
        <f>IFERROR(MID(VLOOKUP($B273,Seqs!$A:$B,2,0),AI273,1),"")</f>
        <v>E</v>
      </c>
      <c r="AI273" s="3">
        <v>212</v>
      </c>
      <c r="AJ273" s="3" t="str">
        <f>IFERROR(MID(VLOOKUP($B273,Seqs!$A:$B,2,0),AK273,1),"")</f>
        <v>I</v>
      </c>
      <c r="AK273" s="3">
        <v>218</v>
      </c>
      <c r="AL273" s="3" t="str">
        <f>IFERROR(MID(VLOOKUP($B273,Seqs!$A:$B,2,0),AM273,1),"")</f>
        <v>C</v>
      </c>
      <c r="AM273" s="3">
        <v>252</v>
      </c>
      <c r="AN273" s="3" t="str">
        <f>IFERROR(MID(VLOOKUP($B273,Seqs!$A:$B,2,0),AO273,1),"")</f>
        <v>K</v>
      </c>
      <c r="AO273" s="3">
        <v>294</v>
      </c>
      <c r="AP273" s="3" t="str">
        <f>IFERROR(MID(VLOOKUP($B273,Seqs!$A:$B,2,0),AQ273,1),"")</f>
        <v>F</v>
      </c>
      <c r="AQ273" s="3">
        <v>330</v>
      </c>
      <c r="AR273" s="3" t="str">
        <f>IFERROR(MID(VLOOKUP($B273,Seqs!$A:$B,2,0),AS273,1),"")</f>
        <v>D</v>
      </c>
      <c r="AS273" s="3">
        <v>338</v>
      </c>
      <c r="AT273" s="3" t="str">
        <f>IFERROR(MID(VLOOKUP($B273,Seqs!$A:$B,2,0),AU273,1),"")</f>
        <v>L</v>
      </c>
      <c r="AU273" s="3">
        <v>367</v>
      </c>
      <c r="AV273" s="3" t="str">
        <f>IFERROR(MID(VLOOKUP($B273,Seqs!$A:$B,2,0),AW273,1),"")</f>
        <v>S</v>
      </c>
      <c r="AW273" s="3">
        <v>368</v>
      </c>
      <c r="AX273" s="3" t="str">
        <f>IFERROR(MID(VLOOKUP($B273,Seqs!$A:$B,2,0),AY273,1),"")</f>
        <v>C</v>
      </c>
      <c r="AY273" s="3">
        <v>383</v>
      </c>
      <c r="AZ273" s="77" t="str">
        <f>VLOOKUP(B273,Classification!A:D,2,0)</f>
        <v>A</v>
      </c>
      <c r="BA273" s="94" t="str">
        <f>VLOOKUP(B273,Classification!A:D,4,0)</f>
        <v>Orexin</v>
      </c>
      <c r="BB273" s="27" t="b">
        <f>AND(E273&lt;G273,OR(G273&lt;I273,I273="-"),OR(I273&lt;K273,I273="-"),OR(K273&lt;M273,K273="-"),M273&lt;O273,OR(O273&lt;Q273,Q273="-"),OR(Q273&lt;S273,Q273="-"),OR(S273&lt;U273,S273="-"),U273&lt;W273,OR(W273&lt;Y273,Y273="-"),OR(Y273&lt;AA273,Y273="-"),OR(AA273&lt;AC273,AA273="-"),AC273&lt;AE273,OR(AE273&lt;AG273,AG273="-"),OR(AG273&lt;AI273,AG273="-"),OR(AI273&lt;AK273,AI273="-"),AK273&lt;AM273,AM273&lt;AO273,AO273&lt;AQ273,AQ273&lt;AS273,AS273&lt;AU273,OR(AU273&lt;AW273,AW273="-"),OR(AW273&lt;AY273,AW273="-"))</f>
        <v>1</v>
      </c>
      <c r="BC273" s="23">
        <f>_xlfn.AGGREGATE(9,6,CH273:CS273)-_xlfn.AGGREGATE(9,6,BV273:CG273)+12</f>
        <v>255</v>
      </c>
      <c r="BD273" s="2" t="s">
        <v>23</v>
      </c>
      <c r="BE273" s="3" t="s">
        <v>1375</v>
      </c>
      <c r="BF273" s="119">
        <v>1.96</v>
      </c>
      <c r="BG273" s="49" t="s">
        <v>1</v>
      </c>
      <c r="BH273" s="49" t="s">
        <v>1</v>
      </c>
      <c r="BI273" s="1"/>
      <c r="BJ273" s="70" t="s">
        <v>1288</v>
      </c>
      <c r="BK273" s="57" t="s">
        <v>1288</v>
      </c>
      <c r="BL273" s="57" t="s">
        <v>1288</v>
      </c>
      <c r="BM273" s="57" t="s">
        <v>1288</v>
      </c>
      <c r="BN273" s="57" t="s">
        <v>1288</v>
      </c>
      <c r="BO273" s="57" t="s">
        <v>1288</v>
      </c>
      <c r="BP273" s="57" t="s">
        <v>1288</v>
      </c>
      <c r="BQ273" s="57" t="s">
        <v>1288</v>
      </c>
      <c r="BR273" s="57" t="s">
        <v>1288</v>
      </c>
      <c r="BS273" s="57" t="s">
        <v>1288</v>
      </c>
      <c r="BT273" s="57" t="s">
        <v>1288</v>
      </c>
      <c r="BU273" s="57" t="s">
        <v>1288</v>
      </c>
      <c r="BV273" s="70">
        <f>E273</f>
        <v>53</v>
      </c>
      <c r="BW273" s="71">
        <f>I273</f>
        <v>83</v>
      </c>
      <c r="BX273" s="72">
        <f>M273</f>
        <v>87</v>
      </c>
      <c r="BY273" s="71">
        <f>Q273</f>
        <v>119</v>
      </c>
      <c r="BZ273" s="72">
        <f>U273</f>
        <v>123</v>
      </c>
      <c r="CA273" s="71" t="str">
        <f>Y273</f>
        <v>-</v>
      </c>
      <c r="CB273" s="72">
        <f>AC273</f>
        <v>165</v>
      </c>
      <c r="CC273" s="71">
        <f>AG273</f>
        <v>210</v>
      </c>
      <c r="CD273" s="72">
        <f>AK273</f>
        <v>218</v>
      </c>
      <c r="CE273" s="71">
        <f>AO273</f>
        <v>294</v>
      </c>
      <c r="CF273" s="72">
        <f>AS273</f>
        <v>338</v>
      </c>
      <c r="CG273" s="71">
        <f>AW273</f>
        <v>368</v>
      </c>
      <c r="CH273" s="70">
        <f>G273</f>
        <v>82</v>
      </c>
      <c r="CI273" s="71">
        <f>K273</f>
        <v>86</v>
      </c>
      <c r="CJ273" s="72">
        <f>O273</f>
        <v>118</v>
      </c>
      <c r="CK273" s="72">
        <f>S273</f>
        <v>122</v>
      </c>
      <c r="CL273" s="72">
        <f>W273</f>
        <v>158</v>
      </c>
      <c r="CM273" s="72" t="str">
        <f>AA273</f>
        <v>-</v>
      </c>
      <c r="CN273" s="72">
        <f>AE273</f>
        <v>191</v>
      </c>
      <c r="CO273" s="72">
        <f>AI273</f>
        <v>212</v>
      </c>
      <c r="CP273" s="72">
        <f>AM273</f>
        <v>252</v>
      </c>
      <c r="CQ273" s="72">
        <f>AQ273</f>
        <v>330</v>
      </c>
      <c r="CR273" s="72">
        <f>AU273</f>
        <v>367</v>
      </c>
      <c r="CS273" s="72">
        <f>AY273</f>
        <v>383</v>
      </c>
      <c r="CT273" s="23">
        <f>M273-K273</f>
        <v>1</v>
      </c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</row>
    <row r="274" spans="1:1029" x14ac:dyDescent="0.2">
      <c r="A274" s="3" t="str">
        <f>CONCATENATE(B274,"_",C274)</f>
        <v>ox2r_human_5WS3</v>
      </c>
      <c r="B274" s="3" t="s">
        <v>1176</v>
      </c>
      <c r="C274" s="3" t="s">
        <v>1449</v>
      </c>
      <c r="D274" s="3" t="str">
        <f>IFERROR(MID(VLOOKUP($B274,Seqs!$A:$B,2,0),E274,1),"")</f>
        <v>Y</v>
      </c>
      <c r="E274" s="3">
        <v>53</v>
      </c>
      <c r="F274" s="3" t="str">
        <f>IFERROR(MID(VLOOKUP($B274,Seqs!$A:$B,2,0),G274,1),"")</f>
        <v>N</v>
      </c>
      <c r="G274" s="3">
        <v>82</v>
      </c>
      <c r="H274" s="3" t="str">
        <f>IFERROR(MID(VLOOKUP($B274,Seqs!$A:$B,2,0),I274,1),"")</f>
        <v>H</v>
      </c>
      <c r="I274" s="23">
        <v>83</v>
      </c>
      <c r="J274" s="3" t="str">
        <f>IFERROR(MID(VLOOKUP($B274,Seqs!$A:$B,2,0),K274,1),"")</f>
        <v>R</v>
      </c>
      <c r="K274" s="23">
        <v>86</v>
      </c>
      <c r="L274" s="3" t="str">
        <f>IFERROR(MID(VLOOKUP($B274,Seqs!$A:$B,2,0),M274,1),"")</f>
        <v>T</v>
      </c>
      <c r="M274" s="3">
        <v>87</v>
      </c>
      <c r="N274" s="3" t="str">
        <f>IFERROR(MID(VLOOKUP($B274,Seqs!$A:$B,2,0),O274,1),"")</f>
        <v>E</v>
      </c>
      <c r="O274" s="3">
        <v>118</v>
      </c>
      <c r="P274" s="3" t="str">
        <f>IFERROR(MID(VLOOKUP($B274,Seqs!$A:$B,2,0),Q274,1),"")</f>
        <v>T</v>
      </c>
      <c r="Q274" s="3">
        <v>119</v>
      </c>
      <c r="R274" s="3" t="str">
        <f>IFERROR(MID(VLOOKUP($B274,Seqs!$A:$B,2,0),S274,1),"")</f>
        <v>F</v>
      </c>
      <c r="S274" s="3">
        <v>122</v>
      </c>
      <c r="T274" s="3" t="str">
        <f>IFERROR(MID(VLOOKUP($B274,Seqs!$A:$B,2,0),U274,1),"")</f>
        <v>G</v>
      </c>
      <c r="U274" s="3">
        <v>123</v>
      </c>
      <c r="V274" s="3" t="str">
        <f>IFERROR(MID(VLOOKUP($B274,Seqs!$A:$B,2,0),W274,1),"")</f>
        <v>H</v>
      </c>
      <c r="W274" s="3">
        <v>158</v>
      </c>
      <c r="X274" s="3" t="str">
        <f>IFERROR(MID(VLOOKUP($B274,Seqs!$A:$B,2,0),Y274,1),"")</f>
        <v/>
      </c>
      <c r="Y274" s="3" t="s">
        <v>23</v>
      </c>
      <c r="Z274" s="3" t="str">
        <f>IFERROR(MID(VLOOKUP($B274,Seqs!$A:$B,2,0),AA274,1),"")</f>
        <v/>
      </c>
      <c r="AA274" s="3" t="s">
        <v>23</v>
      </c>
      <c r="AB274" s="3" t="str">
        <f>IFERROR(MID(VLOOKUP($B274,Seqs!$A:$B,2,0),AC274,1),"")</f>
        <v>T</v>
      </c>
      <c r="AC274" s="3">
        <v>165</v>
      </c>
      <c r="AD274" s="3" t="str">
        <f>IFERROR(MID(VLOOKUP($B274,Seqs!$A:$B,2,0),AE274,1),"")</f>
        <v>M</v>
      </c>
      <c r="AE274" s="3">
        <v>191</v>
      </c>
      <c r="AF274" s="3" t="str">
        <f>IFERROR(MID(VLOOKUP($B274,Seqs!$A:$B,2,0),AG274,1),"")</f>
        <v>C</v>
      </c>
      <c r="AG274" s="3">
        <v>210</v>
      </c>
      <c r="AH274" s="3" t="str">
        <f>IFERROR(MID(VLOOKUP($B274,Seqs!$A:$B,2,0),AI274,1),"")</f>
        <v>E</v>
      </c>
      <c r="AI274" s="3">
        <v>212</v>
      </c>
      <c r="AJ274" s="3" t="str">
        <f>IFERROR(MID(VLOOKUP($B274,Seqs!$A:$B,2,0),AK274,1),"")</f>
        <v>I</v>
      </c>
      <c r="AK274" s="3">
        <v>218</v>
      </c>
      <c r="AL274" s="3" t="str">
        <f>IFERROR(MID(VLOOKUP($B274,Seqs!$A:$B,2,0),AM274,1),"")</f>
        <v>C</v>
      </c>
      <c r="AM274" s="3">
        <v>252</v>
      </c>
      <c r="AN274" s="3" t="str">
        <f>IFERROR(MID(VLOOKUP($B274,Seqs!$A:$B,2,0),AO274,1),"")</f>
        <v>K</v>
      </c>
      <c r="AO274" s="3">
        <v>294</v>
      </c>
      <c r="AP274" s="3" t="str">
        <f>IFERROR(MID(VLOOKUP($B274,Seqs!$A:$B,2,0),AQ274,1),"")</f>
        <v>F</v>
      </c>
      <c r="AQ274" s="3">
        <v>330</v>
      </c>
      <c r="AR274" s="3" t="str">
        <f>IFERROR(MID(VLOOKUP($B274,Seqs!$A:$B,2,0),AS274,1),"")</f>
        <v>D</v>
      </c>
      <c r="AS274" s="3">
        <v>338</v>
      </c>
      <c r="AT274" s="3" t="str">
        <f>IFERROR(MID(VLOOKUP($B274,Seqs!$A:$B,2,0),AU274,1),"")</f>
        <v>L</v>
      </c>
      <c r="AU274" s="3">
        <v>367</v>
      </c>
      <c r="AV274" s="3" t="str">
        <f>IFERROR(MID(VLOOKUP($B274,Seqs!$A:$B,2,0),AW274,1),"")</f>
        <v>S</v>
      </c>
      <c r="AW274" s="3">
        <v>368</v>
      </c>
      <c r="AX274" s="3" t="str">
        <f>IFERROR(MID(VLOOKUP($B274,Seqs!$A:$B,2,0),AY274,1),"")</f>
        <v>C</v>
      </c>
      <c r="AY274" s="3">
        <v>383</v>
      </c>
      <c r="AZ274" s="77" t="str">
        <f>VLOOKUP(B274,Classification!A:D,2,0)</f>
        <v>A</v>
      </c>
      <c r="BA274" s="94" t="str">
        <f>VLOOKUP(B274,Classification!A:D,4,0)</f>
        <v>Orexin</v>
      </c>
      <c r="BB274" s="27" t="b">
        <f>AND(E274&lt;G274,OR(G274&lt;I274,I274="-"),OR(I274&lt;K274,I274="-"),OR(K274&lt;M274,K274="-"),M274&lt;O274,OR(O274&lt;Q274,Q274="-"),OR(Q274&lt;S274,Q274="-"),OR(S274&lt;U274,S274="-"),U274&lt;W274,OR(W274&lt;Y274,Y274="-"),OR(Y274&lt;AA274,Y274="-"),OR(AA274&lt;AC274,AA274="-"),AC274&lt;AE274,OR(AE274&lt;AG274,AG274="-"),OR(AG274&lt;AI274,AG274="-"),OR(AI274&lt;AK274,AI274="-"),AK274&lt;AM274,AM274&lt;AO274,AO274&lt;AQ274,AQ274&lt;AS274,AS274&lt;AU274,OR(AU274&lt;AW274,AW274="-"),OR(AW274&lt;AY274,AW274="-"))</f>
        <v>1</v>
      </c>
      <c r="BC274" s="23">
        <f>_xlfn.AGGREGATE(9,6,CH274:CS274)-_xlfn.AGGREGATE(9,6,BV274:CG274)+12</f>
        <v>255</v>
      </c>
      <c r="BD274" s="2" t="s">
        <v>1377</v>
      </c>
      <c r="BE274" s="3" t="s">
        <v>1375</v>
      </c>
      <c r="BF274" s="119">
        <v>2.2999999999999998</v>
      </c>
      <c r="BG274" s="49" t="s">
        <v>1</v>
      </c>
      <c r="BH274" s="49" t="s">
        <v>1</v>
      </c>
      <c r="BI274" s="1"/>
      <c r="BJ274" s="70" t="s">
        <v>1288</v>
      </c>
      <c r="BK274" s="57" t="s">
        <v>1288</v>
      </c>
      <c r="BL274" s="57" t="s">
        <v>1288</v>
      </c>
      <c r="BM274" s="57" t="s">
        <v>1288</v>
      </c>
      <c r="BN274" s="57" t="s">
        <v>1288</v>
      </c>
      <c r="BO274" s="57" t="s">
        <v>1288</v>
      </c>
      <c r="BP274" s="57" t="s">
        <v>1288</v>
      </c>
      <c r="BQ274" s="57" t="s">
        <v>1288</v>
      </c>
      <c r="BR274" s="57" t="s">
        <v>1288</v>
      </c>
      <c r="BS274" s="57" t="s">
        <v>1288</v>
      </c>
      <c r="BT274" s="57" t="s">
        <v>1288</v>
      </c>
      <c r="BU274" s="57" t="s">
        <v>1288</v>
      </c>
      <c r="BV274" s="70">
        <f>E274</f>
        <v>53</v>
      </c>
      <c r="BW274" s="71">
        <f>I274</f>
        <v>83</v>
      </c>
      <c r="BX274" s="72">
        <f>M274</f>
        <v>87</v>
      </c>
      <c r="BY274" s="71">
        <f>Q274</f>
        <v>119</v>
      </c>
      <c r="BZ274" s="72">
        <f>U274</f>
        <v>123</v>
      </c>
      <c r="CA274" s="71" t="str">
        <f>Y274</f>
        <v>-</v>
      </c>
      <c r="CB274" s="72">
        <f>AC274</f>
        <v>165</v>
      </c>
      <c r="CC274" s="71">
        <f>AG274</f>
        <v>210</v>
      </c>
      <c r="CD274" s="72">
        <f>AK274</f>
        <v>218</v>
      </c>
      <c r="CE274" s="71">
        <f>AO274</f>
        <v>294</v>
      </c>
      <c r="CF274" s="72">
        <f>AS274</f>
        <v>338</v>
      </c>
      <c r="CG274" s="71">
        <f>AW274</f>
        <v>368</v>
      </c>
      <c r="CH274" s="70">
        <f>G274</f>
        <v>82</v>
      </c>
      <c r="CI274" s="71">
        <f>K274</f>
        <v>86</v>
      </c>
      <c r="CJ274" s="72">
        <f>O274</f>
        <v>118</v>
      </c>
      <c r="CK274" s="72">
        <f>S274</f>
        <v>122</v>
      </c>
      <c r="CL274" s="72">
        <f>W274</f>
        <v>158</v>
      </c>
      <c r="CM274" s="72" t="str">
        <f>AA274</f>
        <v>-</v>
      </c>
      <c r="CN274" s="72">
        <f>AE274</f>
        <v>191</v>
      </c>
      <c r="CO274" s="72">
        <f>AI274</f>
        <v>212</v>
      </c>
      <c r="CP274" s="72">
        <f>AM274</f>
        <v>252</v>
      </c>
      <c r="CQ274" s="72">
        <f>AQ274</f>
        <v>330</v>
      </c>
      <c r="CR274" s="72">
        <f>AU274</f>
        <v>367</v>
      </c>
      <c r="CS274" s="72">
        <f>AY274</f>
        <v>383</v>
      </c>
      <c r="CT274" s="23">
        <f>M274-K274</f>
        <v>1</v>
      </c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</row>
    <row r="275" spans="1:1029" x14ac:dyDescent="0.2">
      <c r="A275" s="3" t="str">
        <f t="shared" si="1452"/>
        <v>p2ry1_human__wt</v>
      </c>
      <c r="B275" s="3" t="s">
        <v>345</v>
      </c>
      <c r="C275" s="3" t="s">
        <v>100</v>
      </c>
      <c r="D275" s="3" t="str">
        <f>IFERROR(MID(VLOOKUP($B275,Seqs!$A:$B,2,0),E275,1),"")</f>
        <v>F</v>
      </c>
      <c r="E275" s="3">
        <v>49</v>
      </c>
      <c r="F275" s="3" t="str">
        <f>IFERROR(MID(VLOOKUP($B275,Seqs!$A:$B,2,0),G275,1),"")</f>
        <v>H</v>
      </c>
      <c r="G275" s="3">
        <v>79</v>
      </c>
      <c r="H275" s="3" t="str">
        <f>IFERROR(MID(VLOOKUP($B275,Seqs!$A:$B,2,0),I275,1),"")</f>
        <v/>
      </c>
      <c r="I275" s="23" t="s">
        <v>23</v>
      </c>
      <c r="J275" s="3" t="str">
        <f>IFERROR(MID(VLOOKUP($B275,Seqs!$A:$B,2,0),K275,1),"")</f>
        <v/>
      </c>
      <c r="K275" s="23" t="s">
        <v>23</v>
      </c>
      <c r="L275" s="3" t="str">
        <f>IFERROR(MID(VLOOKUP($B275,Seqs!$A:$B,2,0),M275,1),"")</f>
        <v>S</v>
      </c>
      <c r="M275" s="3">
        <v>84</v>
      </c>
      <c r="N275" s="3" t="str">
        <f>IFERROR(MID(VLOOKUP($B275,Seqs!$A:$B,2,0),O275,1),"")</f>
        <v>N</v>
      </c>
      <c r="O275" s="3">
        <v>113</v>
      </c>
      <c r="P275" s="3" t="str">
        <f>IFERROR(MID(VLOOKUP($B275,Seqs!$A:$B,2,0),Q275,1),"")</f>
        <v>D</v>
      </c>
      <c r="Q275" s="3">
        <v>116</v>
      </c>
      <c r="R275" s="3" t="str">
        <f>IFERROR(MID(VLOOKUP($B275,Seqs!$A:$B,2,0),S275,1),"")</f>
        <v>F</v>
      </c>
      <c r="S275" s="3">
        <v>119</v>
      </c>
      <c r="T275" s="3" t="str">
        <f>IFERROR(MID(VLOOKUP($B275,Seqs!$A:$B,2,0),U275,1),"")</f>
        <v>G</v>
      </c>
      <c r="U275" s="3">
        <v>120</v>
      </c>
      <c r="V275" s="3" t="str">
        <f>IFERROR(MID(VLOOKUP($B275,Seqs!$A:$B,2,0),W275,1),"")</f>
        <v>Y</v>
      </c>
      <c r="W275" s="3">
        <v>155</v>
      </c>
      <c r="X275" s="3" t="str">
        <f>IFERROR(MID(VLOOKUP($B275,Seqs!$A:$B,2,0),Y275,1),"")</f>
        <v>P</v>
      </c>
      <c r="Y275" s="3">
        <v>156</v>
      </c>
      <c r="Z275" s="3" t="str">
        <f>IFERROR(MID(VLOOKUP($B275,Seqs!$A:$B,2,0),AA275,1),"")</f>
        <v>L</v>
      </c>
      <c r="AA275" s="3">
        <v>163</v>
      </c>
      <c r="AB275" s="3" t="str">
        <f>IFERROR(MID(VLOOKUP($B275,Seqs!$A:$B,2,0),AC275,1),"")</f>
        <v>K</v>
      </c>
      <c r="AC275" s="3">
        <v>164</v>
      </c>
      <c r="AD275" s="3" t="str">
        <f>IFERROR(MID(VLOOKUP($B275,Seqs!$A:$B,2,0),AE275,1),"")</f>
        <v>S</v>
      </c>
      <c r="AE275" s="3">
        <v>190</v>
      </c>
      <c r="AF275" s="3" t="str">
        <f>IFERROR(MID(VLOOKUP($B275,Seqs!$A:$B,2,0),AG275,1),"")</f>
        <v>C</v>
      </c>
      <c r="AG275" s="3">
        <v>202</v>
      </c>
      <c r="AH275" s="3" t="str">
        <f>IFERROR(MID(VLOOKUP($B275,Seqs!$A:$B,2,0),AI275,1),"")</f>
        <v>D</v>
      </c>
      <c r="AI275" s="3">
        <v>204</v>
      </c>
      <c r="AJ275" s="3" t="str">
        <f>IFERROR(MID(VLOOKUP($B275,Seqs!$A:$B,2,0),AK275,1),"")</f>
        <v>L</v>
      </c>
      <c r="AK275" s="3">
        <v>211</v>
      </c>
      <c r="AL275" s="3" t="str">
        <f>IFERROR(MID(VLOOKUP($B275,Seqs!$A:$B,2,0),AM275,1),"")</f>
        <v>K</v>
      </c>
      <c r="AM275" s="3">
        <v>247</v>
      </c>
      <c r="AN275" s="3" t="str">
        <f>IFERROR(MID(VLOOKUP($B275,Seqs!$A:$B,2,0),AO275,1),"")</f>
        <v>P</v>
      </c>
      <c r="AO275" s="3">
        <v>253</v>
      </c>
      <c r="AP275" s="3" t="str">
        <f>IFERROR(MID(VLOOKUP($B275,Seqs!$A:$B,2,0),AQ275,1),"")</f>
        <v>D</v>
      </c>
      <c r="AQ275" s="3">
        <v>289</v>
      </c>
      <c r="AR275" s="3" t="str">
        <f>IFERROR(MID(VLOOKUP($B275,Seqs!$A:$B,2,0),AS275,1),"")</f>
        <v>M</v>
      </c>
      <c r="AS275" s="3">
        <v>295</v>
      </c>
      <c r="AT275" s="3" t="str">
        <f>IFERROR(MID(VLOOKUP($B275,Seqs!$A:$B,2,0),AU275,1),"")</f>
        <v>A</v>
      </c>
      <c r="AU275" s="3">
        <v>327</v>
      </c>
      <c r="AV275" s="3" t="str">
        <f>IFERROR(MID(VLOOKUP($B275,Seqs!$A:$B,2,0),AW275,1),"")</f>
        <v>G</v>
      </c>
      <c r="AW275" s="3">
        <v>328</v>
      </c>
      <c r="AX275" s="3" t="str">
        <f>IFERROR(MID(VLOOKUP($B275,Seqs!$A:$B,2,0),AY275,1),"")</f>
        <v>R</v>
      </c>
      <c r="AY275" s="3">
        <v>340</v>
      </c>
      <c r="AZ275" s="77" t="str">
        <f>VLOOKUP(B275,Classification!A:D,2,0)</f>
        <v>A</v>
      </c>
      <c r="BA275" s="94" t="str">
        <f>VLOOKUP(B275,Classification!A:D,4,0)</f>
        <v>P2Y</v>
      </c>
      <c r="BB275" s="27" t="b">
        <f t="shared" si="1453"/>
        <v>1</v>
      </c>
      <c r="BC275" s="23">
        <f t="shared" si="1426"/>
        <v>260</v>
      </c>
      <c r="BD275" s="56" t="s">
        <v>23</v>
      </c>
      <c r="BE275" s="3" t="s">
        <v>23</v>
      </c>
      <c r="BF275" s="119" t="s">
        <v>23</v>
      </c>
      <c r="BG275" s="49" t="s">
        <v>1373</v>
      </c>
      <c r="BH275" s="49" t="s">
        <v>1378</v>
      </c>
      <c r="BI275" s="1"/>
      <c r="BJ275" s="70" t="s">
        <v>1288</v>
      </c>
      <c r="BK275" s="57" t="s">
        <v>1288</v>
      </c>
      <c r="BL275" s="57" t="s">
        <v>1288</v>
      </c>
      <c r="BM275" s="57" t="s">
        <v>1288</v>
      </c>
      <c r="BN275" s="57" t="s">
        <v>1288</v>
      </c>
      <c r="BO275" s="57" t="s">
        <v>1288</v>
      </c>
      <c r="BP275" s="57" t="s">
        <v>1288</v>
      </c>
      <c r="BQ275" s="57" t="s">
        <v>1288</v>
      </c>
      <c r="BR275" s="57" t="s">
        <v>1288</v>
      </c>
      <c r="BS275" s="57" t="s">
        <v>1288</v>
      </c>
      <c r="BT275" s="57" t="s">
        <v>1288</v>
      </c>
      <c r="BU275" s="57" t="s">
        <v>1288</v>
      </c>
      <c r="BV275" s="70">
        <f t="shared" si="1427"/>
        <v>49</v>
      </c>
      <c r="BW275" s="71" t="str">
        <f t="shared" si="1428"/>
        <v>-</v>
      </c>
      <c r="BX275" s="72">
        <f t="shared" si="1429"/>
        <v>84</v>
      </c>
      <c r="BY275" s="71">
        <f t="shared" si="1430"/>
        <v>116</v>
      </c>
      <c r="BZ275" s="72">
        <f t="shared" si="1431"/>
        <v>120</v>
      </c>
      <c r="CA275" s="71">
        <f t="shared" si="1432"/>
        <v>156</v>
      </c>
      <c r="CB275" s="72">
        <f t="shared" si="1433"/>
        <v>164</v>
      </c>
      <c r="CC275" s="71">
        <f t="shared" si="1434"/>
        <v>202</v>
      </c>
      <c r="CD275" s="72">
        <f t="shared" si="1435"/>
        <v>211</v>
      </c>
      <c r="CE275" s="71">
        <f t="shared" si="1436"/>
        <v>253</v>
      </c>
      <c r="CF275" s="72">
        <f t="shared" si="1437"/>
        <v>295</v>
      </c>
      <c r="CG275" s="71">
        <f t="shared" si="1438"/>
        <v>328</v>
      </c>
      <c r="CH275" s="70">
        <f t="shared" si="1439"/>
        <v>79</v>
      </c>
      <c r="CI275" s="71" t="str">
        <f t="shared" si="1440"/>
        <v>-</v>
      </c>
      <c r="CJ275" s="72">
        <f t="shared" si="1441"/>
        <v>113</v>
      </c>
      <c r="CK275" s="72">
        <f t="shared" si="1442"/>
        <v>119</v>
      </c>
      <c r="CL275" s="72">
        <f t="shared" si="1443"/>
        <v>155</v>
      </c>
      <c r="CM275" s="72">
        <f t="shared" si="1444"/>
        <v>163</v>
      </c>
      <c r="CN275" s="72">
        <f t="shared" si="1445"/>
        <v>190</v>
      </c>
      <c r="CO275" s="72">
        <f t="shared" si="1446"/>
        <v>204</v>
      </c>
      <c r="CP275" s="72">
        <f t="shared" si="1447"/>
        <v>247</v>
      </c>
      <c r="CQ275" s="72">
        <f t="shared" si="1448"/>
        <v>289</v>
      </c>
      <c r="CR275" s="72">
        <f t="shared" si="1449"/>
        <v>327</v>
      </c>
      <c r="CS275" s="72">
        <f t="shared" si="1450"/>
        <v>340</v>
      </c>
      <c r="CT275" s="23" t="e">
        <f t="shared" si="1451"/>
        <v>#VALUE!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</row>
    <row r="276" spans="1:1029" x14ac:dyDescent="0.2">
      <c r="A276" s="3" t="str">
        <f t="shared" si="1452"/>
        <v>p2ry1_human_4XNV</v>
      </c>
      <c r="B276" s="3" t="s">
        <v>345</v>
      </c>
      <c r="C276" s="3" t="s">
        <v>1152</v>
      </c>
      <c r="D276" s="3" t="str">
        <f>IFERROR(MID(VLOOKUP($B276,Seqs!$A:$B,2,0),E276,1),"")</f>
        <v>F</v>
      </c>
      <c r="E276" s="3">
        <v>49</v>
      </c>
      <c r="F276" s="3" t="str">
        <f>IFERROR(MID(VLOOKUP($B276,Seqs!$A:$B,2,0),G276,1),"")</f>
        <v>H</v>
      </c>
      <c r="G276" s="3">
        <v>79</v>
      </c>
      <c r="H276" s="3" t="str">
        <f>IFERROR(MID(VLOOKUP($B276,Seqs!$A:$B,2,0),I276,1),"")</f>
        <v/>
      </c>
      <c r="I276" s="23" t="s">
        <v>23</v>
      </c>
      <c r="J276" s="3" t="str">
        <f>IFERROR(MID(VLOOKUP($B276,Seqs!$A:$B,2,0),K276,1),"")</f>
        <v/>
      </c>
      <c r="K276" s="23" t="s">
        <v>23</v>
      </c>
      <c r="L276" s="3" t="str">
        <f>IFERROR(MID(VLOOKUP($B276,Seqs!$A:$B,2,0),M276,1),"")</f>
        <v>S</v>
      </c>
      <c r="M276" s="3">
        <v>84</v>
      </c>
      <c r="N276" s="3" t="str">
        <f>IFERROR(MID(VLOOKUP($B276,Seqs!$A:$B,2,0),O276,1),"")</f>
        <v>N</v>
      </c>
      <c r="O276" s="3">
        <v>113</v>
      </c>
      <c r="P276" s="3" t="str">
        <f>IFERROR(MID(VLOOKUP($B276,Seqs!$A:$B,2,0),Q276,1),"")</f>
        <v>D</v>
      </c>
      <c r="Q276" s="3">
        <v>116</v>
      </c>
      <c r="R276" s="3" t="str">
        <f>IFERROR(MID(VLOOKUP($B276,Seqs!$A:$B,2,0),S276,1),"")</f>
        <v>F</v>
      </c>
      <c r="S276" s="3">
        <v>119</v>
      </c>
      <c r="T276" s="3" t="str">
        <f>IFERROR(MID(VLOOKUP($B276,Seqs!$A:$B,2,0),U276,1),"")</f>
        <v>G</v>
      </c>
      <c r="U276" s="3">
        <v>120</v>
      </c>
      <c r="V276" s="3" t="str">
        <f>IFERROR(MID(VLOOKUP($B276,Seqs!$A:$B,2,0),W276,1),"")</f>
        <v>Y</v>
      </c>
      <c r="W276" s="3">
        <v>155</v>
      </c>
      <c r="X276" s="3" t="str">
        <f>IFERROR(MID(VLOOKUP($B276,Seqs!$A:$B,2,0),Y276,1),"")</f>
        <v/>
      </c>
      <c r="Y276" s="3" t="s">
        <v>23</v>
      </c>
      <c r="Z276" s="3" t="str">
        <f>IFERROR(MID(VLOOKUP($B276,Seqs!$A:$B,2,0),AA276,1),"")</f>
        <v/>
      </c>
      <c r="AA276" s="3" t="s">
        <v>23</v>
      </c>
      <c r="AB276" s="3" t="str">
        <f>IFERROR(MID(VLOOKUP($B276,Seqs!$A:$B,2,0),AC276,1),"")</f>
        <v>G</v>
      </c>
      <c r="AC276" s="9">
        <v>161</v>
      </c>
      <c r="AD276" s="3" t="str">
        <f>IFERROR(MID(VLOOKUP($B276,Seqs!$A:$B,2,0),AE276,1),"")</f>
        <v>S</v>
      </c>
      <c r="AE276" s="3">
        <v>190</v>
      </c>
      <c r="AF276" s="3" t="str">
        <f>IFERROR(MID(VLOOKUP($B276,Seqs!$A:$B,2,0),AG276,1),"")</f>
        <v>C</v>
      </c>
      <c r="AG276" s="3">
        <v>202</v>
      </c>
      <c r="AH276" s="3" t="str">
        <f>IFERROR(MID(VLOOKUP($B276,Seqs!$A:$B,2,0),AI276,1),"")</f>
        <v>D</v>
      </c>
      <c r="AI276" s="3">
        <v>204</v>
      </c>
      <c r="AJ276" s="3" t="str">
        <f>IFERROR(MID(VLOOKUP($B276,Seqs!$A:$B,2,0),AK276,1),"")</f>
        <v>L</v>
      </c>
      <c r="AK276" s="3">
        <v>211</v>
      </c>
      <c r="AL276" s="3" t="str">
        <f>IFERROR(MID(VLOOKUP($B276,Seqs!$A:$B,2,0),AM276,1),"")</f>
        <v>K</v>
      </c>
      <c r="AM276" s="3">
        <v>247</v>
      </c>
      <c r="AN276" s="3" t="str">
        <f>IFERROR(MID(VLOOKUP($B276,Seqs!$A:$B,2,0),AO276,1),"")</f>
        <v>P</v>
      </c>
      <c r="AO276" s="3">
        <v>253</v>
      </c>
      <c r="AP276" s="3" t="str">
        <f>IFERROR(MID(VLOOKUP($B276,Seqs!$A:$B,2,0),AQ276,1),"")</f>
        <v>D</v>
      </c>
      <c r="AQ276" s="3">
        <v>289</v>
      </c>
      <c r="AR276" s="3" t="str">
        <f>IFERROR(MID(VLOOKUP($B276,Seqs!$A:$B,2,0),AS276,1),"")</f>
        <v>M</v>
      </c>
      <c r="AS276" s="3">
        <v>295</v>
      </c>
      <c r="AT276" s="3" t="str">
        <f>IFERROR(MID(VLOOKUP($B276,Seqs!$A:$B,2,0),AU276,1),"")</f>
        <v>L</v>
      </c>
      <c r="AU276" s="3">
        <v>326</v>
      </c>
      <c r="AV276" s="3" t="str">
        <f>IFERROR(MID(VLOOKUP($B276,Seqs!$A:$B,2,0),AW276,1),"")</f>
        <v/>
      </c>
      <c r="AW276" s="3" t="s">
        <v>23</v>
      </c>
      <c r="AX276" s="3" t="str">
        <f>IFERROR(MID(VLOOKUP($B276,Seqs!$A:$B,2,0),AY276,1),"")</f>
        <v/>
      </c>
      <c r="AY276" s="3" t="s">
        <v>23</v>
      </c>
      <c r="AZ276" s="77" t="str">
        <f>VLOOKUP(B276,Classification!A:D,2,0)</f>
        <v>A</v>
      </c>
      <c r="BA276" s="94" t="str">
        <f>VLOOKUP(B276,Classification!A:D,4,0)</f>
        <v>P2Y</v>
      </c>
      <c r="BB276" s="27" t="b">
        <f t="shared" si="1453"/>
        <v>1</v>
      </c>
      <c r="BC276" s="23">
        <f t="shared" si="1426"/>
        <v>243</v>
      </c>
      <c r="BD276" s="4" t="s">
        <v>23</v>
      </c>
      <c r="BE276" s="3" t="s">
        <v>1429</v>
      </c>
      <c r="BF276" s="119">
        <v>2.2000000000000002</v>
      </c>
      <c r="BG276" s="49" t="s">
        <v>1378</v>
      </c>
      <c r="BH276" s="49" t="s">
        <v>1378</v>
      </c>
      <c r="BI276" s="3" t="s">
        <v>1169</v>
      </c>
      <c r="BJ276" s="70" t="s">
        <v>1288</v>
      </c>
      <c r="BK276" s="57" t="s">
        <v>1288</v>
      </c>
      <c r="BL276" s="57" t="s">
        <v>1288</v>
      </c>
      <c r="BM276" s="57" t="s">
        <v>1288</v>
      </c>
      <c r="BN276" s="57" t="s">
        <v>1288</v>
      </c>
      <c r="BO276" s="57" t="s">
        <v>1288</v>
      </c>
      <c r="BP276" s="57" t="s">
        <v>1288</v>
      </c>
      <c r="BQ276" s="57" t="s">
        <v>1288</v>
      </c>
      <c r="BR276" s="57" t="s">
        <v>1288</v>
      </c>
      <c r="BS276" s="57" t="s">
        <v>1288</v>
      </c>
      <c r="BT276" s="57" t="s">
        <v>1288</v>
      </c>
      <c r="BU276" s="57" t="s">
        <v>1288</v>
      </c>
      <c r="BV276" s="70">
        <f t="shared" si="1427"/>
        <v>49</v>
      </c>
      <c r="BW276" s="71" t="str">
        <f t="shared" si="1428"/>
        <v>-</v>
      </c>
      <c r="BX276" s="72">
        <f t="shared" si="1429"/>
        <v>84</v>
      </c>
      <c r="BY276" s="71">
        <f t="shared" si="1430"/>
        <v>116</v>
      </c>
      <c r="BZ276" s="72">
        <f t="shared" si="1431"/>
        <v>120</v>
      </c>
      <c r="CA276" s="71" t="str">
        <f t="shared" si="1432"/>
        <v>-</v>
      </c>
      <c r="CB276" s="72">
        <f t="shared" si="1433"/>
        <v>161</v>
      </c>
      <c r="CC276" s="71">
        <f t="shared" si="1434"/>
        <v>202</v>
      </c>
      <c r="CD276" s="72">
        <f t="shared" si="1435"/>
        <v>211</v>
      </c>
      <c r="CE276" s="71">
        <f t="shared" si="1436"/>
        <v>253</v>
      </c>
      <c r="CF276" s="72">
        <f t="shared" si="1437"/>
        <v>295</v>
      </c>
      <c r="CG276" s="71" t="str">
        <f t="shared" si="1438"/>
        <v>-</v>
      </c>
      <c r="CH276" s="70">
        <f t="shared" si="1439"/>
        <v>79</v>
      </c>
      <c r="CI276" s="71" t="str">
        <f t="shared" si="1440"/>
        <v>-</v>
      </c>
      <c r="CJ276" s="72">
        <f t="shared" si="1441"/>
        <v>113</v>
      </c>
      <c r="CK276" s="72">
        <f t="shared" si="1442"/>
        <v>119</v>
      </c>
      <c r="CL276" s="72">
        <f t="shared" si="1443"/>
        <v>155</v>
      </c>
      <c r="CM276" s="72" t="str">
        <f t="shared" si="1444"/>
        <v>-</v>
      </c>
      <c r="CN276" s="72">
        <f t="shared" si="1445"/>
        <v>190</v>
      </c>
      <c r="CO276" s="72">
        <f t="shared" si="1446"/>
        <v>204</v>
      </c>
      <c r="CP276" s="72">
        <f t="shared" si="1447"/>
        <v>247</v>
      </c>
      <c r="CQ276" s="72">
        <f t="shared" si="1448"/>
        <v>289</v>
      </c>
      <c r="CR276" s="72">
        <f t="shared" si="1449"/>
        <v>326</v>
      </c>
      <c r="CS276" s="72" t="str">
        <f t="shared" si="1450"/>
        <v>-</v>
      </c>
      <c r="CT276" s="23" t="e">
        <f t="shared" si="1451"/>
        <v>#VALUE!</v>
      </c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</row>
    <row r="277" spans="1:1029" x14ac:dyDescent="0.2">
      <c r="A277" s="3" t="str">
        <f t="shared" si="1452"/>
        <v>p2ry1_human_4XNW</v>
      </c>
      <c r="B277" s="3" t="s">
        <v>345</v>
      </c>
      <c r="C277" s="3" t="s">
        <v>1056</v>
      </c>
      <c r="D277" s="3" t="str">
        <f>IFERROR(MID(VLOOKUP($B277,Seqs!$A:$B,2,0),E277,1),"")</f>
        <v>F</v>
      </c>
      <c r="E277" s="3">
        <v>49</v>
      </c>
      <c r="F277" s="3" t="str">
        <f>IFERROR(MID(VLOOKUP($B277,Seqs!$A:$B,2,0),G277,1),"")</f>
        <v>H</v>
      </c>
      <c r="G277" s="3">
        <v>79</v>
      </c>
      <c r="H277" s="3" t="str">
        <f>IFERROR(MID(VLOOKUP($B277,Seqs!$A:$B,2,0),I277,1),"")</f>
        <v/>
      </c>
      <c r="I277" s="23" t="s">
        <v>23</v>
      </c>
      <c r="J277" s="3" t="str">
        <f>IFERROR(MID(VLOOKUP($B277,Seqs!$A:$B,2,0),K277,1),"")</f>
        <v/>
      </c>
      <c r="K277" s="23" t="s">
        <v>23</v>
      </c>
      <c r="L277" s="3" t="str">
        <f>IFERROR(MID(VLOOKUP($B277,Seqs!$A:$B,2,0),M277,1),"")</f>
        <v>S</v>
      </c>
      <c r="M277" s="3">
        <v>84</v>
      </c>
      <c r="N277" s="3" t="str">
        <f>IFERROR(MID(VLOOKUP($B277,Seqs!$A:$B,2,0),O277,1),"")</f>
        <v>N</v>
      </c>
      <c r="O277" s="3">
        <v>113</v>
      </c>
      <c r="P277" s="3" t="str">
        <f>IFERROR(MID(VLOOKUP($B277,Seqs!$A:$B,2,0),Q277,1),"")</f>
        <v>D</v>
      </c>
      <c r="Q277" s="3">
        <v>116</v>
      </c>
      <c r="R277" s="3" t="str">
        <f>IFERROR(MID(VLOOKUP($B277,Seqs!$A:$B,2,0),S277,1),"")</f>
        <v>F</v>
      </c>
      <c r="S277" s="3">
        <v>119</v>
      </c>
      <c r="T277" s="3" t="str">
        <f>IFERROR(MID(VLOOKUP($B277,Seqs!$A:$B,2,0),U277,1),"")</f>
        <v>G</v>
      </c>
      <c r="U277" s="3">
        <v>120</v>
      </c>
      <c r="V277" s="3" t="str">
        <f>IFERROR(MID(VLOOKUP($B277,Seqs!$A:$B,2,0),W277,1),"")</f>
        <v>Y</v>
      </c>
      <c r="W277" s="3">
        <v>155</v>
      </c>
      <c r="X277" s="3" t="str">
        <f>IFERROR(MID(VLOOKUP($B277,Seqs!$A:$B,2,0),Y277,1),"")</f>
        <v>P</v>
      </c>
      <c r="Y277" s="3">
        <v>156</v>
      </c>
      <c r="Z277" s="3" t="str">
        <f>IFERROR(MID(VLOOKUP($B277,Seqs!$A:$B,2,0),AA277,1),"")</f>
        <v>L</v>
      </c>
      <c r="AA277" s="3">
        <v>163</v>
      </c>
      <c r="AB277" s="3" t="str">
        <f>IFERROR(MID(VLOOKUP($B277,Seqs!$A:$B,2,0),AC277,1),"")</f>
        <v>K</v>
      </c>
      <c r="AC277" s="9">
        <v>164</v>
      </c>
      <c r="AD277" s="3" t="str">
        <f>IFERROR(MID(VLOOKUP($B277,Seqs!$A:$B,2,0),AE277,1),"")</f>
        <v>S</v>
      </c>
      <c r="AE277" s="3">
        <v>190</v>
      </c>
      <c r="AF277" s="3" t="str">
        <f>IFERROR(MID(VLOOKUP($B277,Seqs!$A:$B,2,0),AG277,1),"")</f>
        <v>C</v>
      </c>
      <c r="AG277" s="3">
        <v>202</v>
      </c>
      <c r="AH277" s="3" t="str">
        <f>IFERROR(MID(VLOOKUP($B277,Seqs!$A:$B,2,0),AI277,1),"")</f>
        <v>D</v>
      </c>
      <c r="AI277" s="3">
        <v>204</v>
      </c>
      <c r="AJ277" s="3" t="str">
        <f>IFERROR(MID(VLOOKUP($B277,Seqs!$A:$B,2,0),AK277,1),"")</f>
        <v>L</v>
      </c>
      <c r="AK277" s="3">
        <v>211</v>
      </c>
      <c r="AL277" s="3" t="str">
        <f>IFERROR(MID(VLOOKUP($B277,Seqs!$A:$B,2,0),AM277,1),"")</f>
        <v>K</v>
      </c>
      <c r="AM277" s="3">
        <v>247</v>
      </c>
      <c r="AN277" s="3" t="str">
        <f>IFERROR(MID(VLOOKUP($B277,Seqs!$A:$B,2,0),AO277,1),"")</f>
        <v>P</v>
      </c>
      <c r="AO277" s="3">
        <v>253</v>
      </c>
      <c r="AP277" s="3" t="str">
        <f>IFERROR(MID(VLOOKUP($B277,Seqs!$A:$B,2,0),AQ277,1),"")</f>
        <v>D</v>
      </c>
      <c r="AQ277" s="3">
        <v>289</v>
      </c>
      <c r="AR277" s="3" t="str">
        <f>IFERROR(MID(VLOOKUP($B277,Seqs!$A:$B,2,0),AS277,1),"")</f>
        <v>M</v>
      </c>
      <c r="AS277" s="3">
        <v>295</v>
      </c>
      <c r="AT277" s="3" t="str">
        <f>IFERROR(MID(VLOOKUP($B277,Seqs!$A:$B,2,0),AU277,1),"")</f>
        <v>L</v>
      </c>
      <c r="AU277" s="3">
        <v>326</v>
      </c>
      <c r="AV277" s="3" t="str">
        <f>IFERROR(MID(VLOOKUP($B277,Seqs!$A:$B,2,0),AW277,1),"")</f>
        <v/>
      </c>
      <c r="AW277" s="3" t="s">
        <v>23</v>
      </c>
      <c r="AX277" s="3" t="str">
        <f>IFERROR(MID(VLOOKUP($B277,Seqs!$A:$B,2,0),AY277,1),"")</f>
        <v/>
      </c>
      <c r="AY277" s="3" t="s">
        <v>23</v>
      </c>
      <c r="AZ277" s="77" t="str">
        <f>VLOOKUP(B277,Classification!A:D,2,0)</f>
        <v>A</v>
      </c>
      <c r="BA277" s="94" t="str">
        <f>VLOOKUP(B277,Classification!A:D,4,0)</f>
        <v>P2Y</v>
      </c>
      <c r="BB277" s="27" t="b">
        <f t="shared" si="1453"/>
        <v>1</v>
      </c>
      <c r="BC277" s="23">
        <f t="shared" si="1426"/>
        <v>247</v>
      </c>
      <c r="BD277" s="2" t="s">
        <v>1430</v>
      </c>
      <c r="BE277" s="3" t="s">
        <v>1429</v>
      </c>
      <c r="BF277" s="119">
        <v>2.7</v>
      </c>
      <c r="BG277" s="49" t="s">
        <v>1378</v>
      </c>
      <c r="BH277" s="49" t="s">
        <v>1378</v>
      </c>
      <c r="BI277" s="1"/>
      <c r="BJ277" s="70" t="s">
        <v>1288</v>
      </c>
      <c r="BK277" s="57" t="s">
        <v>1288</v>
      </c>
      <c r="BL277" s="57" t="s">
        <v>1288</v>
      </c>
      <c r="BM277" s="57" t="s">
        <v>1288</v>
      </c>
      <c r="BN277" s="57" t="s">
        <v>1288</v>
      </c>
      <c r="BO277" s="57" t="s">
        <v>1288</v>
      </c>
      <c r="BP277" s="57" t="s">
        <v>1288</v>
      </c>
      <c r="BQ277" s="57" t="s">
        <v>1288</v>
      </c>
      <c r="BR277" s="57" t="s">
        <v>1288</v>
      </c>
      <c r="BS277" s="57" t="s">
        <v>1288</v>
      </c>
      <c r="BT277" s="57" t="s">
        <v>1288</v>
      </c>
      <c r="BU277" s="57" t="s">
        <v>1288</v>
      </c>
      <c r="BV277" s="70">
        <f t="shared" si="1427"/>
        <v>49</v>
      </c>
      <c r="BW277" s="71" t="str">
        <f t="shared" si="1428"/>
        <v>-</v>
      </c>
      <c r="BX277" s="72">
        <f t="shared" si="1429"/>
        <v>84</v>
      </c>
      <c r="BY277" s="71">
        <f t="shared" si="1430"/>
        <v>116</v>
      </c>
      <c r="BZ277" s="72">
        <f t="shared" si="1431"/>
        <v>120</v>
      </c>
      <c r="CA277" s="71">
        <f t="shared" si="1432"/>
        <v>156</v>
      </c>
      <c r="CB277" s="72">
        <f t="shared" si="1433"/>
        <v>164</v>
      </c>
      <c r="CC277" s="71">
        <f t="shared" si="1434"/>
        <v>202</v>
      </c>
      <c r="CD277" s="72">
        <f t="shared" si="1435"/>
        <v>211</v>
      </c>
      <c r="CE277" s="71">
        <f t="shared" si="1436"/>
        <v>253</v>
      </c>
      <c r="CF277" s="72">
        <f t="shared" si="1437"/>
        <v>295</v>
      </c>
      <c r="CG277" s="71" t="str">
        <f t="shared" si="1438"/>
        <v>-</v>
      </c>
      <c r="CH277" s="70">
        <f t="shared" si="1439"/>
        <v>79</v>
      </c>
      <c r="CI277" s="71" t="str">
        <f t="shared" si="1440"/>
        <v>-</v>
      </c>
      <c r="CJ277" s="72">
        <f t="shared" si="1441"/>
        <v>113</v>
      </c>
      <c r="CK277" s="72">
        <f t="shared" si="1442"/>
        <v>119</v>
      </c>
      <c r="CL277" s="72">
        <f t="shared" si="1443"/>
        <v>155</v>
      </c>
      <c r="CM277" s="72">
        <f t="shared" si="1444"/>
        <v>163</v>
      </c>
      <c r="CN277" s="72">
        <f t="shared" si="1445"/>
        <v>190</v>
      </c>
      <c r="CO277" s="72">
        <f t="shared" si="1446"/>
        <v>204</v>
      </c>
      <c r="CP277" s="72">
        <f t="shared" si="1447"/>
        <v>247</v>
      </c>
      <c r="CQ277" s="72">
        <f t="shared" si="1448"/>
        <v>289</v>
      </c>
      <c r="CR277" s="72">
        <f t="shared" si="1449"/>
        <v>326</v>
      </c>
      <c r="CS277" s="72" t="str">
        <f t="shared" si="1450"/>
        <v>-</v>
      </c>
      <c r="CT277" s="23" t="e">
        <f t="shared" si="1451"/>
        <v>#VALUE!</v>
      </c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</row>
    <row r="278" spans="1:1029" x14ac:dyDescent="0.2">
      <c r="A278" s="3" t="str">
        <f t="shared" si="1452"/>
        <v>p2y12_human__wt</v>
      </c>
      <c r="B278" s="3" t="s">
        <v>352</v>
      </c>
      <c r="C278" s="3" t="s">
        <v>100</v>
      </c>
      <c r="D278" s="3" t="str">
        <f>IFERROR(MID(VLOOKUP($B278,Seqs!$A:$B,2,0),E278,1),"")</f>
        <v>Y</v>
      </c>
      <c r="E278" s="3">
        <v>21</v>
      </c>
      <c r="F278" s="3" t="str">
        <f>IFERROR(MID(VLOOKUP($B278,Seqs!$A:$B,2,0),G278,1),"")</f>
        <v>I</v>
      </c>
      <c r="G278" s="3">
        <v>53</v>
      </c>
      <c r="H278" s="3" t="str">
        <f>IFERROR(MID(VLOOKUP($B278,Seqs!$A:$B,2,0),I278,1),"")</f>
        <v/>
      </c>
      <c r="I278" s="23" t="s">
        <v>23</v>
      </c>
      <c r="J278" s="3" t="str">
        <f>IFERROR(MID(VLOOKUP($B278,Seqs!$A:$B,2,0),K278,1),"")</f>
        <v/>
      </c>
      <c r="K278" s="23" t="s">
        <v>23</v>
      </c>
      <c r="L278" s="3" t="str">
        <f>IFERROR(MID(VLOOKUP($B278,Seqs!$A:$B,2,0),M278,1),"")</f>
        <v>S</v>
      </c>
      <c r="M278" s="3">
        <v>57</v>
      </c>
      <c r="N278" s="3" t="str">
        <f>IFERROR(MID(VLOOKUP($B278,Seqs!$A:$B,2,0),O278,1),"")</f>
        <v>K</v>
      </c>
      <c r="O278" s="3">
        <v>86</v>
      </c>
      <c r="P278" s="3" t="str">
        <f>IFERROR(MID(VLOOKUP($B278,Seqs!$A:$B,2,0),Q278,1),"")</f>
        <v/>
      </c>
      <c r="Q278" s="3" t="s">
        <v>23</v>
      </c>
      <c r="R278" s="3" t="str">
        <f>IFERROR(MID(VLOOKUP($B278,Seqs!$A:$B,2,0),S278,1),"")</f>
        <v/>
      </c>
      <c r="S278" s="3" t="s">
        <v>23</v>
      </c>
      <c r="T278" s="3" t="str">
        <f>IFERROR(MID(VLOOKUP($B278,Seqs!$A:$B,2,0),U278,1),"")</f>
        <v>G</v>
      </c>
      <c r="U278" s="3">
        <v>90</v>
      </c>
      <c r="V278" s="3" t="str">
        <f>IFERROR(MID(VLOOKUP($B278,Seqs!$A:$B,2,0),W278,1),"")</f>
        <v>R</v>
      </c>
      <c r="W278" s="3">
        <v>128</v>
      </c>
      <c r="X278" s="3" t="str">
        <f>IFERROR(MID(VLOOKUP($B278,Seqs!$A:$B,2,0),Y278,1),"")</f>
        <v>P</v>
      </c>
      <c r="Y278" s="3">
        <v>129</v>
      </c>
      <c r="Z278" s="3" t="str">
        <f>IFERROR(MID(VLOOKUP($B278,Seqs!$A:$B,2,0),AA278,1),"")</f>
        <v>K</v>
      </c>
      <c r="AA278" s="73">
        <v>136</v>
      </c>
      <c r="AB278" s="3" t="str">
        <f>IFERROR(MID(VLOOKUP($B278,Seqs!$A:$B,2,0),AC278,1),"")</f>
        <v>N</v>
      </c>
      <c r="AC278" s="9">
        <v>137</v>
      </c>
      <c r="AD278" s="3" t="str">
        <f>IFERROR(MID(VLOOKUP($B278,Seqs!$A:$B,2,0),AE278,1),"")</f>
        <v>T</v>
      </c>
      <c r="AE278" s="3">
        <v>163</v>
      </c>
      <c r="AF278" s="3" t="str">
        <f>IFERROR(MID(VLOOKUP($B278,Seqs!$A:$B,2,0),AG278,1),"")</f>
        <v>C</v>
      </c>
      <c r="AG278" s="3">
        <v>175</v>
      </c>
      <c r="AH278" s="3" t="str">
        <f>IFERROR(MID(VLOOKUP($B278,Seqs!$A:$B,2,0),AI278,1),"")</f>
        <v>F</v>
      </c>
      <c r="AI278" s="3">
        <v>177</v>
      </c>
      <c r="AJ278" s="3" t="str">
        <f>IFERROR(MID(VLOOKUP($B278,Seqs!$A:$B,2,0),AK278,1),"")</f>
        <v>E</v>
      </c>
      <c r="AK278" s="3">
        <v>181</v>
      </c>
      <c r="AL278" s="3" t="str">
        <f>IFERROR(MID(VLOOKUP($B278,Seqs!$A:$B,2,0),AM278,1),"")</f>
        <v>T</v>
      </c>
      <c r="AM278" s="3">
        <v>223</v>
      </c>
      <c r="AN278" s="3" t="str">
        <f>IFERROR(MID(VLOOKUP($B278,Seqs!$A:$B,2,0),AO278,1),"")</f>
        <v>P</v>
      </c>
      <c r="AO278" s="3">
        <v>230</v>
      </c>
      <c r="AP278" s="3" t="str">
        <f>IFERROR(MID(VLOOKUP($B278,Seqs!$A:$B,2,0),AQ278,1),"")</f>
        <v>R</v>
      </c>
      <c r="AQ278" s="3">
        <v>265</v>
      </c>
      <c r="AR278" s="3" t="str">
        <f>IFERROR(MID(VLOOKUP($B278,Seqs!$A:$B,2,0),AS278,1),"")</f>
        <v>D</v>
      </c>
      <c r="AS278" s="3">
        <v>269</v>
      </c>
      <c r="AT278" s="3" t="str">
        <f>IFERROR(MID(VLOOKUP($B278,Seqs!$A:$B,2,0),AU278,1),"")</f>
        <v>L</v>
      </c>
      <c r="AU278" s="3">
        <v>301</v>
      </c>
      <c r="AV278" s="3" t="str">
        <f>IFERROR(MID(VLOOKUP($B278,Seqs!$A:$B,2,0),AW278,1),"")</f>
        <v>C</v>
      </c>
      <c r="AW278" s="3">
        <v>302</v>
      </c>
      <c r="AX278" s="3" t="str">
        <f>IFERROR(MID(VLOOKUP($B278,Seqs!$A:$B,2,0),AY278,1),"")</f>
        <v>M</v>
      </c>
      <c r="AY278" s="3">
        <v>312</v>
      </c>
      <c r="AZ278" s="77" t="str">
        <f>VLOOKUP(B278,Classification!A:D,2,0)</f>
        <v>A</v>
      </c>
      <c r="BA278" s="94" t="str">
        <f>VLOOKUP(B278,Classification!A:D,4,0)</f>
        <v>P2Y</v>
      </c>
      <c r="BB278" s="27" t="b">
        <f t="shared" si="1453"/>
        <v>1</v>
      </c>
      <c r="BC278" s="23">
        <f t="shared" si="1426"/>
        <v>265</v>
      </c>
      <c r="BD278" s="56" t="s">
        <v>23</v>
      </c>
      <c r="BE278" s="3" t="s">
        <v>23</v>
      </c>
      <c r="BF278" s="119" t="s">
        <v>23</v>
      </c>
      <c r="BG278" s="49" t="s">
        <v>1373</v>
      </c>
      <c r="BH278" s="49" t="s">
        <v>1378</v>
      </c>
      <c r="BI278" s="1"/>
      <c r="BJ278" s="70" t="s">
        <v>1288</v>
      </c>
      <c r="BK278" s="57" t="s">
        <v>1288</v>
      </c>
      <c r="BL278" s="57" t="s">
        <v>1288</v>
      </c>
      <c r="BM278" s="57" t="s">
        <v>1288</v>
      </c>
      <c r="BN278" s="57" t="s">
        <v>1288</v>
      </c>
      <c r="BO278" s="57" t="s">
        <v>1288</v>
      </c>
      <c r="BP278" s="57" t="s">
        <v>1288</v>
      </c>
      <c r="BQ278" s="57" t="s">
        <v>1288</v>
      </c>
      <c r="BR278" s="57" t="s">
        <v>1288</v>
      </c>
      <c r="BS278" s="57" t="s">
        <v>1288</v>
      </c>
      <c r="BT278" s="57" t="s">
        <v>1288</v>
      </c>
      <c r="BU278" s="57" t="s">
        <v>1288</v>
      </c>
      <c r="BV278" s="70">
        <f t="shared" si="1427"/>
        <v>21</v>
      </c>
      <c r="BW278" s="71" t="str">
        <f t="shared" si="1428"/>
        <v>-</v>
      </c>
      <c r="BX278" s="72">
        <f t="shared" si="1429"/>
        <v>57</v>
      </c>
      <c r="BY278" s="71" t="str">
        <f t="shared" si="1430"/>
        <v>-</v>
      </c>
      <c r="BZ278" s="72">
        <f t="shared" si="1431"/>
        <v>90</v>
      </c>
      <c r="CA278" s="71">
        <f t="shared" si="1432"/>
        <v>129</v>
      </c>
      <c r="CB278" s="72">
        <f t="shared" si="1433"/>
        <v>137</v>
      </c>
      <c r="CC278" s="71">
        <f t="shared" si="1434"/>
        <v>175</v>
      </c>
      <c r="CD278" s="72">
        <f t="shared" si="1435"/>
        <v>181</v>
      </c>
      <c r="CE278" s="71">
        <f t="shared" si="1436"/>
        <v>230</v>
      </c>
      <c r="CF278" s="72">
        <f t="shared" si="1437"/>
        <v>269</v>
      </c>
      <c r="CG278" s="71">
        <f t="shared" si="1438"/>
        <v>302</v>
      </c>
      <c r="CH278" s="70">
        <f t="shared" si="1439"/>
        <v>53</v>
      </c>
      <c r="CI278" s="71" t="str">
        <f t="shared" si="1440"/>
        <v>-</v>
      </c>
      <c r="CJ278" s="72">
        <f t="shared" si="1441"/>
        <v>86</v>
      </c>
      <c r="CK278" s="72" t="str">
        <f t="shared" si="1442"/>
        <v>-</v>
      </c>
      <c r="CL278" s="72">
        <f t="shared" si="1443"/>
        <v>128</v>
      </c>
      <c r="CM278" s="72">
        <f t="shared" si="1444"/>
        <v>136</v>
      </c>
      <c r="CN278" s="72">
        <f t="shared" si="1445"/>
        <v>163</v>
      </c>
      <c r="CO278" s="72">
        <f t="shared" si="1446"/>
        <v>177</v>
      </c>
      <c r="CP278" s="72">
        <f t="shared" si="1447"/>
        <v>223</v>
      </c>
      <c r="CQ278" s="72">
        <f t="shared" si="1448"/>
        <v>265</v>
      </c>
      <c r="CR278" s="72">
        <f t="shared" si="1449"/>
        <v>301</v>
      </c>
      <c r="CS278" s="72">
        <f t="shared" si="1450"/>
        <v>312</v>
      </c>
      <c r="CT278" s="23" t="e">
        <f t="shared" si="1451"/>
        <v>#VALUE!</v>
      </c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</row>
    <row r="279" spans="1:1029" x14ac:dyDescent="0.2">
      <c r="A279" s="3" t="str">
        <f t="shared" si="1452"/>
        <v>p2y12_human_4NTJ</v>
      </c>
      <c r="B279" s="3" t="s">
        <v>352</v>
      </c>
      <c r="C279" s="3" t="s">
        <v>1049</v>
      </c>
      <c r="D279" s="3" t="str">
        <f>IFERROR(MID(VLOOKUP($B279,Seqs!$A:$B,2,0),E279,1),"")</f>
        <v>Y</v>
      </c>
      <c r="E279" s="3">
        <v>21</v>
      </c>
      <c r="F279" s="3" t="str">
        <f>IFERROR(MID(VLOOKUP($B279,Seqs!$A:$B,2,0),G279,1),"")</f>
        <v>I</v>
      </c>
      <c r="G279" s="3">
        <v>53</v>
      </c>
      <c r="H279" s="3" t="str">
        <f>IFERROR(MID(VLOOKUP($B279,Seqs!$A:$B,2,0),I279,1),"")</f>
        <v/>
      </c>
      <c r="I279" s="23" t="s">
        <v>23</v>
      </c>
      <c r="J279" s="3" t="str">
        <f>IFERROR(MID(VLOOKUP($B279,Seqs!$A:$B,2,0),K279,1),"")</f>
        <v/>
      </c>
      <c r="K279" s="23" t="s">
        <v>23</v>
      </c>
      <c r="L279" s="3" t="str">
        <f>IFERROR(MID(VLOOKUP($B279,Seqs!$A:$B,2,0),M279,1),"")</f>
        <v>S</v>
      </c>
      <c r="M279" s="3">
        <v>57</v>
      </c>
      <c r="N279" s="3" t="str">
        <f>IFERROR(MID(VLOOKUP($B279,Seqs!$A:$B,2,0),O279,1),"")</f>
        <v>K</v>
      </c>
      <c r="O279" s="3">
        <v>86</v>
      </c>
      <c r="P279" s="3" t="str">
        <f>IFERROR(MID(VLOOKUP($B279,Seqs!$A:$B,2,0),Q279,1),"")</f>
        <v/>
      </c>
      <c r="Q279" s="3" t="s">
        <v>23</v>
      </c>
      <c r="R279" s="3" t="str">
        <f>IFERROR(MID(VLOOKUP($B279,Seqs!$A:$B,2,0),S279,1),"")</f>
        <v/>
      </c>
      <c r="S279" s="3" t="s">
        <v>23</v>
      </c>
      <c r="T279" s="3" t="str">
        <f>IFERROR(MID(VLOOKUP($B279,Seqs!$A:$B,2,0),U279,1),"")</f>
        <v>L</v>
      </c>
      <c r="U279" s="3">
        <v>92</v>
      </c>
      <c r="V279" s="3" t="str">
        <f>IFERROR(MID(VLOOKUP($B279,Seqs!$A:$B,2,0),W279,1),"")</f>
        <v>R</v>
      </c>
      <c r="W279" s="3">
        <v>128</v>
      </c>
      <c r="X279" s="3" t="str">
        <f>IFERROR(MID(VLOOKUP($B279,Seqs!$A:$B,2,0),Y279,1),"")</f>
        <v/>
      </c>
      <c r="Y279" s="3" t="s">
        <v>23</v>
      </c>
      <c r="Z279" s="3" t="str">
        <f>IFERROR(MID(VLOOKUP($B279,Seqs!$A:$B,2,0),AA279,1),"")</f>
        <v/>
      </c>
      <c r="AA279" s="3" t="s">
        <v>23</v>
      </c>
      <c r="AB279" s="3" t="str">
        <f>IFERROR(MID(VLOOKUP($B279,Seqs!$A:$B,2,0),AC279,1),"")</f>
        <v>N</v>
      </c>
      <c r="AC279" s="9">
        <v>137</v>
      </c>
      <c r="AD279" s="3" t="str">
        <f>IFERROR(MID(VLOOKUP($B279,Seqs!$A:$B,2,0),AE279,1),"")</f>
        <v>L</v>
      </c>
      <c r="AE279" s="3">
        <v>162</v>
      </c>
      <c r="AF279" s="3" t="str">
        <f>IFERROR(MID(VLOOKUP($B279,Seqs!$A:$B,2,0),AG279,1),"")</f>
        <v>C</v>
      </c>
      <c r="AG279" s="3">
        <v>175</v>
      </c>
      <c r="AH279" s="3" t="str">
        <f>IFERROR(MID(VLOOKUP($B279,Seqs!$A:$B,2,0),AI279,1),"")</f>
        <v>F</v>
      </c>
      <c r="AI279" s="3">
        <v>177</v>
      </c>
      <c r="AJ279" s="3" t="str">
        <f>IFERROR(MID(VLOOKUP($B279,Seqs!$A:$B,2,0),AK279,1),"")</f>
        <v>E</v>
      </c>
      <c r="AK279" s="3">
        <v>181</v>
      </c>
      <c r="AL279" s="3" t="str">
        <f>IFERROR(MID(VLOOKUP($B279,Seqs!$A:$B,2,0),AM279,1),"")</f>
        <v>T</v>
      </c>
      <c r="AM279" s="3">
        <v>223</v>
      </c>
      <c r="AN279" s="3" t="str">
        <f>IFERROR(MID(VLOOKUP($B279,Seqs!$A:$B,2,0),AO279,1),"")</f>
        <v>I</v>
      </c>
      <c r="AO279" s="3">
        <v>240</v>
      </c>
      <c r="AP279" s="3" t="str">
        <f>IFERROR(MID(VLOOKUP($B279,Seqs!$A:$B,2,0),AQ279,1),"")</f>
        <v>L</v>
      </c>
      <c r="AQ279" s="3">
        <v>261</v>
      </c>
      <c r="AR279" s="3" t="str">
        <f>IFERROR(MID(VLOOKUP($B279,Seqs!$A:$B,2,0),AS279,1),"")</f>
        <v>D</v>
      </c>
      <c r="AS279" s="3">
        <v>269</v>
      </c>
      <c r="AT279" s="3" t="str">
        <f>IFERROR(MID(VLOOKUP($B279,Seqs!$A:$B,2,0),AU279,1),"")</f>
        <v>L</v>
      </c>
      <c r="AU279" s="3">
        <v>301</v>
      </c>
      <c r="AV279" s="3" t="str">
        <f>IFERROR(MID(VLOOKUP($B279,Seqs!$A:$B,2,0),AW279,1),"")</f>
        <v>C</v>
      </c>
      <c r="AW279" s="3">
        <v>302</v>
      </c>
      <c r="AX279" s="3" t="str">
        <f>IFERROR(MID(VLOOKUP($B279,Seqs!$A:$B,2,0),AY279,1),"")</f>
        <v>M</v>
      </c>
      <c r="AY279" s="3">
        <v>312</v>
      </c>
      <c r="AZ279" s="77" t="str">
        <f>VLOOKUP(B279,Classification!A:D,2,0)</f>
        <v>A</v>
      </c>
      <c r="BA279" s="94" t="str">
        <f>VLOOKUP(B279,Classification!A:D,4,0)</f>
        <v>P2Y</v>
      </c>
      <c r="BB279" s="27" t="b">
        <f t="shared" si="1453"/>
        <v>1</v>
      </c>
      <c r="BC279" s="23">
        <f t="shared" si="1426"/>
        <v>241</v>
      </c>
      <c r="BD279" s="2" t="s">
        <v>1430</v>
      </c>
      <c r="BE279" s="3" t="s">
        <v>1429</v>
      </c>
      <c r="BF279" s="119">
        <v>2.62</v>
      </c>
      <c r="BG279" s="49" t="s">
        <v>1378</v>
      </c>
      <c r="BH279" s="49" t="s">
        <v>1378</v>
      </c>
      <c r="BI279" s="3" t="s">
        <v>1171</v>
      </c>
      <c r="BJ279" s="70" t="s">
        <v>1288</v>
      </c>
      <c r="BK279" s="57" t="s">
        <v>1288</v>
      </c>
      <c r="BL279" s="57" t="s">
        <v>1288</v>
      </c>
      <c r="BM279" s="57" t="s">
        <v>1288</v>
      </c>
      <c r="BN279" s="57" t="s">
        <v>1288</v>
      </c>
      <c r="BO279" s="57" t="s">
        <v>1288</v>
      </c>
      <c r="BP279" s="57" t="s">
        <v>1288</v>
      </c>
      <c r="BQ279" s="57" t="s">
        <v>1288</v>
      </c>
      <c r="BR279" s="57" t="s">
        <v>1288</v>
      </c>
      <c r="BS279" s="57" t="s">
        <v>1288</v>
      </c>
      <c r="BT279" s="57" t="s">
        <v>1288</v>
      </c>
      <c r="BU279" s="57" t="s">
        <v>1288</v>
      </c>
      <c r="BV279" s="70">
        <f t="shared" si="1427"/>
        <v>21</v>
      </c>
      <c r="BW279" s="71" t="str">
        <f t="shared" si="1428"/>
        <v>-</v>
      </c>
      <c r="BX279" s="72">
        <f t="shared" si="1429"/>
        <v>57</v>
      </c>
      <c r="BY279" s="71" t="str">
        <f t="shared" si="1430"/>
        <v>-</v>
      </c>
      <c r="BZ279" s="72">
        <f t="shared" si="1431"/>
        <v>92</v>
      </c>
      <c r="CA279" s="71" t="str">
        <f t="shared" si="1432"/>
        <v>-</v>
      </c>
      <c r="CB279" s="72">
        <f t="shared" si="1433"/>
        <v>137</v>
      </c>
      <c r="CC279" s="71">
        <f t="shared" si="1434"/>
        <v>175</v>
      </c>
      <c r="CD279" s="72">
        <f t="shared" si="1435"/>
        <v>181</v>
      </c>
      <c r="CE279" s="71">
        <f t="shared" si="1436"/>
        <v>240</v>
      </c>
      <c r="CF279" s="72">
        <f t="shared" si="1437"/>
        <v>269</v>
      </c>
      <c r="CG279" s="71">
        <f t="shared" si="1438"/>
        <v>302</v>
      </c>
      <c r="CH279" s="70">
        <f t="shared" si="1439"/>
        <v>53</v>
      </c>
      <c r="CI279" s="71" t="str">
        <f t="shared" si="1440"/>
        <v>-</v>
      </c>
      <c r="CJ279" s="72">
        <f t="shared" si="1441"/>
        <v>86</v>
      </c>
      <c r="CK279" s="72" t="str">
        <f t="shared" si="1442"/>
        <v>-</v>
      </c>
      <c r="CL279" s="72">
        <f t="shared" si="1443"/>
        <v>128</v>
      </c>
      <c r="CM279" s="72" t="str">
        <f t="shared" si="1444"/>
        <v>-</v>
      </c>
      <c r="CN279" s="72">
        <f t="shared" si="1445"/>
        <v>162</v>
      </c>
      <c r="CO279" s="72">
        <f t="shared" si="1446"/>
        <v>177</v>
      </c>
      <c r="CP279" s="72">
        <f t="shared" si="1447"/>
        <v>223</v>
      </c>
      <c r="CQ279" s="72">
        <f t="shared" si="1448"/>
        <v>261</v>
      </c>
      <c r="CR279" s="72">
        <f t="shared" si="1449"/>
        <v>301</v>
      </c>
      <c r="CS279" s="72">
        <f t="shared" si="1450"/>
        <v>312</v>
      </c>
      <c r="CT279" s="23" t="e">
        <f t="shared" si="1451"/>
        <v>#VALUE!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</row>
    <row r="280" spans="1:1029" x14ac:dyDescent="0.2">
      <c r="A280" s="3" t="str">
        <f t="shared" si="1452"/>
        <v>p2y12_human_4PXZ</v>
      </c>
      <c r="B280" s="3" t="s">
        <v>352</v>
      </c>
      <c r="C280" s="3" t="s">
        <v>1153</v>
      </c>
      <c r="D280" s="3" t="str">
        <f>IFERROR(MID(VLOOKUP($B280,Seqs!$A:$B,2,0),E280,1),"")</f>
        <v>I</v>
      </c>
      <c r="E280" s="3">
        <v>23</v>
      </c>
      <c r="F280" s="3" t="str">
        <f>IFERROR(MID(VLOOKUP($B280,Seqs!$A:$B,2,0),G280,1),"")</f>
        <v>I</v>
      </c>
      <c r="G280" s="3">
        <v>53</v>
      </c>
      <c r="H280" s="3" t="str">
        <f>IFERROR(MID(VLOOKUP($B280,Seqs!$A:$B,2,0),I280,1),"")</f>
        <v/>
      </c>
      <c r="I280" s="23" t="s">
        <v>23</v>
      </c>
      <c r="J280" s="3" t="str">
        <f>IFERROR(MID(VLOOKUP($B280,Seqs!$A:$B,2,0),K280,1),"")</f>
        <v/>
      </c>
      <c r="K280" s="23" t="s">
        <v>23</v>
      </c>
      <c r="L280" s="3" t="str">
        <f>IFERROR(MID(VLOOKUP($B280,Seqs!$A:$B,2,0),M280,1),"")</f>
        <v>S</v>
      </c>
      <c r="M280" s="3">
        <v>57</v>
      </c>
      <c r="N280" s="3" t="str">
        <f>IFERROR(MID(VLOOKUP($B280,Seqs!$A:$B,2,0),O280,1),"")</f>
        <v>K</v>
      </c>
      <c r="O280" s="3">
        <v>86</v>
      </c>
      <c r="P280" s="3" t="str">
        <f>IFERROR(MID(VLOOKUP($B280,Seqs!$A:$B,2,0),Q280,1),"")</f>
        <v/>
      </c>
      <c r="Q280" s="3" t="s">
        <v>23</v>
      </c>
      <c r="R280" s="3" t="str">
        <f>IFERROR(MID(VLOOKUP($B280,Seqs!$A:$B,2,0),S280,1),"")</f>
        <v/>
      </c>
      <c r="S280" s="3" t="s">
        <v>23</v>
      </c>
      <c r="T280" s="3" t="str">
        <f>IFERROR(MID(VLOOKUP($B280,Seqs!$A:$B,2,0),U280,1),"")</f>
        <v>G</v>
      </c>
      <c r="U280" s="3">
        <v>90</v>
      </c>
      <c r="V280" s="3" t="str">
        <f>IFERROR(MID(VLOOKUP($B280,Seqs!$A:$B,2,0),W280,1),"")</f>
        <v>R</v>
      </c>
      <c r="W280" s="3">
        <v>128</v>
      </c>
      <c r="X280" s="3" t="str">
        <f>IFERROR(MID(VLOOKUP($B280,Seqs!$A:$B,2,0),Y280,1),"")</f>
        <v/>
      </c>
      <c r="Y280" s="3" t="s">
        <v>23</v>
      </c>
      <c r="Z280" s="3" t="str">
        <f>IFERROR(MID(VLOOKUP($B280,Seqs!$A:$B,2,0),AA280,1),"")</f>
        <v/>
      </c>
      <c r="AA280" s="3" t="s">
        <v>23</v>
      </c>
      <c r="AB280" s="3" t="str">
        <f>IFERROR(MID(VLOOKUP($B280,Seqs!$A:$B,2,0),AC280,1),"")</f>
        <v>N</v>
      </c>
      <c r="AC280" s="9">
        <v>137</v>
      </c>
      <c r="AD280" s="3" t="str">
        <f>IFERROR(MID(VLOOKUP($B280,Seqs!$A:$B,2,0),AE280,1),"")</f>
        <v>T</v>
      </c>
      <c r="AE280" s="3">
        <v>163</v>
      </c>
      <c r="AF280" s="3" t="str">
        <f>IFERROR(MID(VLOOKUP($B280,Seqs!$A:$B,2,0),AG280,1),"")</f>
        <v>C</v>
      </c>
      <c r="AG280" s="3">
        <v>175</v>
      </c>
      <c r="AH280" s="3" t="str">
        <f>IFERROR(MID(VLOOKUP($B280,Seqs!$A:$B,2,0),AI280,1),"")</f>
        <v>F</v>
      </c>
      <c r="AI280" s="3">
        <v>177</v>
      </c>
      <c r="AJ280" s="3" t="str">
        <f>IFERROR(MID(VLOOKUP($B280,Seqs!$A:$B,2,0),AK280,1),"")</f>
        <v>E</v>
      </c>
      <c r="AK280" s="3">
        <v>181</v>
      </c>
      <c r="AL280" s="3" t="str">
        <f>IFERROR(MID(VLOOKUP($B280,Seqs!$A:$B,2,0),AM280,1),"")</f>
        <v>S</v>
      </c>
      <c r="AM280" s="3">
        <v>219</v>
      </c>
      <c r="AN280" s="3" t="str">
        <f>IFERROR(MID(VLOOKUP($B280,Seqs!$A:$B,2,0),AO280,1),"")</f>
        <v>V</v>
      </c>
      <c r="AO280" s="3">
        <v>236</v>
      </c>
      <c r="AP280" s="3" t="str">
        <f>IFERROR(MID(VLOOKUP($B280,Seqs!$A:$B,2,0),AQ280,1),"")</f>
        <v>R</v>
      </c>
      <c r="AQ280" s="3">
        <v>265</v>
      </c>
      <c r="AR280" s="3" t="str">
        <f>IFERROR(MID(VLOOKUP($B280,Seqs!$A:$B,2,0),AS280,1),"")</f>
        <v>D</v>
      </c>
      <c r="AS280" s="3">
        <v>269</v>
      </c>
      <c r="AT280" s="3" t="str">
        <f>IFERROR(MID(VLOOKUP($B280,Seqs!$A:$B,2,0),AU280,1),"")</f>
        <v>C</v>
      </c>
      <c r="AU280" s="3">
        <v>292</v>
      </c>
      <c r="AV280" s="3" t="str">
        <f>IFERROR(MID(VLOOKUP($B280,Seqs!$A:$B,2,0),AW280,1),"")</f>
        <v/>
      </c>
      <c r="AW280" s="3" t="s">
        <v>23</v>
      </c>
      <c r="AX280" s="3" t="str">
        <f>IFERROR(MID(VLOOKUP($B280,Seqs!$A:$B,2,0),AY280,1),"")</f>
        <v/>
      </c>
      <c r="AY280" s="3" t="s">
        <v>23</v>
      </c>
      <c r="AZ280" s="77" t="str">
        <f>VLOOKUP(B280,Classification!A:D,2,0)</f>
        <v>A</v>
      </c>
      <c r="BA280" s="94" t="str">
        <f>VLOOKUP(B280,Classification!A:D,4,0)</f>
        <v>P2Y</v>
      </c>
      <c r="BB280" s="27" t="b">
        <f t="shared" si="1453"/>
        <v>1</v>
      </c>
      <c r="BC280" s="23">
        <f t="shared" si="1426"/>
        <v>227</v>
      </c>
      <c r="BD280" s="4" t="s">
        <v>23</v>
      </c>
      <c r="BE280" s="3" t="s">
        <v>1429</v>
      </c>
      <c r="BF280" s="119">
        <v>2.5</v>
      </c>
      <c r="BG280" s="49" t="s">
        <v>1378</v>
      </c>
      <c r="BH280" s="49" t="s">
        <v>1378</v>
      </c>
      <c r="BI280" s="1"/>
      <c r="BJ280" s="70" t="s">
        <v>1288</v>
      </c>
      <c r="BK280" s="57" t="s">
        <v>1288</v>
      </c>
      <c r="BL280" s="57" t="s">
        <v>1288</v>
      </c>
      <c r="BM280" s="57" t="s">
        <v>1288</v>
      </c>
      <c r="BN280" s="57" t="s">
        <v>1288</v>
      </c>
      <c r="BO280" s="57" t="s">
        <v>1288</v>
      </c>
      <c r="BP280" s="57" t="s">
        <v>1288</v>
      </c>
      <c r="BQ280" s="57" t="s">
        <v>1288</v>
      </c>
      <c r="BR280" s="57" t="s">
        <v>1288</v>
      </c>
      <c r="BS280" s="57" t="s">
        <v>1288</v>
      </c>
      <c r="BT280" s="57" t="s">
        <v>1288</v>
      </c>
      <c r="BU280" s="57" t="s">
        <v>1288</v>
      </c>
      <c r="BV280" s="70">
        <f t="shared" si="1427"/>
        <v>23</v>
      </c>
      <c r="BW280" s="71" t="str">
        <f t="shared" si="1428"/>
        <v>-</v>
      </c>
      <c r="BX280" s="72">
        <f t="shared" si="1429"/>
        <v>57</v>
      </c>
      <c r="BY280" s="71" t="str">
        <f t="shared" si="1430"/>
        <v>-</v>
      </c>
      <c r="BZ280" s="72">
        <f t="shared" si="1431"/>
        <v>90</v>
      </c>
      <c r="CA280" s="71" t="str">
        <f t="shared" si="1432"/>
        <v>-</v>
      </c>
      <c r="CB280" s="72">
        <f t="shared" si="1433"/>
        <v>137</v>
      </c>
      <c r="CC280" s="71">
        <f t="shared" si="1434"/>
        <v>175</v>
      </c>
      <c r="CD280" s="72">
        <f t="shared" si="1435"/>
        <v>181</v>
      </c>
      <c r="CE280" s="71">
        <f t="shared" si="1436"/>
        <v>236</v>
      </c>
      <c r="CF280" s="72">
        <f t="shared" si="1437"/>
        <v>269</v>
      </c>
      <c r="CG280" s="71" t="str">
        <f t="shared" si="1438"/>
        <v>-</v>
      </c>
      <c r="CH280" s="70">
        <f t="shared" si="1439"/>
        <v>53</v>
      </c>
      <c r="CI280" s="71" t="str">
        <f t="shared" si="1440"/>
        <v>-</v>
      </c>
      <c r="CJ280" s="72">
        <f t="shared" si="1441"/>
        <v>86</v>
      </c>
      <c r="CK280" s="72" t="str">
        <f t="shared" si="1442"/>
        <v>-</v>
      </c>
      <c r="CL280" s="72">
        <f t="shared" si="1443"/>
        <v>128</v>
      </c>
      <c r="CM280" s="72" t="str">
        <f t="shared" si="1444"/>
        <v>-</v>
      </c>
      <c r="CN280" s="72">
        <f t="shared" si="1445"/>
        <v>163</v>
      </c>
      <c r="CO280" s="72">
        <f t="shared" si="1446"/>
        <v>177</v>
      </c>
      <c r="CP280" s="72">
        <f t="shared" si="1447"/>
        <v>219</v>
      </c>
      <c r="CQ280" s="72">
        <f t="shared" si="1448"/>
        <v>265</v>
      </c>
      <c r="CR280" s="72">
        <f t="shared" si="1449"/>
        <v>292</v>
      </c>
      <c r="CS280" s="72" t="str">
        <f t="shared" si="1450"/>
        <v>-</v>
      </c>
      <c r="CT280" s="23" t="e">
        <f t="shared" si="1451"/>
        <v>#VALUE!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</row>
    <row r="281" spans="1:1029" x14ac:dyDescent="0.2">
      <c r="A281" s="3" t="str">
        <f t="shared" si="1452"/>
        <v>p2y12_human_4PY0</v>
      </c>
      <c r="B281" s="3" t="s">
        <v>352</v>
      </c>
      <c r="C281" s="3" t="s">
        <v>1051</v>
      </c>
      <c r="D281" s="3" t="str">
        <f>IFERROR(MID(VLOOKUP($B281,Seqs!$A:$B,2,0),E281,1),"")</f>
        <v>I</v>
      </c>
      <c r="E281" s="3">
        <v>23</v>
      </c>
      <c r="F281" s="3" t="str">
        <f>IFERROR(MID(VLOOKUP($B281,Seqs!$A:$B,2,0),G281,1),"")</f>
        <v>I</v>
      </c>
      <c r="G281" s="3">
        <v>53</v>
      </c>
      <c r="H281" s="3" t="str">
        <f>IFERROR(MID(VLOOKUP($B281,Seqs!$A:$B,2,0),I281,1),"")</f>
        <v/>
      </c>
      <c r="I281" s="23" t="s">
        <v>23</v>
      </c>
      <c r="J281" s="3" t="str">
        <f>IFERROR(MID(VLOOKUP($B281,Seqs!$A:$B,2,0),K281,1),"")</f>
        <v/>
      </c>
      <c r="K281" s="23" t="s">
        <v>23</v>
      </c>
      <c r="L281" s="3" t="str">
        <f>IFERROR(MID(VLOOKUP($B281,Seqs!$A:$B,2,0),M281,1),"")</f>
        <v>S</v>
      </c>
      <c r="M281" s="3">
        <v>57</v>
      </c>
      <c r="N281" s="3" t="str">
        <f>IFERROR(MID(VLOOKUP($B281,Seqs!$A:$B,2,0),O281,1),"")</f>
        <v>K</v>
      </c>
      <c r="O281" s="3">
        <v>86</v>
      </c>
      <c r="P281" s="3" t="str">
        <f>IFERROR(MID(VLOOKUP($B281,Seqs!$A:$B,2,0),Q281,1),"")</f>
        <v/>
      </c>
      <c r="Q281" s="3" t="s">
        <v>23</v>
      </c>
      <c r="R281" s="3" t="str">
        <f>IFERROR(MID(VLOOKUP($B281,Seqs!$A:$B,2,0),S281,1),"")</f>
        <v/>
      </c>
      <c r="S281" s="3" t="s">
        <v>23</v>
      </c>
      <c r="T281" s="3" t="str">
        <f>IFERROR(MID(VLOOKUP($B281,Seqs!$A:$B,2,0),U281,1),"")</f>
        <v>G</v>
      </c>
      <c r="U281" s="3">
        <v>90</v>
      </c>
      <c r="V281" s="3" t="str">
        <f>IFERROR(MID(VLOOKUP($B281,Seqs!$A:$B,2,0),W281,1),"")</f>
        <v>R</v>
      </c>
      <c r="W281" s="3">
        <v>128</v>
      </c>
      <c r="X281" s="3" t="str">
        <f>IFERROR(MID(VLOOKUP($B281,Seqs!$A:$B,2,0),Y281,1),"")</f>
        <v/>
      </c>
      <c r="Y281" s="3" t="s">
        <v>23</v>
      </c>
      <c r="Z281" s="3" t="str">
        <f>IFERROR(MID(VLOOKUP($B281,Seqs!$A:$B,2,0),AA281,1),"")</f>
        <v/>
      </c>
      <c r="AA281" s="3" t="s">
        <v>23</v>
      </c>
      <c r="AB281" s="3" t="str">
        <f>IFERROR(MID(VLOOKUP($B281,Seqs!$A:$B,2,0),AC281,1),"")</f>
        <v>N</v>
      </c>
      <c r="AC281" s="9">
        <v>137</v>
      </c>
      <c r="AD281" s="3" t="str">
        <f>IFERROR(MID(VLOOKUP($B281,Seqs!$A:$B,2,0),AE281,1),"")</f>
        <v>T</v>
      </c>
      <c r="AE281" s="3">
        <v>163</v>
      </c>
      <c r="AF281" s="3" t="str">
        <f>IFERROR(MID(VLOOKUP($B281,Seqs!$A:$B,2,0),AG281,1),"")</f>
        <v>C</v>
      </c>
      <c r="AG281" s="3">
        <v>175</v>
      </c>
      <c r="AH281" s="3" t="str">
        <f>IFERROR(MID(VLOOKUP($B281,Seqs!$A:$B,2,0),AI281,1),"")</f>
        <v>F</v>
      </c>
      <c r="AI281" s="3">
        <v>177</v>
      </c>
      <c r="AJ281" s="3" t="str">
        <f>IFERROR(MID(VLOOKUP($B281,Seqs!$A:$B,2,0),AK281,1),"")</f>
        <v>E</v>
      </c>
      <c r="AK281" s="3">
        <v>181</v>
      </c>
      <c r="AL281" s="3" t="str">
        <f>IFERROR(MID(VLOOKUP($B281,Seqs!$A:$B,2,0),AM281,1),"")</f>
        <v>S</v>
      </c>
      <c r="AM281" s="3">
        <v>219</v>
      </c>
      <c r="AN281" s="3" t="str">
        <f>IFERROR(MID(VLOOKUP($B281,Seqs!$A:$B,2,0),AO281,1),"")</f>
        <v>V</v>
      </c>
      <c r="AO281" s="3">
        <v>236</v>
      </c>
      <c r="AP281" s="3" t="str">
        <f>IFERROR(MID(VLOOKUP($B281,Seqs!$A:$B,2,0),AQ281,1),"")</f>
        <v>R</v>
      </c>
      <c r="AQ281" s="3">
        <v>265</v>
      </c>
      <c r="AR281" s="3" t="str">
        <f>IFERROR(MID(VLOOKUP($B281,Seqs!$A:$B,2,0),AS281,1),"")</f>
        <v>D</v>
      </c>
      <c r="AS281" s="3">
        <v>269</v>
      </c>
      <c r="AT281" s="3" t="str">
        <f>IFERROR(MID(VLOOKUP($B281,Seqs!$A:$B,2,0),AU281,1),"")</f>
        <v>C</v>
      </c>
      <c r="AU281" s="3">
        <v>292</v>
      </c>
      <c r="AV281" s="3" t="str">
        <f>IFERROR(MID(VLOOKUP($B281,Seqs!$A:$B,2,0),AW281,1),"")</f>
        <v/>
      </c>
      <c r="AW281" s="3" t="s">
        <v>23</v>
      </c>
      <c r="AX281" s="3" t="str">
        <f>IFERROR(MID(VLOOKUP($B281,Seqs!$A:$B,2,0),AY281,1),"")</f>
        <v/>
      </c>
      <c r="AY281" s="3" t="s">
        <v>23</v>
      </c>
      <c r="AZ281" s="77" t="str">
        <f>VLOOKUP(B281,Classification!A:D,2,0)</f>
        <v>A</v>
      </c>
      <c r="BA281" s="94" t="str">
        <f>VLOOKUP(B281,Classification!A:D,4,0)</f>
        <v>P2Y</v>
      </c>
      <c r="BB281" s="27" t="b">
        <f t="shared" si="1453"/>
        <v>1</v>
      </c>
      <c r="BC281" s="23">
        <f t="shared" si="1426"/>
        <v>227</v>
      </c>
      <c r="BD281" s="4" t="s">
        <v>23</v>
      </c>
      <c r="BE281" s="3" t="s">
        <v>1429</v>
      </c>
      <c r="BF281" s="119">
        <v>3.1</v>
      </c>
      <c r="BG281" s="49" t="s">
        <v>1378</v>
      </c>
      <c r="BH281" s="49" t="s">
        <v>1378</v>
      </c>
      <c r="BI281" s="1"/>
      <c r="BJ281" s="70" t="s">
        <v>1288</v>
      </c>
      <c r="BK281" s="57" t="s">
        <v>1288</v>
      </c>
      <c r="BL281" s="57" t="s">
        <v>1288</v>
      </c>
      <c r="BM281" s="57" t="s">
        <v>1288</v>
      </c>
      <c r="BN281" s="57" t="s">
        <v>1288</v>
      </c>
      <c r="BO281" s="57" t="s">
        <v>1288</v>
      </c>
      <c r="BP281" s="57" t="s">
        <v>1288</v>
      </c>
      <c r="BQ281" s="57" t="s">
        <v>1288</v>
      </c>
      <c r="BR281" s="57" t="s">
        <v>1288</v>
      </c>
      <c r="BS281" s="57" t="s">
        <v>1288</v>
      </c>
      <c r="BT281" s="57" t="s">
        <v>1288</v>
      </c>
      <c r="BU281" s="57" t="s">
        <v>1288</v>
      </c>
      <c r="BV281" s="70">
        <f t="shared" si="1427"/>
        <v>23</v>
      </c>
      <c r="BW281" s="71" t="str">
        <f t="shared" si="1428"/>
        <v>-</v>
      </c>
      <c r="BX281" s="72">
        <f t="shared" si="1429"/>
        <v>57</v>
      </c>
      <c r="BY281" s="71" t="str">
        <f t="shared" si="1430"/>
        <v>-</v>
      </c>
      <c r="BZ281" s="72">
        <f t="shared" si="1431"/>
        <v>90</v>
      </c>
      <c r="CA281" s="71" t="str">
        <f t="shared" si="1432"/>
        <v>-</v>
      </c>
      <c r="CB281" s="72">
        <f t="shared" si="1433"/>
        <v>137</v>
      </c>
      <c r="CC281" s="71">
        <f t="shared" si="1434"/>
        <v>175</v>
      </c>
      <c r="CD281" s="72">
        <f t="shared" si="1435"/>
        <v>181</v>
      </c>
      <c r="CE281" s="71">
        <f t="shared" si="1436"/>
        <v>236</v>
      </c>
      <c r="CF281" s="72">
        <f t="shared" si="1437"/>
        <v>269</v>
      </c>
      <c r="CG281" s="71" t="str">
        <f t="shared" si="1438"/>
        <v>-</v>
      </c>
      <c r="CH281" s="70">
        <f t="shared" si="1439"/>
        <v>53</v>
      </c>
      <c r="CI281" s="71" t="str">
        <f t="shared" si="1440"/>
        <v>-</v>
      </c>
      <c r="CJ281" s="72">
        <f t="shared" si="1441"/>
        <v>86</v>
      </c>
      <c r="CK281" s="72" t="str">
        <f t="shared" si="1442"/>
        <v>-</v>
      </c>
      <c r="CL281" s="72">
        <f t="shared" si="1443"/>
        <v>128</v>
      </c>
      <c r="CM281" s="72" t="str">
        <f t="shared" si="1444"/>
        <v>-</v>
      </c>
      <c r="CN281" s="72">
        <f t="shared" si="1445"/>
        <v>163</v>
      </c>
      <c r="CO281" s="72">
        <f t="shared" si="1446"/>
        <v>177</v>
      </c>
      <c r="CP281" s="72">
        <f t="shared" si="1447"/>
        <v>219</v>
      </c>
      <c r="CQ281" s="72">
        <f t="shared" si="1448"/>
        <v>265</v>
      </c>
      <c r="CR281" s="72">
        <f t="shared" si="1449"/>
        <v>292</v>
      </c>
      <c r="CS281" s="72" t="str">
        <f t="shared" si="1450"/>
        <v>-</v>
      </c>
      <c r="CT281" s="23" t="e">
        <f t="shared" si="1451"/>
        <v>#VALUE!</v>
      </c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</row>
    <row r="282" spans="1:1029" x14ac:dyDescent="0.2">
      <c r="A282" s="3" t="str">
        <f t="shared" si="1452"/>
        <v>par1_human__wt</v>
      </c>
      <c r="B282" s="3" t="s">
        <v>355</v>
      </c>
      <c r="C282" s="3" t="s">
        <v>100</v>
      </c>
      <c r="D282" s="3" t="str">
        <f>IFERROR(MID(VLOOKUP($B282,Seqs!$A:$B,2,0),E282,1),"")</f>
        <v>S</v>
      </c>
      <c r="E282" s="3">
        <v>99</v>
      </c>
      <c r="F282" s="3" t="str">
        <f>IFERROR(MID(VLOOKUP($B282,Seqs!$A:$B,2,0),G282,1),"")</f>
        <v>K</v>
      </c>
      <c r="G282" s="3">
        <v>130</v>
      </c>
      <c r="H282" s="3" t="str">
        <f>IFERROR(MID(VLOOKUP($B282,Seqs!$A:$B,2,0),I282,1),"")</f>
        <v>M</v>
      </c>
      <c r="I282" s="23">
        <v>131</v>
      </c>
      <c r="J282" s="3" t="str">
        <f>IFERROR(MID(VLOOKUP($B282,Seqs!$A:$B,2,0),K282,1),"")</f>
        <v>K</v>
      </c>
      <c r="K282" s="23">
        <v>134</v>
      </c>
      <c r="L282" s="3" t="str">
        <f>IFERROR(MID(VLOOKUP($B282,Seqs!$A:$B,2,0),M282,1),"")</f>
        <v>K</v>
      </c>
      <c r="M282" s="3">
        <v>135</v>
      </c>
      <c r="N282" s="3" t="str">
        <f>IFERROR(MID(VLOOKUP($B282,Seqs!$A:$B,2,0),O282,1),"")</f>
        <v>S</v>
      </c>
      <c r="O282" s="3">
        <v>164</v>
      </c>
      <c r="P282" s="3" t="str">
        <f>IFERROR(MID(VLOOKUP($B282,Seqs!$A:$B,2,0),Q282,1),"")</f>
        <v>D</v>
      </c>
      <c r="Q282" s="3">
        <v>167</v>
      </c>
      <c r="R282" s="3" t="str">
        <f>IFERROR(MID(VLOOKUP($B282,Seqs!$A:$B,2,0),S282,1),"")</f>
        <v>F</v>
      </c>
      <c r="S282" s="3">
        <v>170</v>
      </c>
      <c r="T282" s="3" t="str">
        <f>IFERROR(MID(VLOOKUP($B282,Seqs!$A:$B,2,0),U282,1),"")</f>
        <v>G</v>
      </c>
      <c r="U282" s="3">
        <v>171</v>
      </c>
      <c r="V282" s="3" t="str">
        <f>IFERROR(MID(VLOOKUP($B282,Seqs!$A:$B,2,0),W282,1),"")</f>
        <v>Y</v>
      </c>
      <c r="W282" s="3">
        <v>206</v>
      </c>
      <c r="X282" s="3" t="str">
        <f>IFERROR(MID(VLOOKUP($B282,Seqs!$A:$B,2,0),Y282,1),"")</f>
        <v>P</v>
      </c>
      <c r="Y282" s="3">
        <v>207</v>
      </c>
      <c r="Z282" s="3" t="str">
        <f>IFERROR(MID(VLOOKUP($B282,Seqs!$A:$B,2,0),AA282,1),"")</f>
        <v>R</v>
      </c>
      <c r="AA282" s="3">
        <v>214</v>
      </c>
      <c r="AB282" s="3" t="str">
        <f>IFERROR(MID(VLOOKUP($B282,Seqs!$A:$B,2,0),AC282,1),"")</f>
        <v>T</v>
      </c>
      <c r="AC282" s="9">
        <v>215</v>
      </c>
      <c r="AD282" s="3" t="str">
        <f>IFERROR(MID(VLOOKUP($B282,Seqs!$A:$B,2,0),AE282,1),"")</f>
        <v>K</v>
      </c>
      <c r="AE282" s="3">
        <v>240</v>
      </c>
      <c r="AF282" s="3" t="str">
        <f>IFERROR(MID(VLOOKUP($B282,Seqs!$A:$B,2,0),AG282,1),"")</f>
        <v>C</v>
      </c>
      <c r="AG282" s="3">
        <v>254</v>
      </c>
      <c r="AH282" s="3" t="str">
        <f>IFERROR(MID(VLOOKUP($B282,Seqs!$A:$B,2,0),AI282,1),"")</f>
        <v>D</v>
      </c>
      <c r="AI282" s="3">
        <v>256</v>
      </c>
      <c r="AJ282" s="3" t="str">
        <f>IFERROR(MID(VLOOKUP($B282,Seqs!$A:$B,2,0),AK282,1),"")</f>
        <v>E</v>
      </c>
      <c r="AK282" s="3">
        <v>264</v>
      </c>
      <c r="AL282" s="3" t="str">
        <f>IFERROR(MID(VLOOKUP($B282,Seqs!$A:$B,2,0),AM282,1),"")</f>
        <v>S</v>
      </c>
      <c r="AM282" s="3">
        <v>299</v>
      </c>
      <c r="AN282" s="3" t="str">
        <f>IFERROR(MID(VLOOKUP($B282,Seqs!$A:$B,2,0),AO282,1),"")</f>
        <v>N</v>
      </c>
      <c r="AO282" s="3">
        <v>304</v>
      </c>
      <c r="AP282" s="3" t="str">
        <f>IFERROR(MID(VLOOKUP($B282,Seqs!$A:$B,2,0),AQ282,1),"")</f>
        <v>L</v>
      </c>
      <c r="AQ282" s="3">
        <v>340</v>
      </c>
      <c r="AR282" s="3" t="str">
        <f>IFERROR(MID(VLOOKUP($B282,Seqs!$A:$B,2,0),AS282,1),"")</f>
        <v>T</v>
      </c>
      <c r="AS282" s="3">
        <v>346</v>
      </c>
      <c r="AT282" s="3" t="str">
        <f>IFERROR(MID(VLOOKUP($B282,Seqs!$A:$B,2,0),AU282,1),"")</f>
        <v>A</v>
      </c>
      <c r="AU282" s="3">
        <v>374</v>
      </c>
      <c r="AV282" s="3" t="str">
        <f>IFERROR(MID(VLOOKUP($B282,Seqs!$A:$B,2,0),AW282,1),"")</f>
        <v>S</v>
      </c>
      <c r="AW282" s="3">
        <v>375</v>
      </c>
      <c r="AX282" s="3" t="str">
        <f>IFERROR(MID(VLOOKUP($B282,Seqs!$A:$B,2,0),AY282,1),"")</f>
        <v>K</v>
      </c>
      <c r="AY282" s="3">
        <v>389</v>
      </c>
      <c r="AZ282" s="77" t="str">
        <f>VLOOKUP(B282,Classification!A:D,2,0)</f>
        <v>A</v>
      </c>
      <c r="BA282" s="94" t="str">
        <f>VLOOKUP(B282,Classification!A:D,4,0)</f>
        <v>Proteinase-activated</v>
      </c>
      <c r="BB282" s="27" t="b">
        <f t="shared" si="1453"/>
        <v>1</v>
      </c>
      <c r="BC282" s="23">
        <f t="shared" si="1426"/>
        <v>260</v>
      </c>
      <c r="BD282" s="56" t="s">
        <v>23</v>
      </c>
      <c r="BE282" s="3" t="s">
        <v>23</v>
      </c>
      <c r="BF282" s="119" t="s">
        <v>23</v>
      </c>
      <c r="BG282" s="49" t="s">
        <v>1373</v>
      </c>
      <c r="BH282" s="49" t="s">
        <v>1378</v>
      </c>
      <c r="BI282" s="1"/>
      <c r="BJ282" s="70" t="s">
        <v>1288</v>
      </c>
      <c r="BK282" s="57" t="s">
        <v>1288</v>
      </c>
      <c r="BL282" s="57" t="s">
        <v>1288</v>
      </c>
      <c r="BM282" s="57" t="s">
        <v>1288</v>
      </c>
      <c r="BN282" s="57" t="s">
        <v>1288</v>
      </c>
      <c r="BO282" s="57" t="s">
        <v>1288</v>
      </c>
      <c r="BP282" s="57" t="s">
        <v>1288</v>
      </c>
      <c r="BQ282" s="57" t="s">
        <v>1288</v>
      </c>
      <c r="BR282" s="57" t="s">
        <v>1288</v>
      </c>
      <c r="BS282" s="57" t="s">
        <v>1288</v>
      </c>
      <c r="BT282" s="57" t="s">
        <v>1288</v>
      </c>
      <c r="BU282" s="57" t="s">
        <v>1288</v>
      </c>
      <c r="BV282" s="70">
        <f t="shared" si="1427"/>
        <v>99</v>
      </c>
      <c r="BW282" s="71">
        <f t="shared" si="1428"/>
        <v>131</v>
      </c>
      <c r="BX282" s="72">
        <f t="shared" si="1429"/>
        <v>135</v>
      </c>
      <c r="BY282" s="71">
        <f t="shared" si="1430"/>
        <v>167</v>
      </c>
      <c r="BZ282" s="72">
        <f t="shared" si="1431"/>
        <v>171</v>
      </c>
      <c r="CA282" s="71">
        <f t="shared" si="1432"/>
        <v>207</v>
      </c>
      <c r="CB282" s="72">
        <f t="shared" si="1433"/>
        <v>215</v>
      </c>
      <c r="CC282" s="71">
        <f t="shared" si="1434"/>
        <v>254</v>
      </c>
      <c r="CD282" s="72">
        <f t="shared" si="1435"/>
        <v>264</v>
      </c>
      <c r="CE282" s="71">
        <f t="shared" si="1436"/>
        <v>304</v>
      </c>
      <c r="CF282" s="72">
        <f t="shared" si="1437"/>
        <v>346</v>
      </c>
      <c r="CG282" s="71">
        <f t="shared" si="1438"/>
        <v>375</v>
      </c>
      <c r="CH282" s="70">
        <f t="shared" si="1439"/>
        <v>130</v>
      </c>
      <c r="CI282" s="71">
        <f t="shared" si="1440"/>
        <v>134</v>
      </c>
      <c r="CJ282" s="72">
        <f t="shared" si="1441"/>
        <v>164</v>
      </c>
      <c r="CK282" s="72">
        <f t="shared" si="1442"/>
        <v>170</v>
      </c>
      <c r="CL282" s="72">
        <f t="shared" si="1443"/>
        <v>206</v>
      </c>
      <c r="CM282" s="72">
        <f t="shared" si="1444"/>
        <v>214</v>
      </c>
      <c r="CN282" s="72">
        <f t="shared" si="1445"/>
        <v>240</v>
      </c>
      <c r="CO282" s="72">
        <f t="shared" si="1446"/>
        <v>256</v>
      </c>
      <c r="CP282" s="72">
        <f t="shared" si="1447"/>
        <v>299</v>
      </c>
      <c r="CQ282" s="72">
        <f t="shared" si="1448"/>
        <v>340</v>
      </c>
      <c r="CR282" s="72">
        <f t="shared" si="1449"/>
        <v>374</v>
      </c>
      <c r="CS282" s="72">
        <f t="shared" si="1450"/>
        <v>389</v>
      </c>
      <c r="CT282" s="23">
        <f t="shared" si="1451"/>
        <v>1</v>
      </c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</row>
    <row r="283" spans="1:1029" x14ac:dyDescent="0.2">
      <c r="A283" s="3" t="str">
        <f t="shared" si="1452"/>
        <v>par1_human_3VW7</v>
      </c>
      <c r="B283" s="3" t="s">
        <v>355</v>
      </c>
      <c r="C283" s="3" t="s">
        <v>93</v>
      </c>
      <c r="D283" s="3" t="str">
        <f>IFERROR(MID(VLOOKUP($B283,Seqs!$A:$B,2,0),E283,1),"")</f>
        <v>S</v>
      </c>
      <c r="E283" s="3">
        <v>99</v>
      </c>
      <c r="F283" s="3" t="str">
        <f>IFERROR(MID(VLOOKUP($B283,Seqs!$A:$B,2,0),G283,1),"")</f>
        <v>K</v>
      </c>
      <c r="G283" s="3">
        <v>130</v>
      </c>
      <c r="H283" s="3" t="str">
        <f>IFERROR(MID(VLOOKUP($B283,Seqs!$A:$B,2,0),I283,1),"")</f>
        <v/>
      </c>
      <c r="I283" s="23" t="s">
        <v>23</v>
      </c>
      <c r="J283" s="3" t="str">
        <f>IFERROR(MID(VLOOKUP($B283,Seqs!$A:$B,2,0),K283,1),"")</f>
        <v/>
      </c>
      <c r="K283" s="23" t="s">
        <v>23</v>
      </c>
      <c r="L283" s="3" t="str">
        <f>IFERROR(MID(VLOOKUP($B283,Seqs!$A:$B,2,0),M283,1),"")</f>
        <v>K</v>
      </c>
      <c r="M283" s="3">
        <v>135</v>
      </c>
      <c r="N283" s="3" t="str">
        <f>IFERROR(MID(VLOOKUP($B283,Seqs!$A:$B,2,0),O283,1),"")</f>
        <v>S</v>
      </c>
      <c r="O283" s="3">
        <v>164</v>
      </c>
      <c r="P283" s="3" t="str">
        <f>IFERROR(MID(VLOOKUP($B283,Seqs!$A:$B,2,0),Q283,1),"")</f>
        <v>D</v>
      </c>
      <c r="Q283" s="3">
        <v>167</v>
      </c>
      <c r="R283" s="3" t="str">
        <f>IFERROR(MID(VLOOKUP($B283,Seqs!$A:$B,2,0),S283,1),"")</f>
        <v>F</v>
      </c>
      <c r="S283" s="3">
        <v>170</v>
      </c>
      <c r="T283" s="3" t="str">
        <f>IFERROR(MID(VLOOKUP($B283,Seqs!$A:$B,2,0),U283,1),"")</f>
        <v>G</v>
      </c>
      <c r="U283" s="3">
        <v>171</v>
      </c>
      <c r="V283" s="3" t="str">
        <f>IFERROR(MID(VLOOKUP($B283,Seqs!$A:$B,2,0),W283,1),"")</f>
        <v>Y</v>
      </c>
      <c r="W283" s="3">
        <v>206</v>
      </c>
      <c r="X283" s="3" t="str">
        <f>IFERROR(MID(VLOOKUP($B283,Seqs!$A:$B,2,0),Y283,1),"")</f>
        <v/>
      </c>
      <c r="Y283" s="3" t="s">
        <v>23</v>
      </c>
      <c r="Z283" s="3" t="str">
        <f>IFERROR(MID(VLOOKUP($B283,Seqs!$A:$B,2,0),AA283,1),"")</f>
        <v/>
      </c>
      <c r="AA283" s="3" t="s">
        <v>23</v>
      </c>
      <c r="AB283" s="3" t="str">
        <f>IFERROR(MID(VLOOKUP($B283,Seqs!$A:$B,2,0),AC283,1),"")</f>
        <v>T</v>
      </c>
      <c r="AC283" s="9">
        <v>215</v>
      </c>
      <c r="AD283" s="3" t="str">
        <f>IFERROR(MID(VLOOKUP($B283,Seqs!$A:$B,2,0),AE283,1),"")</f>
        <v>K</v>
      </c>
      <c r="AE283" s="3">
        <v>240</v>
      </c>
      <c r="AF283" s="3" t="str">
        <f>IFERROR(MID(VLOOKUP($B283,Seqs!$A:$B,2,0),AG283,1),"")</f>
        <v>C</v>
      </c>
      <c r="AG283" s="3">
        <v>254</v>
      </c>
      <c r="AH283" s="3" t="str">
        <f>IFERROR(MID(VLOOKUP($B283,Seqs!$A:$B,2,0),AI283,1),"")</f>
        <v>D</v>
      </c>
      <c r="AI283" s="3">
        <v>256</v>
      </c>
      <c r="AJ283" s="3" t="str">
        <f>IFERROR(MID(VLOOKUP($B283,Seqs!$A:$B,2,0),AK283,1),"")</f>
        <v>E</v>
      </c>
      <c r="AK283" s="3">
        <v>264</v>
      </c>
      <c r="AL283" s="3" t="str">
        <f>IFERROR(MID(VLOOKUP($B283,Seqs!$A:$B,2,0),AM283,1),"")</f>
        <v>S</v>
      </c>
      <c r="AM283" s="3">
        <v>300</v>
      </c>
      <c r="AN283" s="3" t="str">
        <f>IFERROR(MID(VLOOKUP($B283,Seqs!$A:$B,2,0),AO283,1),"")</f>
        <v>N</v>
      </c>
      <c r="AO283" s="3">
        <v>304</v>
      </c>
      <c r="AP283" s="3" t="str">
        <f>IFERROR(MID(VLOOKUP($B283,Seqs!$A:$B,2,0),AQ283,1),"")</f>
        <v>L</v>
      </c>
      <c r="AQ283" s="3">
        <v>340</v>
      </c>
      <c r="AR283" s="3" t="str">
        <f>IFERROR(MID(VLOOKUP($B283,Seqs!$A:$B,2,0),AS283,1),"")</f>
        <v>T</v>
      </c>
      <c r="AS283" s="3">
        <v>346</v>
      </c>
      <c r="AT283" s="3" t="str">
        <f>IFERROR(MID(VLOOKUP($B283,Seqs!$A:$B,2,0),AU283,1),"")</f>
        <v>Y</v>
      </c>
      <c r="AU283" s="3">
        <v>372</v>
      </c>
      <c r="AV283" s="3" t="str">
        <f>IFERROR(MID(VLOOKUP($B283,Seqs!$A:$B,2,0),AW283,1),"")</f>
        <v/>
      </c>
      <c r="AW283" s="3" t="s">
        <v>23</v>
      </c>
      <c r="AX283" s="3" t="str">
        <f>IFERROR(MID(VLOOKUP($B283,Seqs!$A:$B,2,0),AY283,1),"")</f>
        <v/>
      </c>
      <c r="AY283" s="3" t="s">
        <v>23</v>
      </c>
      <c r="AZ283" s="77" t="str">
        <f>VLOOKUP(B283,Classification!A:D,2,0)</f>
        <v>A</v>
      </c>
      <c r="BA283" s="94" t="str">
        <f>VLOOKUP(B283,Classification!A:D,4,0)</f>
        <v>Proteinase-activated</v>
      </c>
      <c r="BB283" s="27" t="b">
        <f t="shared" si="1453"/>
        <v>1</v>
      </c>
      <c r="BC283" s="23">
        <f t="shared" si="1426"/>
        <v>235</v>
      </c>
      <c r="BD283" s="2" t="s">
        <v>1430</v>
      </c>
      <c r="BE283" s="3" t="s">
        <v>1429</v>
      </c>
      <c r="BF283" s="119">
        <v>2.2000000000000002</v>
      </c>
      <c r="BG283" s="49" t="s">
        <v>1378</v>
      </c>
      <c r="BH283" s="49" t="s">
        <v>1378</v>
      </c>
      <c r="BI283" s="1"/>
      <c r="BJ283" s="70" t="s">
        <v>1288</v>
      </c>
      <c r="BK283" s="57" t="s">
        <v>1288</v>
      </c>
      <c r="BL283" s="57" t="s">
        <v>1288</v>
      </c>
      <c r="BM283" s="57" t="s">
        <v>1288</v>
      </c>
      <c r="BN283" s="57" t="s">
        <v>1288</v>
      </c>
      <c r="BO283" s="57" t="s">
        <v>1288</v>
      </c>
      <c r="BP283" s="57" t="s">
        <v>1288</v>
      </c>
      <c r="BQ283" s="57" t="s">
        <v>1288</v>
      </c>
      <c r="BR283" s="57" t="s">
        <v>1288</v>
      </c>
      <c r="BS283" s="57" t="s">
        <v>1288</v>
      </c>
      <c r="BT283" s="57" t="s">
        <v>1288</v>
      </c>
      <c r="BU283" s="57" t="s">
        <v>1288</v>
      </c>
      <c r="BV283" s="70">
        <f t="shared" si="1427"/>
        <v>99</v>
      </c>
      <c r="BW283" s="71" t="str">
        <f t="shared" si="1428"/>
        <v>-</v>
      </c>
      <c r="BX283" s="72">
        <f t="shared" si="1429"/>
        <v>135</v>
      </c>
      <c r="BY283" s="71">
        <f t="shared" si="1430"/>
        <v>167</v>
      </c>
      <c r="BZ283" s="72">
        <f t="shared" si="1431"/>
        <v>171</v>
      </c>
      <c r="CA283" s="71" t="str">
        <f t="shared" si="1432"/>
        <v>-</v>
      </c>
      <c r="CB283" s="72">
        <f t="shared" si="1433"/>
        <v>215</v>
      </c>
      <c r="CC283" s="71">
        <f t="shared" si="1434"/>
        <v>254</v>
      </c>
      <c r="CD283" s="72">
        <f t="shared" si="1435"/>
        <v>264</v>
      </c>
      <c r="CE283" s="71">
        <f t="shared" si="1436"/>
        <v>304</v>
      </c>
      <c r="CF283" s="72">
        <f t="shared" si="1437"/>
        <v>346</v>
      </c>
      <c r="CG283" s="71" t="str">
        <f t="shared" si="1438"/>
        <v>-</v>
      </c>
      <c r="CH283" s="70">
        <f t="shared" si="1439"/>
        <v>130</v>
      </c>
      <c r="CI283" s="71" t="str">
        <f t="shared" si="1440"/>
        <v>-</v>
      </c>
      <c r="CJ283" s="72">
        <f t="shared" si="1441"/>
        <v>164</v>
      </c>
      <c r="CK283" s="72">
        <f t="shared" si="1442"/>
        <v>170</v>
      </c>
      <c r="CL283" s="72">
        <f t="shared" si="1443"/>
        <v>206</v>
      </c>
      <c r="CM283" s="72" t="str">
        <f t="shared" si="1444"/>
        <v>-</v>
      </c>
      <c r="CN283" s="72">
        <f t="shared" si="1445"/>
        <v>240</v>
      </c>
      <c r="CO283" s="72">
        <f t="shared" si="1446"/>
        <v>256</v>
      </c>
      <c r="CP283" s="72">
        <f t="shared" si="1447"/>
        <v>300</v>
      </c>
      <c r="CQ283" s="72">
        <f t="shared" si="1448"/>
        <v>340</v>
      </c>
      <c r="CR283" s="72">
        <f t="shared" si="1449"/>
        <v>372</v>
      </c>
      <c r="CS283" s="72" t="str">
        <f t="shared" si="1450"/>
        <v>-</v>
      </c>
      <c r="CT283" s="23" t="e">
        <f t="shared" si="1451"/>
        <v>#VALUE!</v>
      </c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</row>
    <row r="284" spans="1:1029" x14ac:dyDescent="0.2">
      <c r="A284" s="3" t="str">
        <f t="shared" ref="A284:A303" si="1510">CONCATENATE(B284,"_",C284)</f>
        <v>par2_human__wt</v>
      </c>
      <c r="B284" s="3" t="s">
        <v>356</v>
      </c>
      <c r="C284" s="3" t="s">
        <v>100</v>
      </c>
      <c r="D284" s="3" t="str">
        <f>IFERROR(MID(VLOOKUP($B284,Seqs!$A:$B,2,0),E284,1),"")</f>
        <v>G</v>
      </c>
      <c r="E284" s="3">
        <v>71</v>
      </c>
      <c r="F284" s="3" t="str">
        <f>IFERROR(MID(VLOOKUP($B284,Seqs!$A:$B,2,0),G284,1),"")</f>
        <v>R</v>
      </c>
      <c r="G284" s="3">
        <v>103</v>
      </c>
      <c r="H284" s="3" t="str">
        <f>IFERROR(MID(VLOOKUP($B284,Seqs!$A:$B,2,0),I284,1),"")</f>
        <v/>
      </c>
      <c r="I284" s="23" t="s">
        <v>23</v>
      </c>
      <c r="J284" s="3" t="str">
        <f>IFERROR(MID(VLOOKUP($B284,Seqs!$A:$B,2,0),K284,1),"")</f>
        <v/>
      </c>
      <c r="K284" s="23" t="s">
        <v>23</v>
      </c>
      <c r="L284" s="3" t="str">
        <f>IFERROR(MID(VLOOKUP($B284,Seqs!$A:$B,2,0),M284,1),"")</f>
        <v>H</v>
      </c>
      <c r="M284" s="3">
        <v>108</v>
      </c>
      <c r="N284" s="3" t="str">
        <f>IFERROR(MID(VLOOKUP($B284,Seqs!$A:$B,2,0),O284,1),"")</f>
        <v>H</v>
      </c>
      <c r="O284" s="3">
        <v>137</v>
      </c>
      <c r="P284" s="3" t="str">
        <f>IFERROR(MID(VLOOKUP($B284,Seqs!$A:$B,2,0),Q284,1),"")</f>
        <v>G</v>
      </c>
      <c r="Q284" s="3">
        <v>138</v>
      </c>
      <c r="R284" s="3" t="str">
        <f>IFERROR(MID(VLOOKUP($B284,Seqs!$A:$B,2,0),S284,1),"")</f>
        <v>Y</v>
      </c>
      <c r="S284" s="3">
        <v>143</v>
      </c>
      <c r="T284" s="3" t="str">
        <f>IFERROR(MID(VLOOKUP($B284,Seqs!$A:$B,2,0),U284,1),"")</f>
        <v>G</v>
      </c>
      <c r="U284" s="3">
        <v>144</v>
      </c>
      <c r="V284" s="3" t="str">
        <f>IFERROR(MID(VLOOKUP($B284,Seqs!$A:$B,2,0),W284,1),"")</f>
        <v>N</v>
      </c>
      <c r="W284" s="3">
        <v>179</v>
      </c>
      <c r="X284" s="3" t="str">
        <f>IFERROR(MID(VLOOKUP($B284,Seqs!$A:$B,2,0),Y284,1),"")</f>
        <v>P</v>
      </c>
      <c r="Y284" s="3">
        <v>180</v>
      </c>
      <c r="Z284" s="3" t="str">
        <f>IFERROR(MID(VLOOKUP($B284,Seqs!$A:$B,2,0),AA284,1),"")</f>
        <v>K</v>
      </c>
      <c r="AA284" s="3">
        <v>186</v>
      </c>
      <c r="AB284" s="3" t="str">
        <f>IFERROR(MID(VLOOKUP($B284,Seqs!$A:$B,2,0),AC284,1),"")</f>
        <v>K</v>
      </c>
      <c r="AC284" s="3">
        <v>187</v>
      </c>
      <c r="AD284" s="3" t="str">
        <f>IFERROR(MID(VLOOKUP($B284,Seqs!$A:$B,2,0),AE284,1),"")</f>
        <v>V</v>
      </c>
      <c r="AE284" s="3">
        <v>211</v>
      </c>
      <c r="AF284" s="3" t="str">
        <f>IFERROR(MID(VLOOKUP($B284,Seqs!$A:$B,2,0),AG284,1),"")</f>
        <v>C</v>
      </c>
      <c r="AG284" s="3">
        <v>226</v>
      </c>
      <c r="AH284" s="3" t="str">
        <f>IFERROR(MID(VLOOKUP($B284,Seqs!$A:$B,2,0),AI284,1),"")</f>
        <v>D</v>
      </c>
      <c r="AI284" s="3">
        <v>228</v>
      </c>
      <c r="AJ284" s="3" t="str">
        <f>IFERROR(MID(VLOOKUP($B284,Seqs!$A:$B,2,0),AK284,1),"")</f>
        <v>L</v>
      </c>
      <c r="AK284" s="3">
        <v>235</v>
      </c>
      <c r="AL284" s="3" t="str">
        <f>IFERROR(MID(VLOOKUP($B284,Seqs!$A:$B,2,0),AM284,1),"")</f>
        <v>S</v>
      </c>
      <c r="AM284" s="3">
        <v>272</v>
      </c>
      <c r="AN284" s="3" t="str">
        <f>IFERROR(MID(VLOOKUP($B284,Seqs!$A:$B,2,0),AO284,1),"")</f>
        <v>S</v>
      </c>
      <c r="AO284" s="3">
        <v>278</v>
      </c>
      <c r="AP284" s="3" t="str">
        <f>IFERROR(MID(VLOOKUP($B284,Seqs!$A:$B,2,0),AQ284,1),"")</f>
        <v>Q</v>
      </c>
      <c r="AQ284" s="3">
        <v>317</v>
      </c>
      <c r="AR284" s="3" t="str">
        <f>IFERROR(MID(VLOOKUP($B284,Seqs!$A:$B,2,0),AS284,1),"")</f>
        <v>V</v>
      </c>
      <c r="AS284" s="3">
        <v>322</v>
      </c>
      <c r="AT284" s="3" t="str">
        <f>IFERROR(MID(VLOOKUP($B284,Seqs!$A:$B,2,0),AU284,1),"")</f>
        <v>V</v>
      </c>
      <c r="AU284" s="3">
        <v>347</v>
      </c>
      <c r="AV284" s="3" t="str">
        <f>IFERROR(MID(VLOOKUP($B284,Seqs!$A:$B,2,0),AW284,1),"")</f>
        <v>S</v>
      </c>
      <c r="AW284" s="3">
        <v>348</v>
      </c>
      <c r="AX284" s="3" t="str">
        <f>IFERROR(MID(VLOOKUP($B284,Seqs!$A:$B,2,0),AY284,1),"")</f>
        <v>R</v>
      </c>
      <c r="AY284" s="3">
        <v>362</v>
      </c>
      <c r="AZ284" s="77" t="str">
        <f>VLOOKUP(B284,Classification!A:D,2,0)</f>
        <v>A</v>
      </c>
      <c r="BA284" s="94" t="str">
        <f>VLOOKUP(B284,Classification!A:D,4,0)</f>
        <v>Proteinase-activated</v>
      </c>
      <c r="BB284" s="27" t="b">
        <f t="shared" ref="BB284:BB303" si="1511">AND(E284&lt;G284,OR(G284&lt;I284,I284="-"),OR(I284&lt;K284,I284="-"),OR(K284&lt;M284,K284="-"),M284&lt;O284,OR(O284&lt;Q284,Q284="-"),OR(Q284&lt;S284,Q284="-"),OR(S284&lt;U284,S284="-"),U284&lt;W284,OR(W284&lt;Y284,Y284="-"),OR(Y284&lt;AA284,Y284="-"),OR(AA284&lt;AC284,AA284="-"),AC284&lt;AE284,OR(AE284&lt;AG284,AG284="-"),OR(AG284&lt;AI284,AG284="-"),OR(AI284&lt;AK284,AI284="-"),AK284&lt;AM284,AM284&lt;AO284,AO284&lt;AQ284,AQ284&lt;AS284,AS284&lt;AU284,OR(AU284&lt;AW284,AW284="-"),OR(AW284&lt;AY284,AW284="-"))</f>
        <v>1</v>
      </c>
      <c r="BC284" s="23">
        <f t="shared" ref="BC284:BC303" si="1512">_xlfn.AGGREGATE(9,6,CH284:CS284)-_xlfn.AGGREGATE(9,6,BV284:CG284)+12</f>
        <v>260</v>
      </c>
      <c r="BD284" s="2" t="s">
        <v>23</v>
      </c>
      <c r="BE284" s="3" t="s">
        <v>23</v>
      </c>
      <c r="BF284" s="119" t="s">
        <v>23</v>
      </c>
      <c r="BG284" s="49" t="s">
        <v>1378</v>
      </c>
      <c r="BH284" s="49" t="s">
        <v>1378</v>
      </c>
      <c r="BI284" s="1"/>
      <c r="BJ284" s="70" t="s">
        <v>1288</v>
      </c>
      <c r="BK284" s="57" t="s">
        <v>1288</v>
      </c>
      <c r="BL284" s="57" t="s">
        <v>1288</v>
      </c>
      <c r="BM284" s="57" t="s">
        <v>1288</v>
      </c>
      <c r="BN284" s="57" t="s">
        <v>1288</v>
      </c>
      <c r="BO284" s="57" t="s">
        <v>1288</v>
      </c>
      <c r="BP284" s="57" t="s">
        <v>1288</v>
      </c>
      <c r="BQ284" s="57" t="s">
        <v>1288</v>
      </c>
      <c r="BR284" s="57" t="s">
        <v>1288</v>
      </c>
      <c r="BS284" s="57" t="s">
        <v>1288</v>
      </c>
      <c r="BT284" s="57" t="s">
        <v>1288</v>
      </c>
      <c r="BU284" s="57" t="s">
        <v>1288</v>
      </c>
      <c r="BV284" s="70">
        <f t="shared" ref="BV284:BV303" si="1513">E284</f>
        <v>71</v>
      </c>
      <c r="BW284" s="71" t="str">
        <f t="shared" ref="BW284:BW303" si="1514">I284</f>
        <v>-</v>
      </c>
      <c r="BX284" s="72">
        <f t="shared" ref="BX284:BX303" si="1515">M284</f>
        <v>108</v>
      </c>
      <c r="BY284" s="71">
        <f t="shared" ref="BY284:BY303" si="1516">Q284</f>
        <v>138</v>
      </c>
      <c r="BZ284" s="72">
        <f t="shared" ref="BZ284:BZ303" si="1517">U284</f>
        <v>144</v>
      </c>
      <c r="CA284" s="71">
        <f t="shared" ref="CA284:CA303" si="1518">Y284</f>
        <v>180</v>
      </c>
      <c r="CB284" s="72">
        <f t="shared" ref="CB284:CB303" si="1519">AC284</f>
        <v>187</v>
      </c>
      <c r="CC284" s="71">
        <f t="shared" ref="CC284:CC303" si="1520">AG284</f>
        <v>226</v>
      </c>
      <c r="CD284" s="72">
        <f t="shared" ref="CD284:CD303" si="1521">AK284</f>
        <v>235</v>
      </c>
      <c r="CE284" s="71">
        <f t="shared" ref="CE284:CE303" si="1522">AO284</f>
        <v>278</v>
      </c>
      <c r="CF284" s="72">
        <f t="shared" ref="CF284:CF303" si="1523">AS284</f>
        <v>322</v>
      </c>
      <c r="CG284" s="71">
        <f t="shared" ref="CG284:CG303" si="1524">AW284</f>
        <v>348</v>
      </c>
      <c r="CH284" s="70">
        <f t="shared" ref="CH284:CH303" si="1525">G284</f>
        <v>103</v>
      </c>
      <c r="CI284" s="71" t="str">
        <f t="shared" ref="CI284:CI303" si="1526">K284</f>
        <v>-</v>
      </c>
      <c r="CJ284" s="72">
        <f t="shared" ref="CJ284:CJ303" si="1527">O284</f>
        <v>137</v>
      </c>
      <c r="CK284" s="72">
        <f t="shared" ref="CK284:CK303" si="1528">S284</f>
        <v>143</v>
      </c>
      <c r="CL284" s="72">
        <f t="shared" ref="CL284:CL303" si="1529">W284</f>
        <v>179</v>
      </c>
      <c r="CM284" s="72">
        <f t="shared" ref="CM284:CM303" si="1530">AA284</f>
        <v>186</v>
      </c>
      <c r="CN284" s="72">
        <f t="shared" ref="CN284:CN303" si="1531">AE284</f>
        <v>211</v>
      </c>
      <c r="CO284" s="72">
        <f t="shared" ref="CO284:CO303" si="1532">AI284</f>
        <v>228</v>
      </c>
      <c r="CP284" s="72">
        <f t="shared" ref="CP284:CP303" si="1533">AM284</f>
        <v>272</v>
      </c>
      <c r="CQ284" s="72">
        <f t="shared" ref="CQ284:CQ303" si="1534">AQ284</f>
        <v>317</v>
      </c>
      <c r="CR284" s="72">
        <f t="shared" ref="CR284:CR303" si="1535">AU284</f>
        <v>347</v>
      </c>
      <c r="CS284" s="72">
        <f t="shared" ref="CS284:CS303" si="1536">AY284</f>
        <v>362</v>
      </c>
      <c r="CT284" s="23" t="e">
        <f t="shared" ref="CT284:CT303" si="1537">M284-K284</f>
        <v>#VALUE!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29" x14ac:dyDescent="0.2">
      <c r="A285" s="3" t="str">
        <f t="shared" si="1510"/>
        <v>par2_human_5NDD</v>
      </c>
      <c r="B285" s="3" t="s">
        <v>356</v>
      </c>
      <c r="C285" s="3" t="s">
        <v>1397</v>
      </c>
      <c r="D285" s="3" t="str">
        <f>IFERROR(MID(VLOOKUP($B285,Seqs!$A:$B,2,0),E285,1),"")</f>
        <v>G</v>
      </c>
      <c r="E285" s="3">
        <v>71</v>
      </c>
      <c r="F285" s="3" t="str">
        <f>IFERROR(MID(VLOOKUP($B285,Seqs!$A:$B,2,0),G285,1),"")</f>
        <v>R</v>
      </c>
      <c r="G285" s="3">
        <v>103</v>
      </c>
      <c r="H285" s="3" t="str">
        <f>IFERROR(MID(VLOOKUP($B285,Seqs!$A:$B,2,0),I285,1),"")</f>
        <v/>
      </c>
      <c r="I285" s="23" t="s">
        <v>23</v>
      </c>
      <c r="J285" s="3" t="str">
        <f>IFERROR(MID(VLOOKUP($B285,Seqs!$A:$B,2,0),K285,1),"")</f>
        <v/>
      </c>
      <c r="K285" s="23" t="s">
        <v>23</v>
      </c>
      <c r="L285" s="3" t="str">
        <f>IFERROR(MID(VLOOKUP($B285,Seqs!$A:$B,2,0),M285,1),"")</f>
        <v>H</v>
      </c>
      <c r="M285" s="3">
        <v>108</v>
      </c>
      <c r="N285" s="3" t="str">
        <f>IFERROR(MID(VLOOKUP($B285,Seqs!$A:$B,2,0),O285,1),"")</f>
        <v>H</v>
      </c>
      <c r="O285" s="3">
        <v>137</v>
      </c>
      <c r="P285" s="3" t="str">
        <f>IFERROR(MID(VLOOKUP($B285,Seqs!$A:$B,2,0),Q285,1),"")</f>
        <v>G</v>
      </c>
      <c r="Q285" s="3">
        <v>138</v>
      </c>
      <c r="R285" s="3" t="str">
        <f>IFERROR(MID(VLOOKUP($B285,Seqs!$A:$B,2,0),S285,1),"")</f>
        <v>Y</v>
      </c>
      <c r="S285" s="3">
        <v>143</v>
      </c>
      <c r="T285" s="3" t="str">
        <f>IFERROR(MID(VLOOKUP($B285,Seqs!$A:$B,2,0),U285,1),"")</f>
        <v>G</v>
      </c>
      <c r="U285" s="3">
        <v>144</v>
      </c>
      <c r="V285" s="3" t="str">
        <f>IFERROR(MID(VLOOKUP($B285,Seqs!$A:$B,2,0),W285,1),"")</f>
        <v>N</v>
      </c>
      <c r="W285" s="3">
        <v>179</v>
      </c>
      <c r="X285" s="3" t="str">
        <f>IFERROR(MID(VLOOKUP($B285,Seqs!$A:$B,2,0),Y285,1),"")</f>
        <v/>
      </c>
      <c r="Y285" s="3" t="s">
        <v>23</v>
      </c>
      <c r="Z285" s="3" t="str">
        <f>IFERROR(MID(VLOOKUP($B285,Seqs!$A:$B,2,0),AA285,1),"")</f>
        <v/>
      </c>
      <c r="AA285" s="3" t="s">
        <v>23</v>
      </c>
      <c r="AB285" s="3" t="str">
        <f>IFERROR(MID(VLOOKUP($B285,Seqs!$A:$B,2,0),AC285,1),"")</f>
        <v>H</v>
      </c>
      <c r="AC285" s="3">
        <v>183</v>
      </c>
      <c r="AD285" s="3" t="str">
        <f>IFERROR(MID(VLOOKUP($B285,Seqs!$A:$B,2,0),AE285,1),"")</f>
        <v>V</v>
      </c>
      <c r="AE285" s="3">
        <v>211</v>
      </c>
      <c r="AF285" s="3" t="str">
        <f>IFERROR(MID(VLOOKUP($B285,Seqs!$A:$B,2,0),AG285,1),"")</f>
        <v>C</v>
      </c>
      <c r="AG285" s="3">
        <v>226</v>
      </c>
      <c r="AH285" s="3" t="str">
        <f>IFERROR(MID(VLOOKUP($B285,Seqs!$A:$B,2,0),AI285,1),"")</f>
        <v>D</v>
      </c>
      <c r="AI285" s="3">
        <v>228</v>
      </c>
      <c r="AJ285" s="3" t="str">
        <f>IFERROR(MID(VLOOKUP($B285,Seqs!$A:$B,2,0),AK285,1),"")</f>
        <v>L</v>
      </c>
      <c r="AK285" s="3">
        <v>235</v>
      </c>
      <c r="AL285" s="3" t="str">
        <f>IFERROR(MID(VLOOKUP($B285,Seqs!$A:$B,2,0),AM285,1),"")</f>
        <v>L</v>
      </c>
      <c r="AM285" s="3">
        <v>269</v>
      </c>
      <c r="AN285" s="3" t="str">
        <f>IFERROR(MID(VLOOKUP($B285,Seqs!$A:$B,2,0),AO285,1),"")</f>
        <v>S</v>
      </c>
      <c r="AO285" s="3">
        <v>278</v>
      </c>
      <c r="AP285" s="3" t="str">
        <f>IFERROR(MID(VLOOKUP($B285,Seqs!$A:$B,2,0),AQ285,1),"")</f>
        <v>Q</v>
      </c>
      <c r="AQ285" s="3">
        <v>317</v>
      </c>
      <c r="AR285" s="3" t="str">
        <f>IFERROR(MID(VLOOKUP($B285,Seqs!$A:$B,2,0),AS285,1),"")</f>
        <v>V</v>
      </c>
      <c r="AS285" s="3">
        <v>322</v>
      </c>
      <c r="AT285" s="3" t="str">
        <f>IFERROR(MID(VLOOKUP($B285,Seqs!$A:$B,2,0),AU285,1),"")</f>
        <v>V</v>
      </c>
      <c r="AU285" s="3">
        <v>347</v>
      </c>
      <c r="AV285" s="3" t="str">
        <f>IFERROR(MID(VLOOKUP($B285,Seqs!$A:$B,2,0),AW285,1),"")</f>
        <v>S</v>
      </c>
      <c r="AW285" s="3">
        <v>348</v>
      </c>
      <c r="AX285" s="3" t="str">
        <f>IFERROR(MID(VLOOKUP($B285,Seqs!$A:$B,2,0),AY285,1),"")</f>
        <v>L</v>
      </c>
      <c r="AY285" s="3">
        <v>359</v>
      </c>
      <c r="AZ285" s="77" t="str">
        <f>VLOOKUP(B285,Classification!A:D,2,0)</f>
        <v>A</v>
      </c>
      <c r="BA285" s="94" t="str">
        <f>VLOOKUP(B285,Classification!A:D,4,0)</f>
        <v>Proteinase-activated</v>
      </c>
      <c r="BB285" s="27" t="b">
        <f t="shared" si="1511"/>
        <v>1</v>
      </c>
      <c r="BC285" s="23">
        <f t="shared" si="1512"/>
        <v>252</v>
      </c>
      <c r="BD285" s="2" t="s">
        <v>1430</v>
      </c>
      <c r="BE285" s="3" t="s">
        <v>1429</v>
      </c>
      <c r="BF285" s="119">
        <v>2.8</v>
      </c>
      <c r="BG285" s="49" t="s">
        <v>1</v>
      </c>
      <c r="BH285" s="49" t="s">
        <v>1378</v>
      </c>
      <c r="BI285" s="1"/>
      <c r="BJ285" s="70" t="s">
        <v>1288</v>
      </c>
      <c r="BK285" s="57" t="s">
        <v>1288</v>
      </c>
      <c r="BL285" s="57" t="s">
        <v>1288</v>
      </c>
      <c r="BM285" s="57" t="s">
        <v>1288</v>
      </c>
      <c r="BN285" s="57" t="s">
        <v>1288</v>
      </c>
      <c r="BO285" s="57" t="s">
        <v>1288</v>
      </c>
      <c r="BP285" s="57" t="s">
        <v>1288</v>
      </c>
      <c r="BQ285" s="57" t="s">
        <v>1288</v>
      </c>
      <c r="BR285" s="57" t="s">
        <v>1288</v>
      </c>
      <c r="BS285" s="57" t="s">
        <v>1288</v>
      </c>
      <c r="BT285" s="57" t="s">
        <v>1288</v>
      </c>
      <c r="BU285" s="57" t="s">
        <v>1288</v>
      </c>
      <c r="BV285" s="70">
        <f t="shared" si="1513"/>
        <v>71</v>
      </c>
      <c r="BW285" s="71" t="str">
        <f t="shared" si="1514"/>
        <v>-</v>
      </c>
      <c r="BX285" s="72">
        <f t="shared" si="1515"/>
        <v>108</v>
      </c>
      <c r="BY285" s="71">
        <f t="shared" si="1516"/>
        <v>138</v>
      </c>
      <c r="BZ285" s="72">
        <f t="shared" si="1517"/>
        <v>144</v>
      </c>
      <c r="CA285" s="71" t="str">
        <f t="shared" si="1518"/>
        <v>-</v>
      </c>
      <c r="CB285" s="72">
        <f t="shared" si="1519"/>
        <v>183</v>
      </c>
      <c r="CC285" s="71">
        <f t="shared" si="1520"/>
        <v>226</v>
      </c>
      <c r="CD285" s="72">
        <f t="shared" si="1521"/>
        <v>235</v>
      </c>
      <c r="CE285" s="71">
        <f t="shared" si="1522"/>
        <v>278</v>
      </c>
      <c r="CF285" s="72">
        <f t="shared" si="1523"/>
        <v>322</v>
      </c>
      <c r="CG285" s="71">
        <f t="shared" si="1524"/>
        <v>348</v>
      </c>
      <c r="CH285" s="70">
        <f t="shared" si="1525"/>
        <v>103</v>
      </c>
      <c r="CI285" s="71" t="str">
        <f t="shared" si="1526"/>
        <v>-</v>
      </c>
      <c r="CJ285" s="72">
        <f t="shared" si="1527"/>
        <v>137</v>
      </c>
      <c r="CK285" s="72">
        <f t="shared" si="1528"/>
        <v>143</v>
      </c>
      <c r="CL285" s="72">
        <f t="shared" si="1529"/>
        <v>179</v>
      </c>
      <c r="CM285" s="72" t="str">
        <f t="shared" si="1530"/>
        <v>-</v>
      </c>
      <c r="CN285" s="72">
        <f t="shared" si="1531"/>
        <v>211</v>
      </c>
      <c r="CO285" s="72">
        <f t="shared" si="1532"/>
        <v>228</v>
      </c>
      <c r="CP285" s="72">
        <f t="shared" si="1533"/>
        <v>269</v>
      </c>
      <c r="CQ285" s="72">
        <f t="shared" si="1534"/>
        <v>317</v>
      </c>
      <c r="CR285" s="72">
        <f t="shared" si="1535"/>
        <v>347</v>
      </c>
      <c r="CS285" s="72">
        <f t="shared" si="1536"/>
        <v>359</v>
      </c>
      <c r="CT285" s="23" t="e">
        <f t="shared" si="1537"/>
        <v>#VALUE!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29" x14ac:dyDescent="0.2">
      <c r="A286" s="3" t="str">
        <f t="shared" si="1510"/>
        <v>par2_human_5NDZ</v>
      </c>
      <c r="B286" s="3" t="s">
        <v>356</v>
      </c>
      <c r="C286" s="3" t="s">
        <v>1398</v>
      </c>
      <c r="D286" s="3" t="str">
        <f>IFERROR(MID(VLOOKUP($B286,Seqs!$A:$B,2,0),E286,1),"")</f>
        <v>G</v>
      </c>
      <c r="E286" s="3">
        <v>71</v>
      </c>
      <c r="F286" s="3" t="str">
        <f>IFERROR(MID(VLOOKUP($B286,Seqs!$A:$B,2,0),G286,1),"")</f>
        <v>R</v>
      </c>
      <c r="G286" s="3">
        <v>103</v>
      </c>
      <c r="H286" s="3" t="str">
        <f>IFERROR(MID(VLOOKUP($B286,Seqs!$A:$B,2,0),I286,1),"")</f>
        <v/>
      </c>
      <c r="I286" s="23" t="s">
        <v>23</v>
      </c>
      <c r="J286" s="3" t="str">
        <f>IFERROR(MID(VLOOKUP($B286,Seqs!$A:$B,2,0),K286,1),"")</f>
        <v/>
      </c>
      <c r="K286" s="23" t="s">
        <v>23</v>
      </c>
      <c r="L286" s="3" t="str">
        <f>IFERROR(MID(VLOOKUP($B286,Seqs!$A:$B,2,0),M286,1),"")</f>
        <v>H</v>
      </c>
      <c r="M286" s="3">
        <v>108</v>
      </c>
      <c r="N286" s="3" t="str">
        <f>IFERROR(MID(VLOOKUP($B286,Seqs!$A:$B,2,0),O286,1),"")</f>
        <v>H</v>
      </c>
      <c r="O286" s="3">
        <v>137</v>
      </c>
      <c r="P286" s="3" t="str">
        <f>IFERROR(MID(VLOOKUP($B286,Seqs!$A:$B,2,0),Q286,1),"")</f>
        <v>G</v>
      </c>
      <c r="Q286" s="3">
        <v>138</v>
      </c>
      <c r="R286" s="3" t="str">
        <f>IFERROR(MID(VLOOKUP($B286,Seqs!$A:$B,2,0),S286,1),"")</f>
        <v>Y</v>
      </c>
      <c r="S286" s="3">
        <v>143</v>
      </c>
      <c r="T286" s="3" t="str">
        <f>IFERROR(MID(VLOOKUP($B286,Seqs!$A:$B,2,0),U286,1),"")</f>
        <v>G</v>
      </c>
      <c r="U286" s="3">
        <v>144</v>
      </c>
      <c r="V286" s="3" t="str">
        <f>IFERROR(MID(VLOOKUP($B286,Seqs!$A:$B,2,0),W286,1),"")</f>
        <v>N</v>
      </c>
      <c r="W286" s="3">
        <v>179</v>
      </c>
      <c r="X286" s="3" t="str">
        <f>IFERROR(MID(VLOOKUP($B286,Seqs!$A:$B,2,0),Y286,1),"")</f>
        <v/>
      </c>
      <c r="Y286" s="3" t="s">
        <v>23</v>
      </c>
      <c r="Z286" s="3" t="str">
        <f>IFERROR(MID(VLOOKUP($B286,Seqs!$A:$B,2,0),AA286,1),"")</f>
        <v/>
      </c>
      <c r="AA286" s="3" t="s">
        <v>23</v>
      </c>
      <c r="AB286" s="3" t="str">
        <f>IFERROR(MID(VLOOKUP($B286,Seqs!$A:$B,2,0),AC286,1),"")</f>
        <v>H</v>
      </c>
      <c r="AC286" s="3">
        <v>183</v>
      </c>
      <c r="AD286" s="3" t="str">
        <f>IFERROR(MID(VLOOKUP($B286,Seqs!$A:$B,2,0),AE286,1),"")</f>
        <v>V</v>
      </c>
      <c r="AE286" s="3">
        <v>211</v>
      </c>
      <c r="AF286" s="3" t="str">
        <f>IFERROR(MID(VLOOKUP($B286,Seqs!$A:$B,2,0),AG286,1),"")</f>
        <v>C</v>
      </c>
      <c r="AG286" s="3">
        <v>226</v>
      </c>
      <c r="AH286" s="3" t="str">
        <f>IFERROR(MID(VLOOKUP($B286,Seqs!$A:$B,2,0),AI286,1),"")</f>
        <v>D</v>
      </c>
      <c r="AI286" s="3">
        <v>228</v>
      </c>
      <c r="AJ286" s="3" t="str">
        <f>IFERROR(MID(VLOOKUP($B286,Seqs!$A:$B,2,0),AK286,1),"")</f>
        <v>L</v>
      </c>
      <c r="AK286" s="3">
        <v>235</v>
      </c>
      <c r="AL286" s="3" t="str">
        <f>IFERROR(MID(VLOOKUP($B286,Seqs!$A:$B,2,0),AM286,1),"")</f>
        <v>L</v>
      </c>
      <c r="AM286" s="3">
        <v>269</v>
      </c>
      <c r="AN286" s="3" t="str">
        <f>IFERROR(MID(VLOOKUP($B286,Seqs!$A:$B,2,0),AO286,1),"")</f>
        <v>S</v>
      </c>
      <c r="AO286" s="3">
        <v>278</v>
      </c>
      <c r="AP286" s="3" t="str">
        <f>IFERROR(MID(VLOOKUP($B286,Seqs!$A:$B,2,0),AQ286,1),"")</f>
        <v>Q</v>
      </c>
      <c r="AQ286" s="3">
        <v>317</v>
      </c>
      <c r="AR286" s="3" t="str">
        <f>IFERROR(MID(VLOOKUP($B286,Seqs!$A:$B,2,0),AS286,1),"")</f>
        <v>V</v>
      </c>
      <c r="AS286" s="3">
        <v>322</v>
      </c>
      <c r="AT286" s="3" t="str">
        <f>IFERROR(MID(VLOOKUP($B286,Seqs!$A:$B,2,0),AU286,1),"")</f>
        <v>S</v>
      </c>
      <c r="AU286" s="3">
        <v>348</v>
      </c>
      <c r="AV286" s="3" t="str">
        <f>IFERROR(MID(VLOOKUP($B286,Seqs!$A:$B,2,0),AW286,1),"")</f>
        <v>H</v>
      </c>
      <c r="AW286" s="3">
        <v>349</v>
      </c>
      <c r="AX286" s="3" t="str">
        <f>IFERROR(MID(VLOOKUP($B286,Seqs!$A:$B,2,0),AY286,1),"")</f>
        <v>L</v>
      </c>
      <c r="AY286" s="3">
        <v>359</v>
      </c>
      <c r="AZ286" s="77" t="str">
        <f>VLOOKUP(B286,Classification!A:D,2,0)</f>
        <v>A</v>
      </c>
      <c r="BA286" s="94" t="str">
        <f>VLOOKUP(B286,Classification!A:D,4,0)</f>
        <v>Proteinase-activated</v>
      </c>
      <c r="BB286" s="27" t="b">
        <f t="shared" si="1511"/>
        <v>1</v>
      </c>
      <c r="BC286" s="23">
        <f t="shared" si="1512"/>
        <v>252</v>
      </c>
      <c r="BD286" s="2" t="s">
        <v>23</v>
      </c>
      <c r="BE286" s="3" t="s">
        <v>1429</v>
      </c>
      <c r="BF286" s="119">
        <v>3.6</v>
      </c>
      <c r="BG286" s="49" t="s">
        <v>1</v>
      </c>
      <c r="BH286" s="49" t="s">
        <v>1378</v>
      </c>
      <c r="BI286" s="1"/>
      <c r="BJ286" s="70" t="s">
        <v>1288</v>
      </c>
      <c r="BK286" s="57" t="s">
        <v>1288</v>
      </c>
      <c r="BL286" s="57" t="s">
        <v>1288</v>
      </c>
      <c r="BM286" s="57" t="s">
        <v>1288</v>
      </c>
      <c r="BN286" s="57" t="s">
        <v>1288</v>
      </c>
      <c r="BO286" s="57" t="s">
        <v>1288</v>
      </c>
      <c r="BP286" s="57" t="s">
        <v>1288</v>
      </c>
      <c r="BQ286" s="57" t="s">
        <v>1288</v>
      </c>
      <c r="BR286" s="57" t="s">
        <v>1288</v>
      </c>
      <c r="BS286" s="57" t="s">
        <v>1288</v>
      </c>
      <c r="BT286" s="57" t="s">
        <v>1288</v>
      </c>
      <c r="BU286" s="57" t="s">
        <v>1288</v>
      </c>
      <c r="BV286" s="70">
        <f t="shared" si="1513"/>
        <v>71</v>
      </c>
      <c r="BW286" s="71" t="str">
        <f t="shared" si="1514"/>
        <v>-</v>
      </c>
      <c r="BX286" s="72">
        <f t="shared" si="1515"/>
        <v>108</v>
      </c>
      <c r="BY286" s="71">
        <f t="shared" si="1516"/>
        <v>138</v>
      </c>
      <c r="BZ286" s="72">
        <f t="shared" si="1517"/>
        <v>144</v>
      </c>
      <c r="CA286" s="71" t="str">
        <f t="shared" si="1518"/>
        <v>-</v>
      </c>
      <c r="CB286" s="72">
        <f t="shared" si="1519"/>
        <v>183</v>
      </c>
      <c r="CC286" s="71">
        <f t="shared" si="1520"/>
        <v>226</v>
      </c>
      <c r="CD286" s="72">
        <f t="shared" si="1521"/>
        <v>235</v>
      </c>
      <c r="CE286" s="71">
        <f t="shared" si="1522"/>
        <v>278</v>
      </c>
      <c r="CF286" s="72">
        <f t="shared" si="1523"/>
        <v>322</v>
      </c>
      <c r="CG286" s="71">
        <f t="shared" si="1524"/>
        <v>349</v>
      </c>
      <c r="CH286" s="70">
        <f t="shared" si="1525"/>
        <v>103</v>
      </c>
      <c r="CI286" s="71" t="str">
        <f t="shared" si="1526"/>
        <v>-</v>
      </c>
      <c r="CJ286" s="72">
        <f t="shared" si="1527"/>
        <v>137</v>
      </c>
      <c r="CK286" s="72">
        <f t="shared" si="1528"/>
        <v>143</v>
      </c>
      <c r="CL286" s="72">
        <f t="shared" si="1529"/>
        <v>179</v>
      </c>
      <c r="CM286" s="72" t="str">
        <f t="shared" si="1530"/>
        <v>-</v>
      </c>
      <c r="CN286" s="72">
        <f t="shared" si="1531"/>
        <v>211</v>
      </c>
      <c r="CO286" s="72">
        <f t="shared" si="1532"/>
        <v>228</v>
      </c>
      <c r="CP286" s="72">
        <f t="shared" si="1533"/>
        <v>269</v>
      </c>
      <c r="CQ286" s="72">
        <f t="shared" si="1534"/>
        <v>317</v>
      </c>
      <c r="CR286" s="72">
        <f t="shared" si="1535"/>
        <v>348</v>
      </c>
      <c r="CS286" s="72">
        <f t="shared" si="1536"/>
        <v>359</v>
      </c>
      <c r="CT286" s="23" t="e">
        <f t="shared" si="1537"/>
        <v>#VALUE!</v>
      </c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</row>
    <row r="287" spans="1:1029" x14ac:dyDescent="0.2">
      <c r="A287" s="3" t="str">
        <f t="shared" si="1510"/>
        <v>par2_human_5NJ6</v>
      </c>
      <c r="B287" s="3" t="s">
        <v>356</v>
      </c>
      <c r="C287" s="3" t="s">
        <v>1399</v>
      </c>
      <c r="D287" s="3" t="str">
        <f>IFERROR(MID(VLOOKUP($B287,Seqs!$A:$B,2,0),E287,1),"")</f>
        <v>G</v>
      </c>
      <c r="E287" s="3">
        <v>71</v>
      </c>
      <c r="F287" s="3" t="str">
        <f>IFERROR(MID(VLOOKUP($B287,Seqs!$A:$B,2,0),G287,1),"")</f>
        <v>R</v>
      </c>
      <c r="G287" s="3">
        <v>103</v>
      </c>
      <c r="H287" s="3" t="str">
        <f>IFERROR(MID(VLOOKUP($B287,Seqs!$A:$B,2,0),I287,1),"")</f>
        <v/>
      </c>
      <c r="I287" s="23" t="s">
        <v>23</v>
      </c>
      <c r="J287" s="3" t="str">
        <f>IFERROR(MID(VLOOKUP($B287,Seqs!$A:$B,2,0),K287,1),"")</f>
        <v/>
      </c>
      <c r="K287" s="23" t="s">
        <v>23</v>
      </c>
      <c r="L287" s="3" t="str">
        <f>IFERROR(MID(VLOOKUP($B287,Seqs!$A:$B,2,0),M287,1),"")</f>
        <v>H</v>
      </c>
      <c r="M287" s="3">
        <v>108</v>
      </c>
      <c r="N287" s="3" t="str">
        <f>IFERROR(MID(VLOOKUP($B287,Seqs!$A:$B,2,0),O287,1),"")</f>
        <v>H</v>
      </c>
      <c r="O287" s="3">
        <v>137</v>
      </c>
      <c r="P287" s="3" t="str">
        <f>IFERROR(MID(VLOOKUP($B287,Seqs!$A:$B,2,0),Q287,1),"")</f>
        <v>G</v>
      </c>
      <c r="Q287" s="3">
        <v>138</v>
      </c>
      <c r="R287" s="3" t="str">
        <f>IFERROR(MID(VLOOKUP($B287,Seqs!$A:$B,2,0),S287,1),"")</f>
        <v>Y</v>
      </c>
      <c r="S287" s="3">
        <v>143</v>
      </c>
      <c r="T287" s="3" t="str">
        <f>IFERROR(MID(VLOOKUP($B287,Seqs!$A:$B,2,0),U287,1),"")</f>
        <v>G</v>
      </c>
      <c r="U287" s="3">
        <v>144</v>
      </c>
      <c r="V287" s="3" t="str">
        <f>IFERROR(MID(VLOOKUP($B287,Seqs!$A:$B,2,0),W287,1),"")</f>
        <v>N</v>
      </c>
      <c r="W287" s="3">
        <v>179</v>
      </c>
      <c r="X287" s="3" t="str">
        <f>IFERROR(MID(VLOOKUP($B287,Seqs!$A:$B,2,0),Y287,1),"")</f>
        <v/>
      </c>
      <c r="Y287" s="3" t="s">
        <v>23</v>
      </c>
      <c r="Z287" s="3" t="str">
        <f>IFERROR(MID(VLOOKUP($B287,Seqs!$A:$B,2,0),AA287,1),"")</f>
        <v/>
      </c>
      <c r="AA287" s="3" t="s">
        <v>23</v>
      </c>
      <c r="AB287" s="3" t="str">
        <f>IFERROR(MID(VLOOKUP($B287,Seqs!$A:$B,2,0),AC287,1),"")</f>
        <v>H</v>
      </c>
      <c r="AC287" s="3">
        <v>183</v>
      </c>
      <c r="AD287" s="3" t="str">
        <f>IFERROR(MID(VLOOKUP($B287,Seqs!$A:$B,2,0),AE287,1),"")</f>
        <v>V</v>
      </c>
      <c r="AE287" s="3">
        <v>211</v>
      </c>
      <c r="AF287" s="3" t="str">
        <f>IFERROR(MID(VLOOKUP($B287,Seqs!$A:$B,2,0),AG287,1),"")</f>
        <v>C</v>
      </c>
      <c r="AG287" s="3">
        <v>226</v>
      </c>
      <c r="AH287" s="3" t="str">
        <f>IFERROR(MID(VLOOKUP($B287,Seqs!$A:$B,2,0),AI287,1),"")</f>
        <v>D</v>
      </c>
      <c r="AI287" s="3">
        <v>228</v>
      </c>
      <c r="AJ287" s="3" t="str">
        <f>IFERROR(MID(VLOOKUP($B287,Seqs!$A:$B,2,0),AK287,1),"")</f>
        <v>L</v>
      </c>
      <c r="AK287" s="3">
        <v>235</v>
      </c>
      <c r="AL287" s="3" t="str">
        <f>IFERROR(MID(VLOOKUP($B287,Seqs!$A:$B,2,0),AM287,1),"")</f>
        <v>L</v>
      </c>
      <c r="AM287" s="3">
        <v>269</v>
      </c>
      <c r="AN287" s="3" t="str">
        <f>IFERROR(MID(VLOOKUP($B287,Seqs!$A:$B,2,0),AO287,1),"")</f>
        <v>S</v>
      </c>
      <c r="AO287" s="3">
        <v>278</v>
      </c>
      <c r="AP287" s="3" t="str">
        <f>IFERROR(MID(VLOOKUP($B287,Seqs!$A:$B,2,0),AQ287,1),"")</f>
        <v>Q</v>
      </c>
      <c r="AQ287" s="3">
        <v>317</v>
      </c>
      <c r="AR287" s="3" t="str">
        <f>IFERROR(MID(VLOOKUP($B287,Seqs!$A:$B,2,0),AS287,1),"")</f>
        <v>V</v>
      </c>
      <c r="AS287" s="3">
        <v>322</v>
      </c>
      <c r="AT287" s="3" t="str">
        <f>IFERROR(MID(VLOOKUP($B287,Seqs!$A:$B,2,0),AU287,1),"")</f>
        <v>S</v>
      </c>
      <c r="AU287" s="3">
        <v>348</v>
      </c>
      <c r="AV287" s="3" t="str">
        <f>IFERROR(MID(VLOOKUP($B287,Seqs!$A:$B,2,0),AW287,1),"")</f>
        <v>H</v>
      </c>
      <c r="AW287" s="3">
        <v>349</v>
      </c>
      <c r="AX287" s="3" t="str">
        <f>IFERROR(MID(VLOOKUP($B287,Seqs!$A:$B,2,0),AY287,1),"")</f>
        <v>L</v>
      </c>
      <c r="AY287" s="3">
        <v>359</v>
      </c>
      <c r="AZ287" s="77" t="str">
        <f>VLOOKUP(B287,Classification!A:D,2,0)</f>
        <v>A</v>
      </c>
      <c r="BA287" s="94" t="str">
        <f>VLOOKUP(B287,Classification!A:D,4,0)</f>
        <v>Proteinase-activated</v>
      </c>
      <c r="BB287" s="27" t="b">
        <f t="shared" si="1511"/>
        <v>1</v>
      </c>
      <c r="BC287" s="23">
        <f t="shared" si="1512"/>
        <v>252</v>
      </c>
      <c r="BD287" s="2" t="s">
        <v>23</v>
      </c>
      <c r="BE287" s="3" t="s">
        <v>1429</v>
      </c>
      <c r="BF287" s="119">
        <v>4</v>
      </c>
      <c r="BG287" s="49" t="s">
        <v>1</v>
      </c>
      <c r="BH287" s="49" t="s">
        <v>1378</v>
      </c>
      <c r="BI287" s="1"/>
      <c r="BJ287" s="70" t="s">
        <v>1288</v>
      </c>
      <c r="BK287" s="57" t="s">
        <v>1288</v>
      </c>
      <c r="BL287" s="57" t="s">
        <v>1288</v>
      </c>
      <c r="BM287" s="57" t="s">
        <v>1288</v>
      </c>
      <c r="BN287" s="57" t="s">
        <v>1288</v>
      </c>
      <c r="BO287" s="57" t="s">
        <v>1288</v>
      </c>
      <c r="BP287" s="57" t="s">
        <v>1288</v>
      </c>
      <c r="BQ287" s="57" t="s">
        <v>1288</v>
      </c>
      <c r="BR287" s="57" t="s">
        <v>1288</v>
      </c>
      <c r="BS287" s="57" t="s">
        <v>1288</v>
      </c>
      <c r="BT287" s="57" t="s">
        <v>1288</v>
      </c>
      <c r="BU287" s="57" t="s">
        <v>1288</v>
      </c>
      <c r="BV287" s="70">
        <f t="shared" si="1513"/>
        <v>71</v>
      </c>
      <c r="BW287" s="71" t="str">
        <f t="shared" si="1514"/>
        <v>-</v>
      </c>
      <c r="BX287" s="72">
        <f t="shared" si="1515"/>
        <v>108</v>
      </c>
      <c r="BY287" s="71">
        <f t="shared" si="1516"/>
        <v>138</v>
      </c>
      <c r="BZ287" s="72">
        <f t="shared" si="1517"/>
        <v>144</v>
      </c>
      <c r="CA287" s="71" t="str">
        <f t="shared" si="1518"/>
        <v>-</v>
      </c>
      <c r="CB287" s="72">
        <f t="shared" si="1519"/>
        <v>183</v>
      </c>
      <c r="CC287" s="71">
        <f t="shared" si="1520"/>
        <v>226</v>
      </c>
      <c r="CD287" s="72">
        <f t="shared" si="1521"/>
        <v>235</v>
      </c>
      <c r="CE287" s="71">
        <f t="shared" si="1522"/>
        <v>278</v>
      </c>
      <c r="CF287" s="72">
        <f t="shared" si="1523"/>
        <v>322</v>
      </c>
      <c r="CG287" s="71">
        <f t="shared" si="1524"/>
        <v>349</v>
      </c>
      <c r="CH287" s="70">
        <f t="shared" si="1525"/>
        <v>103</v>
      </c>
      <c r="CI287" s="71" t="str">
        <f t="shared" si="1526"/>
        <v>-</v>
      </c>
      <c r="CJ287" s="72">
        <f t="shared" si="1527"/>
        <v>137</v>
      </c>
      <c r="CK287" s="72">
        <f t="shared" si="1528"/>
        <v>143</v>
      </c>
      <c r="CL287" s="72">
        <f t="shared" si="1529"/>
        <v>179</v>
      </c>
      <c r="CM287" s="72" t="str">
        <f t="shared" si="1530"/>
        <v>-</v>
      </c>
      <c r="CN287" s="72">
        <f t="shared" si="1531"/>
        <v>211</v>
      </c>
      <c r="CO287" s="72">
        <f t="shared" si="1532"/>
        <v>228</v>
      </c>
      <c r="CP287" s="72">
        <f t="shared" si="1533"/>
        <v>269</v>
      </c>
      <c r="CQ287" s="72">
        <f t="shared" si="1534"/>
        <v>317</v>
      </c>
      <c r="CR287" s="72">
        <f t="shared" si="1535"/>
        <v>348</v>
      </c>
      <c r="CS287" s="72">
        <f t="shared" si="1536"/>
        <v>359</v>
      </c>
      <c r="CT287" s="23" t="e">
        <f t="shared" si="1537"/>
        <v>#VALUE!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</row>
    <row r="288" spans="1:1029" x14ac:dyDescent="0.2">
      <c r="A288" s="3" t="str">
        <f t="shared" ref="A288" si="1538">CONCATENATE(B288,"_",C288)</f>
        <v>pd2r2_human__wt</v>
      </c>
      <c r="B288" s="3" t="s">
        <v>360</v>
      </c>
      <c r="C288" s="3" t="s">
        <v>100</v>
      </c>
      <c r="D288" s="3" t="str">
        <f>IFERROR(MID(VLOOKUP($B288,Seqs!$A:$B,2,0),E288,1),"")</f>
        <v>D</v>
      </c>
      <c r="E288" s="3">
        <v>32</v>
      </c>
      <c r="F288" s="3" t="str">
        <f>IFERROR(MID(VLOOKUP($B288,Seqs!$A:$B,2,0),G288,1),"")</f>
        <v>R</v>
      </c>
      <c r="G288" s="3">
        <v>60</v>
      </c>
      <c r="H288" s="3" t="str">
        <f>IFERROR(MID(VLOOKUP($B288,Seqs!$A:$B,2,0),I288,1),"")</f>
        <v/>
      </c>
      <c r="I288" s="23" t="s">
        <v>23</v>
      </c>
      <c r="J288" s="3" t="str">
        <f>IFERROR(MID(VLOOKUP($B288,Seqs!$A:$B,2,0),K288,1),"")</f>
        <v/>
      </c>
      <c r="K288" s="23" t="s">
        <v>23</v>
      </c>
      <c r="L288" s="3" t="str">
        <f>IFERROR(MID(VLOOKUP($B288,Seqs!$A:$B,2,0),M288,1),"")</f>
        <v>T</v>
      </c>
      <c r="M288" s="3">
        <v>64</v>
      </c>
      <c r="N288" s="3" t="str">
        <f>IFERROR(MID(VLOOKUP($B288,Seqs!$A:$B,2,0),O288,1),"")</f>
        <v>G</v>
      </c>
      <c r="O288" s="3">
        <v>94</v>
      </c>
      <c r="P288" s="3" t="str">
        <f>IFERROR(MID(VLOOKUP($B288,Seqs!$A:$B,2,0),Q288,1),"")</f>
        <v>S</v>
      </c>
      <c r="Q288" s="3">
        <v>96</v>
      </c>
      <c r="R288" s="3" t="str">
        <f>IFERROR(MID(VLOOKUP($B288,Seqs!$A:$B,2,0),S288,1),"")</f>
        <v>L</v>
      </c>
      <c r="S288" s="3">
        <v>99</v>
      </c>
      <c r="T288" s="3" t="str">
        <f>IFERROR(MID(VLOOKUP($B288,Seqs!$A:$B,2,0),U288,1),"")</f>
        <v>G</v>
      </c>
      <c r="U288" s="3">
        <v>100</v>
      </c>
      <c r="V288" s="3" t="str">
        <f>IFERROR(MID(VLOOKUP($B288,Seqs!$A:$B,2,0),W288,1),"")</f>
        <v>R</v>
      </c>
      <c r="W288" s="3">
        <v>135</v>
      </c>
      <c r="X288" s="3" t="str">
        <f>IFERROR(MID(VLOOKUP($B288,Seqs!$A:$B,2,0),Y288,1),"")</f>
        <v>P</v>
      </c>
      <c r="Y288" s="3">
        <v>136</v>
      </c>
      <c r="Z288" s="3" t="str">
        <f>IFERROR(MID(VLOOKUP($B288,Seqs!$A:$B,2,0),AA288,1),"")</f>
        <v>R</v>
      </c>
      <c r="AA288" s="3">
        <v>143</v>
      </c>
      <c r="AB288" s="3" t="str">
        <f>IFERROR(MID(VLOOKUP($B288,Seqs!$A:$B,2,0),AC288,1),"")</f>
        <v>T</v>
      </c>
      <c r="AC288" s="3">
        <v>144</v>
      </c>
      <c r="AD288" s="3" t="str">
        <f>IFERROR(MID(VLOOKUP($B288,Seqs!$A:$B,2,0),AE288,1),"")</f>
        <v>R</v>
      </c>
      <c r="AE288" s="3">
        <v>170</v>
      </c>
      <c r="AF288" s="3" t="str">
        <f>IFERROR(MID(VLOOKUP($B288,Seqs!$A:$B,2,0),AG288,1),"")</f>
        <v>C</v>
      </c>
      <c r="AG288" s="3">
        <v>182</v>
      </c>
      <c r="AH288" s="3" t="str">
        <f>IFERROR(MID(VLOOKUP($B288,Seqs!$A:$B,2,0),AI288,1),"")</f>
        <v>Y</v>
      </c>
      <c r="AI288" s="3">
        <v>184</v>
      </c>
      <c r="AJ288" s="3" t="str">
        <f>IFERROR(MID(VLOOKUP($B288,Seqs!$A:$B,2,0),AK288,1),"")</f>
        <v>D</v>
      </c>
      <c r="AK288" s="3">
        <v>194</v>
      </c>
      <c r="AL288" s="3" t="str">
        <f>IFERROR(MID(VLOOKUP($B288,Seqs!$A:$B,2,0),AM288,1),"")</f>
        <v>R</v>
      </c>
      <c r="AM288" s="3">
        <v>236</v>
      </c>
      <c r="AN288" s="3" t="str">
        <f>IFERROR(MID(VLOOKUP($B288,Seqs!$A:$B,2,0),AO288,1),"")</f>
        <v>P</v>
      </c>
      <c r="AO288" s="3">
        <v>241</v>
      </c>
      <c r="AP288" s="3" t="str">
        <f>IFERROR(MID(VLOOKUP($B288,Seqs!$A:$B,2,0),AQ288,1),"")</f>
        <v>A</v>
      </c>
      <c r="AQ288" s="3">
        <v>272</v>
      </c>
      <c r="AR288" s="3" t="str">
        <f>IFERROR(MID(VLOOKUP($B288,Seqs!$A:$B,2,0),AS288,1),"")</f>
        <v>L</v>
      </c>
      <c r="AS288" s="3">
        <v>278</v>
      </c>
      <c r="AT288" s="3" t="str">
        <f>IFERROR(MID(VLOOKUP($B288,Seqs!$A:$B,2,0),AU288,1),"")</f>
        <v>T</v>
      </c>
      <c r="AU288" s="3">
        <v>307</v>
      </c>
      <c r="AV288" s="3" t="str">
        <f>IFERROR(MID(VLOOKUP($B288,Seqs!$A:$B,2,0),AW288,1),"")</f>
        <v>C</v>
      </c>
      <c r="AW288" s="3">
        <v>308</v>
      </c>
      <c r="AX288" s="3" t="str">
        <f>IFERROR(MID(VLOOKUP($B288,Seqs!$A:$B,2,0),AY288,1),"")</f>
        <v>S</v>
      </c>
      <c r="AY288" s="3">
        <v>325</v>
      </c>
      <c r="AZ288" s="77" t="str">
        <f>VLOOKUP(B288,Classification!A:D,2,0)</f>
        <v>A</v>
      </c>
      <c r="BA288" s="94" t="str">
        <f>VLOOKUP(B288,Classification!A:D,4,0)</f>
        <v>Prostanoid</v>
      </c>
      <c r="BB288" s="27" t="b">
        <f t="shared" ref="BB288" si="1539">AND(E288&lt;G288,OR(G288&lt;I288,I288="-"),OR(I288&lt;K288,I288="-"),OR(K288&lt;M288,K288="-"),M288&lt;O288,OR(O288&lt;Q288,Q288="-"),OR(Q288&lt;S288,Q288="-"),OR(S288&lt;U288,S288="-"),U288&lt;W288,OR(W288&lt;Y288,Y288="-"),OR(Y288&lt;AA288,Y288="-"),OR(AA288&lt;AC288,AA288="-"),AC288&lt;AE288,OR(AE288&lt;AG288,AG288="-"),OR(AG288&lt;AI288,AG288="-"),OR(AI288&lt;AK288,AI288="-"),AK288&lt;AM288,AM288&lt;AO288,AO288&lt;AQ288,AQ288&lt;AS288,AS288&lt;AU288,OR(AU288&lt;AW288,AW288="-"),OR(AW288&lt;AY288,AW288="-"))</f>
        <v>1</v>
      </c>
      <c r="BC288" s="23">
        <f t="shared" ref="BC288" si="1540">_xlfn.AGGREGATE(9,6,CH288:CS288)-_xlfn.AGGREGATE(9,6,BV288:CG288)+12</f>
        <v>262</v>
      </c>
      <c r="BD288" s="2" t="s">
        <v>23</v>
      </c>
      <c r="BE288" s="3" t="s">
        <v>23</v>
      </c>
      <c r="BF288" s="119" t="s">
        <v>23</v>
      </c>
      <c r="BG288" s="49" t="s">
        <v>23</v>
      </c>
      <c r="BH288" s="49" t="s">
        <v>23</v>
      </c>
      <c r="BI288" s="1"/>
      <c r="BJ288" s="70" t="s">
        <v>1288</v>
      </c>
      <c r="BK288" s="57" t="s">
        <v>1288</v>
      </c>
      <c r="BL288" s="57" t="s">
        <v>1288</v>
      </c>
      <c r="BM288" s="57" t="s">
        <v>1288</v>
      </c>
      <c r="BN288" s="57" t="s">
        <v>1288</v>
      </c>
      <c r="BO288" s="57" t="s">
        <v>1288</v>
      </c>
      <c r="BP288" s="57" t="s">
        <v>1288</v>
      </c>
      <c r="BQ288" s="57" t="s">
        <v>1288</v>
      </c>
      <c r="BR288" s="57" t="s">
        <v>1288</v>
      </c>
      <c r="BS288" s="57" t="s">
        <v>1288</v>
      </c>
      <c r="BT288" s="57" t="s">
        <v>1288</v>
      </c>
      <c r="BU288" s="57" t="s">
        <v>1288</v>
      </c>
      <c r="BV288" s="70">
        <f t="shared" ref="BV288" si="1541">E288</f>
        <v>32</v>
      </c>
      <c r="BW288" s="71" t="str">
        <f t="shared" ref="BW288" si="1542">I288</f>
        <v>-</v>
      </c>
      <c r="BX288" s="72">
        <f t="shared" ref="BX288" si="1543">M288</f>
        <v>64</v>
      </c>
      <c r="BY288" s="71">
        <f t="shared" ref="BY288" si="1544">Q288</f>
        <v>96</v>
      </c>
      <c r="BZ288" s="72">
        <f t="shared" ref="BZ288" si="1545">U288</f>
        <v>100</v>
      </c>
      <c r="CA288" s="71">
        <f t="shared" ref="CA288" si="1546">Y288</f>
        <v>136</v>
      </c>
      <c r="CB288" s="72">
        <f t="shared" ref="CB288" si="1547">AC288</f>
        <v>144</v>
      </c>
      <c r="CC288" s="71">
        <f t="shared" ref="CC288" si="1548">AG288</f>
        <v>182</v>
      </c>
      <c r="CD288" s="72">
        <f t="shared" ref="CD288" si="1549">AK288</f>
        <v>194</v>
      </c>
      <c r="CE288" s="71">
        <f t="shared" ref="CE288" si="1550">AO288</f>
        <v>241</v>
      </c>
      <c r="CF288" s="72">
        <f t="shared" ref="CF288" si="1551">AS288</f>
        <v>278</v>
      </c>
      <c r="CG288" s="71">
        <f t="shared" ref="CG288" si="1552">AW288</f>
        <v>308</v>
      </c>
      <c r="CH288" s="70">
        <f t="shared" ref="CH288" si="1553">G288</f>
        <v>60</v>
      </c>
      <c r="CI288" s="71" t="str">
        <f t="shared" ref="CI288" si="1554">K288</f>
        <v>-</v>
      </c>
      <c r="CJ288" s="72">
        <f t="shared" ref="CJ288" si="1555">O288</f>
        <v>94</v>
      </c>
      <c r="CK288" s="72">
        <f t="shared" ref="CK288" si="1556">S288</f>
        <v>99</v>
      </c>
      <c r="CL288" s="72">
        <f t="shared" ref="CL288" si="1557">W288</f>
        <v>135</v>
      </c>
      <c r="CM288" s="72">
        <f t="shared" ref="CM288" si="1558">AA288</f>
        <v>143</v>
      </c>
      <c r="CN288" s="72">
        <f t="shared" ref="CN288" si="1559">AE288</f>
        <v>170</v>
      </c>
      <c r="CO288" s="72">
        <f t="shared" ref="CO288" si="1560">AI288</f>
        <v>184</v>
      </c>
      <c r="CP288" s="72">
        <f t="shared" ref="CP288" si="1561">AM288</f>
        <v>236</v>
      </c>
      <c r="CQ288" s="72">
        <f t="shared" ref="CQ288" si="1562">AQ288</f>
        <v>272</v>
      </c>
      <c r="CR288" s="72">
        <f t="shared" ref="CR288" si="1563">AU288</f>
        <v>307</v>
      </c>
      <c r="CS288" s="72">
        <f t="shared" ref="CS288" si="1564">AY288</f>
        <v>325</v>
      </c>
      <c r="CT288" s="23" t="e">
        <f t="shared" ref="CT288" si="1565">M288-K288</f>
        <v>#VALUE!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</row>
    <row r="289" spans="1:1029" x14ac:dyDescent="0.2">
      <c r="A289" s="3" t="str">
        <f t="shared" ref="A289" si="1566">CONCATENATE(B289,"_",C289)</f>
        <v>pd2r2_human_6D26</v>
      </c>
      <c r="B289" s="3" t="s">
        <v>360</v>
      </c>
      <c r="C289" s="3" t="s">
        <v>1518</v>
      </c>
      <c r="D289" s="3" t="str">
        <f>IFERROR(MID(VLOOKUP($B289,Seqs!$A:$B,2,0),E289,1),"")</f>
        <v>D</v>
      </c>
      <c r="E289" s="3">
        <v>32</v>
      </c>
      <c r="F289" s="3" t="str">
        <f>IFERROR(MID(VLOOKUP($B289,Seqs!$A:$B,2,0),G289,1),"")</f>
        <v>R</v>
      </c>
      <c r="G289" s="3">
        <v>60</v>
      </c>
      <c r="H289" s="3" t="str">
        <f>IFERROR(MID(VLOOKUP($B289,Seqs!$A:$B,2,0),I289,1),"")</f>
        <v/>
      </c>
      <c r="I289" s="23" t="s">
        <v>23</v>
      </c>
      <c r="J289" s="3" t="str">
        <f>IFERROR(MID(VLOOKUP($B289,Seqs!$A:$B,2,0),K289,1),"")</f>
        <v/>
      </c>
      <c r="K289" s="23" t="s">
        <v>23</v>
      </c>
      <c r="L289" s="3" t="str">
        <f>IFERROR(MID(VLOOKUP($B289,Seqs!$A:$B,2,0),M289,1),"")</f>
        <v>T</v>
      </c>
      <c r="M289" s="3">
        <v>64</v>
      </c>
      <c r="N289" s="3" t="str">
        <f>IFERROR(MID(VLOOKUP($B289,Seqs!$A:$B,2,0),O289,1),"")</f>
        <v>G</v>
      </c>
      <c r="O289" s="3">
        <v>94</v>
      </c>
      <c r="P289" s="3" t="str">
        <f>IFERROR(MID(VLOOKUP($B289,Seqs!$A:$B,2,0),Q289,1),"")</f>
        <v>S</v>
      </c>
      <c r="Q289" s="3">
        <v>96</v>
      </c>
      <c r="R289" s="3" t="str">
        <f>IFERROR(MID(VLOOKUP($B289,Seqs!$A:$B,2,0),S289,1),"")</f>
        <v>L</v>
      </c>
      <c r="S289" s="3">
        <v>99</v>
      </c>
      <c r="T289" s="3" t="str">
        <f>IFERROR(MID(VLOOKUP($B289,Seqs!$A:$B,2,0),U289,1),"")</f>
        <v>T</v>
      </c>
      <c r="U289" s="3">
        <v>101</v>
      </c>
      <c r="V289" s="3" t="str">
        <f>IFERROR(MID(VLOOKUP($B289,Seqs!$A:$B,2,0),W289,1),"")</f>
        <v>R</v>
      </c>
      <c r="W289" s="3">
        <v>135</v>
      </c>
      <c r="X289" s="3" t="str">
        <f>IFERROR(MID(VLOOKUP($B289,Seqs!$A:$B,2,0),Y289,1),"")</f>
        <v>P</v>
      </c>
      <c r="Y289" s="3">
        <v>136</v>
      </c>
      <c r="Z289" s="3" t="str">
        <f>IFERROR(MID(VLOOKUP($B289,Seqs!$A:$B,2,0),AA289,1),"")</f>
        <v>R</v>
      </c>
      <c r="AA289" s="3">
        <v>143</v>
      </c>
      <c r="AB289" s="3" t="str">
        <f>IFERROR(MID(VLOOKUP($B289,Seqs!$A:$B,2,0),AC289,1),"")</f>
        <v>T</v>
      </c>
      <c r="AC289" s="3">
        <v>144</v>
      </c>
      <c r="AD289" s="3" t="str">
        <f>IFERROR(MID(VLOOKUP($B289,Seqs!$A:$B,2,0),AE289,1),"")</f>
        <v>R</v>
      </c>
      <c r="AE289" s="3">
        <v>170</v>
      </c>
      <c r="AF289" s="3" t="str">
        <f>IFERROR(MID(VLOOKUP($B289,Seqs!$A:$B,2,0),AG289,1),"")</f>
        <v>C</v>
      </c>
      <c r="AG289" s="3">
        <v>182</v>
      </c>
      <c r="AH289" s="3" t="str">
        <f>IFERROR(MID(VLOOKUP($B289,Seqs!$A:$B,2,0),AI289,1),"")</f>
        <v>Y</v>
      </c>
      <c r="AI289" s="3">
        <v>184</v>
      </c>
      <c r="AJ289" s="3" t="str">
        <f>IFERROR(MID(VLOOKUP($B289,Seqs!$A:$B,2,0),AK289,1),"")</f>
        <v>D</v>
      </c>
      <c r="AK289" s="3">
        <v>194</v>
      </c>
      <c r="AL289" s="3" t="str">
        <f>IFERROR(MID(VLOOKUP($B289,Seqs!$A:$B,2,0),AM289,1),"")</f>
        <v>R</v>
      </c>
      <c r="AM289" s="3">
        <v>236</v>
      </c>
      <c r="AN289" s="3" t="str">
        <f>IFERROR(MID(VLOOKUP($B289,Seqs!$A:$B,2,0),AO289,1),"")</f>
        <v/>
      </c>
      <c r="AO289" s="3">
        <v>2244</v>
      </c>
      <c r="AP289" s="3" t="str">
        <f>IFERROR(MID(VLOOKUP($B289,Seqs!$A:$B,2,0),AQ289,1),"")</f>
        <v/>
      </c>
      <c r="AQ289" s="3">
        <v>2271</v>
      </c>
      <c r="AR289" s="3" t="str">
        <f>IFERROR(MID(VLOOKUP($B289,Seqs!$A:$B,2,0),AS289,1),"")</f>
        <v/>
      </c>
      <c r="AS289" s="3">
        <v>2278</v>
      </c>
      <c r="AT289" s="3" t="str">
        <f>IFERROR(MID(VLOOKUP($B289,Seqs!$A:$B,2,0),AU289,1),"")</f>
        <v/>
      </c>
      <c r="AU289" s="3">
        <v>2307</v>
      </c>
      <c r="AV289" s="3" t="str">
        <f>IFERROR(MID(VLOOKUP($B289,Seqs!$A:$B,2,0),AW289,1),"")</f>
        <v/>
      </c>
      <c r="AW289" s="3">
        <v>2308</v>
      </c>
      <c r="AX289" s="3" t="str">
        <f>IFERROR(MID(VLOOKUP($B289,Seqs!$A:$B,2,0),AY289,1),"")</f>
        <v/>
      </c>
      <c r="AY289" s="3">
        <v>2325</v>
      </c>
      <c r="AZ289" s="77" t="str">
        <f>VLOOKUP(B289,Classification!A:D,2,0)</f>
        <v>A</v>
      </c>
      <c r="BA289" s="94" t="str">
        <f>VLOOKUP(B289,Classification!A:D,4,0)</f>
        <v>Prostanoid</v>
      </c>
      <c r="BB289" s="27" t="b">
        <f t="shared" ref="BB289" si="1567">AND(E289&lt;G289,OR(G289&lt;I289,I289="-"),OR(I289&lt;K289,I289="-"),OR(K289&lt;M289,K289="-"),M289&lt;O289,OR(O289&lt;Q289,Q289="-"),OR(Q289&lt;S289,Q289="-"),OR(S289&lt;U289,S289="-"),U289&lt;W289,OR(W289&lt;Y289,Y289="-"),OR(Y289&lt;AA289,Y289="-"),OR(AA289&lt;AC289,AA289="-"),AC289&lt;AE289,OR(AE289&lt;AG289,AG289="-"),OR(AG289&lt;AI289,AG289="-"),OR(AI289&lt;AK289,AI289="-"),AK289&lt;AM289,AM289&lt;AO289,AO289&lt;AQ289,AQ289&lt;AS289,AS289&lt;AU289,OR(AU289&lt;AW289,AW289="-"),OR(AW289&lt;AY289,AW289="-"))</f>
        <v>1</v>
      </c>
      <c r="BC289" s="23">
        <f t="shared" ref="BC289" si="1568">_xlfn.AGGREGATE(9,6,CH289:CS289)-_xlfn.AGGREGATE(9,6,BV289:CG289)+12</f>
        <v>257</v>
      </c>
      <c r="BD289" s="2" t="s">
        <v>23</v>
      </c>
      <c r="BE289" s="3" t="s">
        <v>1375</v>
      </c>
      <c r="BF289" s="119">
        <v>2.8</v>
      </c>
      <c r="BG289" s="49" t="s">
        <v>1</v>
      </c>
      <c r="BH289" s="49" t="s">
        <v>1</v>
      </c>
      <c r="BI289" s="1"/>
      <c r="BJ289" s="70" t="s">
        <v>1288</v>
      </c>
      <c r="BK289" s="57" t="s">
        <v>1288</v>
      </c>
      <c r="BL289" s="57" t="s">
        <v>1288</v>
      </c>
      <c r="BM289" s="57" t="s">
        <v>1288</v>
      </c>
      <c r="BN289" s="57" t="s">
        <v>1288</v>
      </c>
      <c r="BO289" s="57" t="s">
        <v>1288</v>
      </c>
      <c r="BP289" s="57" t="s">
        <v>1288</v>
      </c>
      <c r="BQ289" s="57" t="s">
        <v>1288</v>
      </c>
      <c r="BR289" s="57" t="s">
        <v>1288</v>
      </c>
      <c r="BS289" s="57" t="s">
        <v>1288</v>
      </c>
      <c r="BT289" s="57" t="s">
        <v>1288</v>
      </c>
      <c r="BU289" s="57" t="s">
        <v>1288</v>
      </c>
      <c r="BV289" s="70">
        <f t="shared" ref="BV289" si="1569">E289</f>
        <v>32</v>
      </c>
      <c r="BW289" s="71" t="str">
        <f t="shared" ref="BW289" si="1570">I289</f>
        <v>-</v>
      </c>
      <c r="BX289" s="72">
        <f t="shared" ref="BX289" si="1571">M289</f>
        <v>64</v>
      </c>
      <c r="BY289" s="71">
        <f t="shared" ref="BY289" si="1572">Q289</f>
        <v>96</v>
      </c>
      <c r="BZ289" s="72">
        <f t="shared" ref="BZ289" si="1573">U289</f>
        <v>101</v>
      </c>
      <c r="CA289" s="71">
        <f t="shared" ref="CA289" si="1574">Y289</f>
        <v>136</v>
      </c>
      <c r="CB289" s="72">
        <f t="shared" ref="CB289" si="1575">AC289</f>
        <v>144</v>
      </c>
      <c r="CC289" s="71">
        <f t="shared" ref="CC289" si="1576">AG289</f>
        <v>182</v>
      </c>
      <c r="CD289" s="72">
        <f t="shared" ref="CD289" si="1577">AK289</f>
        <v>194</v>
      </c>
      <c r="CE289" s="71">
        <f t="shared" ref="CE289" si="1578">AO289</f>
        <v>2244</v>
      </c>
      <c r="CF289" s="72">
        <f t="shared" ref="CF289" si="1579">AS289</f>
        <v>2278</v>
      </c>
      <c r="CG289" s="71">
        <f t="shared" ref="CG289" si="1580">AW289</f>
        <v>2308</v>
      </c>
      <c r="CH289" s="70">
        <f t="shared" ref="CH289" si="1581">G289</f>
        <v>60</v>
      </c>
      <c r="CI289" s="71" t="str">
        <f t="shared" ref="CI289" si="1582">K289</f>
        <v>-</v>
      </c>
      <c r="CJ289" s="72">
        <f t="shared" ref="CJ289" si="1583">O289</f>
        <v>94</v>
      </c>
      <c r="CK289" s="72">
        <f t="shared" ref="CK289" si="1584">S289</f>
        <v>99</v>
      </c>
      <c r="CL289" s="72">
        <f t="shared" ref="CL289" si="1585">W289</f>
        <v>135</v>
      </c>
      <c r="CM289" s="72">
        <f t="shared" ref="CM289" si="1586">AA289</f>
        <v>143</v>
      </c>
      <c r="CN289" s="72">
        <f t="shared" ref="CN289" si="1587">AE289</f>
        <v>170</v>
      </c>
      <c r="CO289" s="72">
        <f t="shared" ref="CO289" si="1588">AI289</f>
        <v>184</v>
      </c>
      <c r="CP289" s="72">
        <f t="shared" ref="CP289" si="1589">AM289</f>
        <v>236</v>
      </c>
      <c r="CQ289" s="72">
        <f t="shared" ref="CQ289" si="1590">AQ289</f>
        <v>2271</v>
      </c>
      <c r="CR289" s="72">
        <f t="shared" ref="CR289" si="1591">AU289</f>
        <v>2307</v>
      </c>
      <c r="CS289" s="72">
        <f t="shared" ref="CS289" si="1592">AY289</f>
        <v>2325</v>
      </c>
      <c r="CT289" s="23" t="e">
        <f t="shared" ref="CT289" si="1593">M289-K289</f>
        <v>#VALUE!</v>
      </c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</row>
    <row r="290" spans="1:1029" x14ac:dyDescent="0.2">
      <c r="A290" s="3" t="str">
        <f t="shared" ref="A290" si="1594">CONCATENATE(B290,"_",C290)</f>
        <v>pd2r2_human_6D27</v>
      </c>
      <c r="B290" s="3" t="s">
        <v>360</v>
      </c>
      <c r="C290" s="3" t="s">
        <v>1543</v>
      </c>
      <c r="D290" s="3" t="str">
        <f>IFERROR(MID(VLOOKUP($B290,Seqs!$A:$B,2,0),E290,1),"")</f>
        <v>D</v>
      </c>
      <c r="E290" s="3">
        <v>32</v>
      </c>
      <c r="F290" s="3" t="str">
        <f>IFERROR(MID(VLOOKUP($B290,Seqs!$A:$B,2,0),G290,1),"")</f>
        <v>R</v>
      </c>
      <c r="G290" s="3">
        <v>60</v>
      </c>
      <c r="H290" s="3" t="str">
        <f>IFERROR(MID(VLOOKUP($B290,Seqs!$A:$B,2,0),I290,1),"")</f>
        <v/>
      </c>
      <c r="I290" s="23" t="s">
        <v>23</v>
      </c>
      <c r="J290" s="3" t="str">
        <f>IFERROR(MID(VLOOKUP($B290,Seqs!$A:$B,2,0),K290,1),"")</f>
        <v/>
      </c>
      <c r="K290" s="23" t="s">
        <v>23</v>
      </c>
      <c r="L290" s="3" t="str">
        <f>IFERROR(MID(VLOOKUP($B290,Seqs!$A:$B,2,0),M290,1),"")</f>
        <v>T</v>
      </c>
      <c r="M290" s="3">
        <v>64</v>
      </c>
      <c r="N290" s="3" t="str">
        <f>IFERROR(MID(VLOOKUP($B290,Seqs!$A:$B,2,0),O290,1),"")</f>
        <v>G</v>
      </c>
      <c r="O290" s="3">
        <v>94</v>
      </c>
      <c r="P290" s="3" t="str">
        <f>IFERROR(MID(VLOOKUP($B290,Seqs!$A:$B,2,0),Q290,1),"")</f>
        <v>S</v>
      </c>
      <c r="Q290" s="3">
        <v>96</v>
      </c>
      <c r="R290" s="3" t="str">
        <f>IFERROR(MID(VLOOKUP($B290,Seqs!$A:$B,2,0),S290,1),"")</f>
        <v>L</v>
      </c>
      <c r="S290" s="3">
        <v>99</v>
      </c>
      <c r="T290" s="3" t="str">
        <f>IFERROR(MID(VLOOKUP($B290,Seqs!$A:$B,2,0),U290,1),"")</f>
        <v>T</v>
      </c>
      <c r="U290" s="3">
        <v>101</v>
      </c>
      <c r="V290" s="3" t="str">
        <f>IFERROR(MID(VLOOKUP($B290,Seqs!$A:$B,2,0),W290,1),"")</f>
        <v>R</v>
      </c>
      <c r="W290" s="3">
        <v>135</v>
      </c>
      <c r="X290" s="3" t="str">
        <f>IFERROR(MID(VLOOKUP($B290,Seqs!$A:$B,2,0),Y290,1),"")</f>
        <v>P</v>
      </c>
      <c r="Y290" s="3">
        <v>136</v>
      </c>
      <c r="Z290" s="3" t="str">
        <f>IFERROR(MID(VLOOKUP($B290,Seqs!$A:$B,2,0),AA290,1),"")</f>
        <v>R</v>
      </c>
      <c r="AA290" s="3">
        <v>143</v>
      </c>
      <c r="AB290" s="3" t="str">
        <f>IFERROR(MID(VLOOKUP($B290,Seqs!$A:$B,2,0),AC290,1),"")</f>
        <v>T</v>
      </c>
      <c r="AC290" s="3">
        <v>144</v>
      </c>
      <c r="AD290" s="3" t="str">
        <f>IFERROR(MID(VLOOKUP($B290,Seqs!$A:$B,2,0),AE290,1),"")</f>
        <v>R</v>
      </c>
      <c r="AE290" s="3">
        <v>170</v>
      </c>
      <c r="AF290" s="3" t="str">
        <f>IFERROR(MID(VLOOKUP($B290,Seqs!$A:$B,2,0),AG290,1),"")</f>
        <v>C</v>
      </c>
      <c r="AG290" s="3">
        <v>182</v>
      </c>
      <c r="AH290" s="3" t="str">
        <f>IFERROR(MID(VLOOKUP($B290,Seqs!$A:$B,2,0),AI290,1),"")</f>
        <v>Y</v>
      </c>
      <c r="AI290" s="3">
        <v>184</v>
      </c>
      <c r="AJ290" s="3" t="str">
        <f>IFERROR(MID(VLOOKUP($B290,Seqs!$A:$B,2,0),AK290,1),"")</f>
        <v>D</v>
      </c>
      <c r="AK290" s="3">
        <v>194</v>
      </c>
      <c r="AL290" s="3" t="str">
        <f>IFERROR(MID(VLOOKUP($B290,Seqs!$A:$B,2,0),AM290,1),"")</f>
        <v>R</v>
      </c>
      <c r="AM290" s="3">
        <v>236</v>
      </c>
      <c r="AN290" s="3" t="str">
        <f>IFERROR(MID(VLOOKUP($B290,Seqs!$A:$B,2,0),AO290,1),"")</f>
        <v/>
      </c>
      <c r="AO290" s="3">
        <v>2244</v>
      </c>
      <c r="AP290" s="3" t="str">
        <f>IFERROR(MID(VLOOKUP($B290,Seqs!$A:$B,2,0),AQ290,1),"")</f>
        <v/>
      </c>
      <c r="AQ290" s="3">
        <v>2271</v>
      </c>
      <c r="AR290" s="3" t="str">
        <f>IFERROR(MID(VLOOKUP($B290,Seqs!$A:$B,2,0),AS290,1),"")</f>
        <v/>
      </c>
      <c r="AS290" s="3">
        <v>2278</v>
      </c>
      <c r="AT290" s="3" t="str">
        <f>IFERROR(MID(VLOOKUP($B290,Seqs!$A:$B,2,0),AU290,1),"")</f>
        <v/>
      </c>
      <c r="AU290" s="3">
        <v>2307</v>
      </c>
      <c r="AV290" s="3" t="str">
        <f>IFERROR(MID(VLOOKUP($B290,Seqs!$A:$B,2,0),AW290,1),"")</f>
        <v/>
      </c>
      <c r="AW290" s="3">
        <v>2308</v>
      </c>
      <c r="AX290" s="3" t="str">
        <f>IFERROR(MID(VLOOKUP($B290,Seqs!$A:$B,2,0),AY290,1),"")</f>
        <v/>
      </c>
      <c r="AY290" s="3">
        <v>2325</v>
      </c>
      <c r="AZ290" s="77" t="str">
        <f>VLOOKUP(B290,Classification!A:D,2,0)</f>
        <v>A</v>
      </c>
      <c r="BA290" s="94" t="str">
        <f>VLOOKUP(B290,Classification!A:D,4,0)</f>
        <v>Prostanoid</v>
      </c>
      <c r="BB290" s="27" t="b">
        <f t="shared" ref="BB290" si="1595">AND(E290&lt;G290,OR(G290&lt;I290,I290="-"),OR(I290&lt;K290,I290="-"),OR(K290&lt;M290,K290="-"),M290&lt;O290,OR(O290&lt;Q290,Q290="-"),OR(Q290&lt;S290,Q290="-"),OR(S290&lt;U290,S290="-"),U290&lt;W290,OR(W290&lt;Y290,Y290="-"),OR(Y290&lt;AA290,Y290="-"),OR(AA290&lt;AC290,AA290="-"),AC290&lt;AE290,OR(AE290&lt;AG290,AG290="-"),OR(AG290&lt;AI290,AG290="-"),OR(AI290&lt;AK290,AI290="-"),AK290&lt;AM290,AM290&lt;AO290,AO290&lt;AQ290,AQ290&lt;AS290,AS290&lt;AU290,OR(AU290&lt;AW290,AW290="-"),OR(AW290&lt;AY290,AW290="-"))</f>
        <v>1</v>
      </c>
      <c r="BC290" s="23">
        <f t="shared" ref="BC290" si="1596">_xlfn.AGGREGATE(9,6,CH290:CS290)-_xlfn.AGGREGATE(9,6,BV290:CG290)+12</f>
        <v>257</v>
      </c>
      <c r="BD290" s="2" t="s">
        <v>1377</v>
      </c>
      <c r="BE290" s="3" t="s">
        <v>1375</v>
      </c>
      <c r="BF290" s="119">
        <v>4.74</v>
      </c>
      <c r="BG290" s="49" t="s">
        <v>1</v>
      </c>
      <c r="BH290" s="49" t="s">
        <v>1</v>
      </c>
      <c r="BI290" s="1"/>
      <c r="BJ290" s="70" t="s">
        <v>1288</v>
      </c>
      <c r="BK290" s="57" t="s">
        <v>1288</v>
      </c>
      <c r="BL290" s="57" t="s">
        <v>1288</v>
      </c>
      <c r="BM290" s="57" t="s">
        <v>1288</v>
      </c>
      <c r="BN290" s="57" t="s">
        <v>1288</v>
      </c>
      <c r="BO290" s="57" t="s">
        <v>1288</v>
      </c>
      <c r="BP290" s="57" t="s">
        <v>1288</v>
      </c>
      <c r="BQ290" s="57" t="s">
        <v>1288</v>
      </c>
      <c r="BR290" s="57" t="s">
        <v>1288</v>
      </c>
      <c r="BS290" s="57" t="s">
        <v>1288</v>
      </c>
      <c r="BT290" s="57" t="s">
        <v>1288</v>
      </c>
      <c r="BU290" s="57" t="s">
        <v>1288</v>
      </c>
      <c r="BV290" s="70">
        <f t="shared" ref="BV290" si="1597">E290</f>
        <v>32</v>
      </c>
      <c r="BW290" s="71" t="str">
        <f t="shared" ref="BW290" si="1598">I290</f>
        <v>-</v>
      </c>
      <c r="BX290" s="72">
        <f t="shared" ref="BX290" si="1599">M290</f>
        <v>64</v>
      </c>
      <c r="BY290" s="71">
        <f t="shared" ref="BY290" si="1600">Q290</f>
        <v>96</v>
      </c>
      <c r="BZ290" s="72">
        <f t="shared" ref="BZ290" si="1601">U290</f>
        <v>101</v>
      </c>
      <c r="CA290" s="71">
        <f t="shared" ref="CA290" si="1602">Y290</f>
        <v>136</v>
      </c>
      <c r="CB290" s="72">
        <f t="shared" ref="CB290" si="1603">AC290</f>
        <v>144</v>
      </c>
      <c r="CC290" s="71">
        <f t="shared" ref="CC290" si="1604">AG290</f>
        <v>182</v>
      </c>
      <c r="CD290" s="72">
        <f t="shared" ref="CD290" si="1605">AK290</f>
        <v>194</v>
      </c>
      <c r="CE290" s="71">
        <f t="shared" ref="CE290" si="1606">AO290</f>
        <v>2244</v>
      </c>
      <c r="CF290" s="72">
        <f t="shared" ref="CF290" si="1607">AS290</f>
        <v>2278</v>
      </c>
      <c r="CG290" s="71">
        <f t="shared" ref="CG290" si="1608">AW290</f>
        <v>2308</v>
      </c>
      <c r="CH290" s="70">
        <f t="shared" ref="CH290" si="1609">G290</f>
        <v>60</v>
      </c>
      <c r="CI290" s="71" t="str">
        <f t="shared" ref="CI290" si="1610">K290</f>
        <v>-</v>
      </c>
      <c r="CJ290" s="72">
        <f t="shared" ref="CJ290" si="1611">O290</f>
        <v>94</v>
      </c>
      <c r="CK290" s="72">
        <f t="shared" ref="CK290" si="1612">S290</f>
        <v>99</v>
      </c>
      <c r="CL290" s="72">
        <f t="shared" ref="CL290" si="1613">W290</f>
        <v>135</v>
      </c>
      <c r="CM290" s="72">
        <f t="shared" ref="CM290" si="1614">AA290</f>
        <v>143</v>
      </c>
      <c r="CN290" s="72">
        <f t="shared" ref="CN290" si="1615">AE290</f>
        <v>170</v>
      </c>
      <c r="CO290" s="72">
        <f t="shared" ref="CO290" si="1616">AI290</f>
        <v>184</v>
      </c>
      <c r="CP290" s="72">
        <f t="shared" ref="CP290" si="1617">AM290</f>
        <v>236</v>
      </c>
      <c r="CQ290" s="72">
        <f t="shared" ref="CQ290" si="1618">AQ290</f>
        <v>2271</v>
      </c>
      <c r="CR290" s="72">
        <f t="shared" ref="CR290" si="1619">AU290</f>
        <v>2307</v>
      </c>
      <c r="CS290" s="72">
        <f t="shared" ref="CS290" si="1620">AY290</f>
        <v>2325</v>
      </c>
      <c r="CT290" s="23" t="e">
        <f t="shared" ref="CT290" si="1621">M290-K290</f>
        <v>#VALUE!</v>
      </c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</row>
    <row r="291" spans="1:1029" s="12" customFormat="1" x14ac:dyDescent="0.2">
      <c r="A291" s="9" t="str">
        <f t="shared" ref="A291:A293" si="1622">CONCATENATE(B291,"_",C291)</f>
        <v>pe2r3_human__wt</v>
      </c>
      <c r="B291" s="9" t="s">
        <v>363</v>
      </c>
      <c r="C291" s="9" t="s">
        <v>100</v>
      </c>
      <c r="D291" s="9" t="str">
        <f>IFERROR(MID(VLOOKUP($B291,Seqs!$A:$B,2,0),E291,1),"")</f>
        <v>V</v>
      </c>
      <c r="E291" s="9">
        <v>52</v>
      </c>
      <c r="F291" s="9" t="str">
        <f>IFERROR(MID(VLOOKUP($B291,Seqs!$A:$B,2,0),G291,1),"")</f>
        <v>R</v>
      </c>
      <c r="G291" s="9">
        <v>78</v>
      </c>
      <c r="H291" s="9" t="str">
        <f>IFERROR(MID(VLOOKUP($B291,Seqs!$A:$B,2,0),I291,1),"")</f>
        <v/>
      </c>
      <c r="I291" s="109" t="s">
        <v>23</v>
      </c>
      <c r="J291" s="9" t="str">
        <f>IFERROR(MID(VLOOKUP($B291,Seqs!$A:$B,2,0),K291,1),"")</f>
        <v/>
      </c>
      <c r="K291" s="109" t="s">
        <v>23</v>
      </c>
      <c r="L291" s="9" t="str">
        <f>IFERROR(MID(VLOOKUP($B291,Seqs!$A:$B,2,0),M291,1),"")</f>
        <v>K</v>
      </c>
      <c r="M291" s="9">
        <v>85</v>
      </c>
      <c r="N291" s="9" t="str">
        <f>IFERROR(MID(VLOOKUP($B291,Seqs!$A:$B,2,0),O291,1),"")</f>
        <v>K</v>
      </c>
      <c r="O291" s="9">
        <v>117</v>
      </c>
      <c r="P291" s="9" t="str">
        <f>IFERROR(MID(VLOOKUP($B291,Seqs!$A:$B,2,0),Q291,1),"")</f>
        <v>Q</v>
      </c>
      <c r="Q291" s="9">
        <v>118</v>
      </c>
      <c r="R291" s="9" t="str">
        <f>IFERROR(MID(VLOOKUP($B291,Seqs!$A:$B,2,0),S291,1),"")</f>
        <v>S</v>
      </c>
      <c r="S291" s="9">
        <v>126</v>
      </c>
      <c r="T291" s="9" t="str">
        <f>IFERROR(MID(VLOOKUP($B291,Seqs!$A:$B,2,0),U291,1),"")</f>
        <v>G</v>
      </c>
      <c r="U291" s="9">
        <v>127</v>
      </c>
      <c r="V291" s="9" t="str">
        <f>IFERROR(MID(VLOOKUP($B291,Seqs!$A:$B,2,0),W291,1),"")</f>
        <v>A</v>
      </c>
      <c r="W291" s="9">
        <v>161</v>
      </c>
      <c r="X291" s="9" t="str">
        <f>IFERROR(MID(VLOOKUP($B291,Seqs!$A:$B,2,0),Y291,1),"")</f>
        <v>P</v>
      </c>
      <c r="Y291" s="9">
        <v>162</v>
      </c>
      <c r="Z291" s="9" t="str">
        <f>IFERROR(MID(VLOOKUP($B291,Seqs!$A:$B,2,0),AA291,1),"")</f>
        <v>M</v>
      </c>
      <c r="AA291" s="9">
        <v>169</v>
      </c>
      <c r="AB291" s="9" t="str">
        <f>IFERROR(MID(VLOOKUP($B291,Seqs!$A:$B,2,0),AC291,1),"")</f>
        <v>K</v>
      </c>
      <c r="AC291" s="9">
        <v>170</v>
      </c>
      <c r="AD291" s="9" t="str">
        <f>IFERROR(MID(VLOOKUP($B291,Seqs!$A:$B,2,0),AE291,1),"")</f>
        <v>G</v>
      </c>
      <c r="AE291" s="9">
        <v>195</v>
      </c>
      <c r="AF291" s="9" t="str">
        <f>IFERROR(MID(VLOOKUP($B291,Seqs!$A:$B,2,0),AG291,1),"")</f>
        <v>C</v>
      </c>
      <c r="AG291" s="9">
        <v>208</v>
      </c>
      <c r="AH291" s="9" t="str">
        <f>IFERROR(MID(VLOOKUP($B291,Seqs!$A:$B,2,0),AI291,1),"")</f>
        <v>I</v>
      </c>
      <c r="AI291" s="9">
        <v>210</v>
      </c>
      <c r="AJ291" s="9" t="str">
        <f>IFERROR(MID(VLOOKUP($B291,Seqs!$A:$B,2,0),AK291,1),"")</f>
        <v>W</v>
      </c>
      <c r="AK291" s="9">
        <v>225</v>
      </c>
      <c r="AL291" s="9" t="str">
        <f>IFERROR(MID(VLOOKUP($B291,Seqs!$A:$B,2,0),AM291,1),"")</f>
        <v>T</v>
      </c>
      <c r="AM291" s="9">
        <v>265</v>
      </c>
      <c r="AN291" s="9" t="str">
        <f>IFERROR(MID(VLOOKUP($B291,Seqs!$A:$B,2,0),AO291,1),"")</f>
        <v>A</v>
      </c>
      <c r="AO291" s="9">
        <v>271</v>
      </c>
      <c r="AP291" s="9" t="str">
        <f>IFERROR(MID(VLOOKUP($B291,Seqs!$A:$B,2,0),AQ291,1),"")</f>
        <v>S</v>
      </c>
      <c r="AQ291" s="9">
        <v>311</v>
      </c>
      <c r="AR291" s="9" t="str">
        <f>IFERROR(MID(VLOOKUP($B291,Seqs!$A:$B,2,0),AS291,1),"")</f>
        <v>T</v>
      </c>
      <c r="AS291" s="9">
        <v>317</v>
      </c>
      <c r="AT291" s="9" t="str">
        <f>IFERROR(MID(VLOOKUP($B291,Seqs!$A:$B,2,0),AU291,1),"")</f>
        <v>Y</v>
      </c>
      <c r="AU291" s="9">
        <v>346</v>
      </c>
      <c r="AV291" s="9" t="str">
        <f>IFERROR(MID(VLOOKUP($B291,Seqs!$A:$B,2,0),AW291,1),"")</f>
        <v>L</v>
      </c>
      <c r="AW291" s="9">
        <v>347</v>
      </c>
      <c r="AX291" s="9" t="str">
        <f>IFERROR(MID(VLOOKUP($B291,Seqs!$A:$B,2,0),AY291,1),"")</f>
        <v>S</v>
      </c>
      <c r="AY291" s="9">
        <v>369</v>
      </c>
      <c r="AZ291" s="110" t="str">
        <f>VLOOKUP(B291,Classification!A:D,2,0)</f>
        <v>A</v>
      </c>
      <c r="BA291" s="98" t="str">
        <f>VLOOKUP(B291,Classification!A:D,4,0)</f>
        <v>Prostanoid</v>
      </c>
      <c r="BB291" s="36" t="b">
        <f t="shared" ref="BB291:BB293" si="1623">AND(E291&lt;G291,OR(G291&lt;I291,I291="-"),OR(I291&lt;K291,I291="-"),OR(K291&lt;M291,K291="-"),M291&lt;O291,OR(O291&lt;Q291,Q291="-"),OR(Q291&lt;S291,Q291="-"),OR(S291&lt;U291,S291="-"),U291&lt;W291,OR(W291&lt;Y291,Y291="-"),OR(Y291&lt;AA291,Y291="-"),OR(AA291&lt;AC291,AA291="-"),AC291&lt;AE291,OR(AE291&lt;AG291,AG291="-"),OR(AG291&lt;AI291,AG291="-"),OR(AI291&lt;AK291,AI291="-"),AK291&lt;AM291,AM291&lt;AO291,AO291&lt;AQ291,AQ291&lt;AS291,AS291&lt;AU291,OR(AU291&lt;AW291,AW291="-"),OR(AW291&lt;AY291,AW291="-"))</f>
        <v>1</v>
      </c>
      <c r="BC291" s="109">
        <f t="shared" ref="BC291:BC293" si="1624">_xlfn.AGGREGATE(9,6,CH291:CS291)-_xlfn.AGGREGATE(9,6,BV291:CG291)+12</f>
        <v>277</v>
      </c>
      <c r="BD291" s="40" t="s">
        <v>23</v>
      </c>
      <c r="BE291" s="9" t="s">
        <v>23</v>
      </c>
      <c r="BF291" s="120" t="s">
        <v>23</v>
      </c>
      <c r="BG291" s="51" t="s">
        <v>23</v>
      </c>
      <c r="BH291" s="51" t="s">
        <v>23</v>
      </c>
      <c r="BJ291" s="111" t="s">
        <v>1288</v>
      </c>
      <c r="BK291" s="112" t="s">
        <v>1288</v>
      </c>
      <c r="BL291" s="112" t="s">
        <v>1288</v>
      </c>
      <c r="BM291" s="112" t="s">
        <v>1288</v>
      </c>
      <c r="BN291" s="112" t="s">
        <v>1288</v>
      </c>
      <c r="BO291" s="112" t="s">
        <v>1288</v>
      </c>
      <c r="BP291" s="112" t="s">
        <v>1288</v>
      </c>
      <c r="BQ291" s="112" t="s">
        <v>1288</v>
      </c>
      <c r="BR291" s="112" t="s">
        <v>1288</v>
      </c>
      <c r="BS291" s="112" t="s">
        <v>1288</v>
      </c>
      <c r="BT291" s="112" t="s">
        <v>1288</v>
      </c>
      <c r="BU291" s="112" t="s">
        <v>1288</v>
      </c>
      <c r="BV291" s="111">
        <f t="shared" ref="BV291:BV293" si="1625">E291</f>
        <v>52</v>
      </c>
      <c r="BW291" s="113" t="str">
        <f t="shared" ref="BW291:BW293" si="1626">I291</f>
        <v>-</v>
      </c>
      <c r="BX291" s="114">
        <f t="shared" ref="BX291:BX293" si="1627">M291</f>
        <v>85</v>
      </c>
      <c r="BY291" s="113">
        <f t="shared" ref="BY291:BY293" si="1628">Q291</f>
        <v>118</v>
      </c>
      <c r="BZ291" s="114">
        <f t="shared" ref="BZ291:BZ293" si="1629">U291</f>
        <v>127</v>
      </c>
      <c r="CA291" s="113">
        <f t="shared" ref="CA291:CA293" si="1630">Y291</f>
        <v>162</v>
      </c>
      <c r="CB291" s="114">
        <f t="shared" ref="CB291:CB293" si="1631">AC291</f>
        <v>170</v>
      </c>
      <c r="CC291" s="113">
        <f t="shared" ref="CC291:CC293" si="1632">AG291</f>
        <v>208</v>
      </c>
      <c r="CD291" s="114">
        <f t="shared" ref="CD291:CD293" si="1633">AK291</f>
        <v>225</v>
      </c>
      <c r="CE291" s="113">
        <f t="shared" ref="CE291:CE293" si="1634">AO291</f>
        <v>271</v>
      </c>
      <c r="CF291" s="114">
        <f t="shared" ref="CF291:CF293" si="1635">AS291</f>
        <v>317</v>
      </c>
      <c r="CG291" s="113">
        <f t="shared" ref="CG291:CG293" si="1636">AW291</f>
        <v>347</v>
      </c>
      <c r="CH291" s="111">
        <f t="shared" ref="CH291:CH293" si="1637">G291</f>
        <v>78</v>
      </c>
      <c r="CI291" s="113" t="str">
        <f t="shared" ref="CI291:CI293" si="1638">K291</f>
        <v>-</v>
      </c>
      <c r="CJ291" s="114">
        <f t="shared" ref="CJ291:CJ293" si="1639">O291</f>
        <v>117</v>
      </c>
      <c r="CK291" s="114">
        <f t="shared" ref="CK291:CK293" si="1640">S291</f>
        <v>126</v>
      </c>
      <c r="CL291" s="114">
        <f t="shared" ref="CL291:CL293" si="1641">W291</f>
        <v>161</v>
      </c>
      <c r="CM291" s="114">
        <f t="shared" ref="CM291:CM293" si="1642">AA291</f>
        <v>169</v>
      </c>
      <c r="CN291" s="114">
        <f t="shared" ref="CN291:CN293" si="1643">AE291</f>
        <v>195</v>
      </c>
      <c r="CO291" s="114">
        <f t="shared" ref="CO291:CO293" si="1644">AI291</f>
        <v>210</v>
      </c>
      <c r="CP291" s="114">
        <f t="shared" ref="CP291:CP293" si="1645">AM291</f>
        <v>265</v>
      </c>
      <c r="CQ291" s="114">
        <f t="shared" ref="CQ291:CQ293" si="1646">AQ291</f>
        <v>311</v>
      </c>
      <c r="CR291" s="114">
        <f t="shared" ref="CR291:CR293" si="1647">AU291</f>
        <v>346</v>
      </c>
      <c r="CS291" s="114">
        <f t="shared" ref="CS291:CS293" si="1648">AY291</f>
        <v>369</v>
      </c>
      <c r="CT291" s="109" t="e">
        <f t="shared" ref="CT291:CT293" si="1649">M291-K291</f>
        <v>#VALUE!</v>
      </c>
    </row>
    <row r="292" spans="1:1029" s="12" customFormat="1" x14ac:dyDescent="0.2">
      <c r="A292" s="9" t="str">
        <f t="shared" ref="A292" si="1650">CONCATENATE(B292,"_",C292)</f>
        <v>pe2r3_human_6AK3</v>
      </c>
      <c r="B292" s="9" t="s">
        <v>363</v>
      </c>
      <c r="C292" s="9" t="s">
        <v>1540</v>
      </c>
      <c r="D292" s="9" t="str">
        <f>IFERROR(MID(VLOOKUP($B292,Seqs!$A:$B,2,0),E292,1),"")</f>
        <v>V</v>
      </c>
      <c r="E292" s="9">
        <v>52</v>
      </c>
      <c r="F292" s="9" t="str">
        <f>IFERROR(MID(VLOOKUP($B292,Seqs!$A:$B,2,0),G292,1),"")</f>
        <v>Y</v>
      </c>
      <c r="G292" s="9">
        <v>77</v>
      </c>
      <c r="H292" s="9" t="str">
        <f>IFERROR(MID(VLOOKUP($B292,Seqs!$A:$B,2,0),I292,1),"")</f>
        <v/>
      </c>
      <c r="I292" s="109" t="s">
        <v>23</v>
      </c>
      <c r="J292" s="9" t="str">
        <f>IFERROR(MID(VLOOKUP($B292,Seqs!$A:$B,2,0),K292,1),"")</f>
        <v/>
      </c>
      <c r="K292" s="109" t="s">
        <v>23</v>
      </c>
      <c r="L292" s="9" t="str">
        <f>IFERROR(MID(VLOOKUP($B292,Seqs!$A:$B,2,0),M292,1),"")</f>
        <v>K</v>
      </c>
      <c r="M292" s="9">
        <v>86</v>
      </c>
      <c r="N292" s="9" t="str">
        <f>IFERROR(MID(VLOOKUP($B292,Seqs!$A:$B,2,0),O292,1),"")</f>
        <v>K</v>
      </c>
      <c r="O292" s="9">
        <v>117</v>
      </c>
      <c r="P292" s="9" t="str">
        <f>IFERROR(MID(VLOOKUP($B292,Seqs!$A:$B,2,0),Q292,1),"")</f>
        <v/>
      </c>
      <c r="Q292" s="9" t="s">
        <v>23</v>
      </c>
      <c r="R292" s="9" t="str">
        <f>IFERROR(MID(VLOOKUP($B292,Seqs!$A:$B,2,0),S292,1),"")</f>
        <v/>
      </c>
      <c r="S292" s="9" t="s">
        <v>23</v>
      </c>
      <c r="T292" s="9" t="str">
        <f>IFERROR(MID(VLOOKUP($B292,Seqs!$A:$B,2,0),U292,1),"")</f>
        <v>G</v>
      </c>
      <c r="U292" s="9">
        <v>127</v>
      </c>
      <c r="V292" s="9" t="str">
        <f>IFERROR(MID(VLOOKUP($B292,Seqs!$A:$B,2,0),W292,1),"")</f>
        <v>A</v>
      </c>
      <c r="W292" s="9">
        <v>161</v>
      </c>
      <c r="X292" s="9" t="str">
        <f>IFERROR(MID(VLOOKUP($B292,Seqs!$A:$B,2,0),Y292,1),"")</f>
        <v>P</v>
      </c>
      <c r="Y292" s="9">
        <v>162</v>
      </c>
      <c r="Z292" s="9" t="str">
        <f>IFERROR(MID(VLOOKUP($B292,Seqs!$A:$B,2,0),AA292,1),"")</f>
        <v>M</v>
      </c>
      <c r="AA292" s="9">
        <v>169</v>
      </c>
      <c r="AB292" s="9" t="str">
        <f>IFERROR(MID(VLOOKUP($B292,Seqs!$A:$B,2,0),AC292,1),"")</f>
        <v>K</v>
      </c>
      <c r="AC292" s="9">
        <v>170</v>
      </c>
      <c r="AD292" s="9" t="str">
        <f>IFERROR(MID(VLOOKUP($B292,Seqs!$A:$B,2,0),AE292,1),"")</f>
        <v>G</v>
      </c>
      <c r="AE292" s="9">
        <v>195</v>
      </c>
      <c r="AF292" s="9" t="str">
        <f>IFERROR(MID(VLOOKUP($B292,Seqs!$A:$B,2,0),AG292,1),"")</f>
        <v>C</v>
      </c>
      <c r="AG292" s="9">
        <v>208</v>
      </c>
      <c r="AH292" s="9" t="str">
        <f>IFERROR(MID(VLOOKUP($B292,Seqs!$A:$B,2,0),AI292,1),"")</f>
        <v>I</v>
      </c>
      <c r="AI292" s="9">
        <v>210</v>
      </c>
      <c r="AJ292" s="9" t="str">
        <f>IFERROR(MID(VLOOKUP($B292,Seqs!$A:$B,2,0),AK292,1),"")</f>
        <v>G</v>
      </c>
      <c r="AK292" s="9">
        <v>226</v>
      </c>
      <c r="AL292" s="9" t="str">
        <f>IFERROR(MID(VLOOKUP($B292,Seqs!$A:$B,2,0),AM292,1),"")</f>
        <v>A</v>
      </c>
      <c r="AM292" s="9">
        <v>264</v>
      </c>
      <c r="AN292" s="9" t="str">
        <f>IFERROR(MID(VLOOKUP($B292,Seqs!$A:$B,2,0),AO292,1),"")</f>
        <v>A</v>
      </c>
      <c r="AO292" s="9">
        <v>271</v>
      </c>
      <c r="AP292" s="9" t="str">
        <f>IFERROR(MID(VLOOKUP($B292,Seqs!$A:$B,2,0),AQ292,1),"")</f>
        <v>F</v>
      </c>
      <c r="AQ292" s="9">
        <v>307</v>
      </c>
      <c r="AR292" s="9" t="str">
        <f>IFERROR(MID(VLOOKUP($B292,Seqs!$A:$B,2,0),AS292,1),"")</f>
        <v>K</v>
      </c>
      <c r="AS292" s="9">
        <v>323</v>
      </c>
      <c r="AT292" s="9" t="str">
        <f>IFERROR(MID(VLOOKUP($B292,Seqs!$A:$B,2,0),AU292,1),"")</f>
        <v>Y</v>
      </c>
      <c r="AU292" s="9">
        <v>346</v>
      </c>
      <c r="AV292" s="9" t="str">
        <f>IFERROR(MID(VLOOKUP($B292,Seqs!$A:$B,2,0),AW292,1),"")</f>
        <v>L</v>
      </c>
      <c r="AW292" s="9">
        <v>347</v>
      </c>
      <c r="AX292" s="9" t="str">
        <f>IFERROR(MID(VLOOKUP($B292,Seqs!$A:$B,2,0),AY292,1),"")</f>
        <v>L</v>
      </c>
      <c r="AY292" s="9">
        <v>353</v>
      </c>
      <c r="AZ292" s="110" t="str">
        <f>VLOOKUP(B292,Classification!A:D,2,0)</f>
        <v>A</v>
      </c>
      <c r="BA292" s="98" t="str">
        <f>VLOOKUP(B292,Classification!A:D,4,0)</f>
        <v>Prostanoid</v>
      </c>
      <c r="BB292" s="36" t="b">
        <f t="shared" ref="BB292" si="1651">AND(E292&lt;G292,OR(G292&lt;I292,I292="-"),OR(I292&lt;K292,I292="-"),OR(K292&lt;M292,K292="-"),M292&lt;O292,OR(O292&lt;Q292,Q292="-"),OR(Q292&lt;S292,Q292="-"),OR(S292&lt;U292,S292="-"),U292&lt;W292,OR(W292&lt;Y292,Y292="-"),OR(Y292&lt;AA292,Y292="-"),OR(AA292&lt;AC292,AA292="-"),AC292&lt;AE292,OR(AE292&lt;AG292,AG292="-"),OR(AG292&lt;AI292,AG292="-"),OR(AI292&lt;AK292,AI292="-"),AK292&lt;AM292,AM292&lt;AO292,AO292&lt;AQ292,AQ292&lt;AS292,AS292&lt;AU292,OR(AU292&lt;AW292,AW292="-"),OR(AW292&lt;AY292,AW292="-"))</f>
        <v>1</v>
      </c>
      <c r="BC292" s="109">
        <f t="shared" ref="BC292" si="1652">_xlfn.AGGREGATE(9,6,CH292:CS292)-_xlfn.AGGREGATE(9,6,BV292:CG292)+12</f>
        <v>239</v>
      </c>
      <c r="BD292" s="40" t="s">
        <v>1376</v>
      </c>
      <c r="BE292" s="9" t="s">
        <v>1292</v>
      </c>
      <c r="BF292" s="120">
        <v>2.9</v>
      </c>
      <c r="BG292" s="51" t="s">
        <v>1282</v>
      </c>
      <c r="BH292" s="51" t="s">
        <v>1282</v>
      </c>
      <c r="BJ292" s="111" t="s">
        <v>1288</v>
      </c>
      <c r="BK292" s="112" t="s">
        <v>1288</v>
      </c>
      <c r="BL292" s="112" t="s">
        <v>1288</v>
      </c>
      <c r="BM292" s="112" t="s">
        <v>1288</v>
      </c>
      <c r="BN292" s="112" t="s">
        <v>1288</v>
      </c>
      <c r="BO292" s="112" t="s">
        <v>1288</v>
      </c>
      <c r="BP292" s="112" t="s">
        <v>1288</v>
      </c>
      <c r="BQ292" s="112" t="s">
        <v>1288</v>
      </c>
      <c r="BR292" s="112" t="s">
        <v>1288</v>
      </c>
      <c r="BS292" s="112" t="s">
        <v>1288</v>
      </c>
      <c r="BT292" s="112" t="s">
        <v>1288</v>
      </c>
      <c r="BU292" s="112" t="s">
        <v>1288</v>
      </c>
      <c r="BV292" s="111">
        <f t="shared" ref="BV292" si="1653">E292</f>
        <v>52</v>
      </c>
      <c r="BW292" s="113" t="str">
        <f t="shared" ref="BW292" si="1654">I292</f>
        <v>-</v>
      </c>
      <c r="BX292" s="114">
        <f t="shared" ref="BX292" si="1655">M292</f>
        <v>86</v>
      </c>
      <c r="BY292" s="113" t="str">
        <f t="shared" ref="BY292" si="1656">Q292</f>
        <v>-</v>
      </c>
      <c r="BZ292" s="114">
        <f t="shared" ref="BZ292" si="1657">U292</f>
        <v>127</v>
      </c>
      <c r="CA292" s="113">
        <f t="shared" ref="CA292" si="1658">Y292</f>
        <v>162</v>
      </c>
      <c r="CB292" s="114">
        <f t="shared" ref="CB292" si="1659">AC292</f>
        <v>170</v>
      </c>
      <c r="CC292" s="113">
        <f t="shared" ref="CC292" si="1660">AG292</f>
        <v>208</v>
      </c>
      <c r="CD292" s="114">
        <f t="shared" ref="CD292" si="1661">AK292</f>
        <v>226</v>
      </c>
      <c r="CE292" s="113">
        <f t="shared" ref="CE292" si="1662">AO292</f>
        <v>271</v>
      </c>
      <c r="CF292" s="114">
        <f t="shared" ref="CF292" si="1663">AS292</f>
        <v>323</v>
      </c>
      <c r="CG292" s="113">
        <f t="shared" ref="CG292" si="1664">AW292</f>
        <v>347</v>
      </c>
      <c r="CH292" s="111">
        <f t="shared" ref="CH292" si="1665">G292</f>
        <v>77</v>
      </c>
      <c r="CI292" s="113" t="str">
        <f t="shared" ref="CI292" si="1666">K292</f>
        <v>-</v>
      </c>
      <c r="CJ292" s="114">
        <f t="shared" ref="CJ292" si="1667">O292</f>
        <v>117</v>
      </c>
      <c r="CK292" s="114" t="str">
        <f t="shared" ref="CK292" si="1668">S292</f>
        <v>-</v>
      </c>
      <c r="CL292" s="114">
        <f t="shared" ref="CL292" si="1669">W292</f>
        <v>161</v>
      </c>
      <c r="CM292" s="114">
        <f t="shared" ref="CM292" si="1670">AA292</f>
        <v>169</v>
      </c>
      <c r="CN292" s="114">
        <f t="shared" ref="CN292" si="1671">AE292</f>
        <v>195</v>
      </c>
      <c r="CO292" s="114">
        <f t="shared" ref="CO292" si="1672">AI292</f>
        <v>210</v>
      </c>
      <c r="CP292" s="114">
        <f t="shared" ref="CP292" si="1673">AM292</f>
        <v>264</v>
      </c>
      <c r="CQ292" s="114">
        <f t="shared" ref="CQ292" si="1674">AQ292</f>
        <v>307</v>
      </c>
      <c r="CR292" s="114">
        <f t="shared" ref="CR292" si="1675">AU292</f>
        <v>346</v>
      </c>
      <c r="CS292" s="114">
        <f t="shared" ref="CS292" si="1676">AY292</f>
        <v>353</v>
      </c>
      <c r="CT292" s="109" t="e">
        <f t="shared" ref="CT292" si="1677">M292-K292</f>
        <v>#VALUE!</v>
      </c>
    </row>
    <row r="293" spans="1:1029" s="12" customFormat="1" x14ac:dyDescent="0.2">
      <c r="A293" s="9" t="str">
        <f t="shared" si="1622"/>
        <v>pe2r3_human_6M9T</v>
      </c>
      <c r="B293" s="9" t="s">
        <v>363</v>
      </c>
      <c r="C293" s="9" t="s">
        <v>1539</v>
      </c>
      <c r="D293" s="9" t="str">
        <f>IFERROR(MID(VLOOKUP($B293,Seqs!$A:$B,2,0),E293,1),"")</f>
        <v>V</v>
      </c>
      <c r="E293" s="9">
        <v>52</v>
      </c>
      <c r="F293" s="9" t="str">
        <f>IFERROR(MID(VLOOKUP($B293,Seqs!$A:$B,2,0),G293,1),"")</f>
        <v>R</v>
      </c>
      <c r="G293" s="9">
        <v>78</v>
      </c>
      <c r="H293" s="9" t="str">
        <f>IFERROR(MID(VLOOKUP($B293,Seqs!$A:$B,2,0),I293,1),"")</f>
        <v/>
      </c>
      <c r="I293" s="109" t="s">
        <v>23</v>
      </c>
      <c r="J293" s="9" t="str">
        <f>IFERROR(MID(VLOOKUP($B293,Seqs!$A:$B,2,0),K293,1),"")</f>
        <v/>
      </c>
      <c r="K293" s="109" t="s">
        <v>23</v>
      </c>
      <c r="L293" s="9" t="str">
        <f>IFERROR(MID(VLOOKUP($B293,Seqs!$A:$B,2,0),M293,1),"")</f>
        <v>K</v>
      </c>
      <c r="M293" s="9">
        <v>85</v>
      </c>
      <c r="N293" s="9" t="str">
        <f>IFERROR(MID(VLOOKUP($B293,Seqs!$A:$B,2,0),O293,1),"")</f>
        <v>K</v>
      </c>
      <c r="O293" s="9">
        <v>117</v>
      </c>
      <c r="P293" s="9" t="str">
        <f>IFERROR(MID(VLOOKUP($B293,Seqs!$A:$B,2,0),Q293,1),"")</f>
        <v>Q</v>
      </c>
      <c r="Q293" s="9">
        <v>118</v>
      </c>
      <c r="R293" s="9" t="str">
        <f>IFERROR(MID(VLOOKUP($B293,Seqs!$A:$B,2,0),S293,1),"")</f>
        <v>S</v>
      </c>
      <c r="S293" s="9">
        <v>126</v>
      </c>
      <c r="T293" s="9" t="str">
        <f>IFERROR(MID(VLOOKUP($B293,Seqs!$A:$B,2,0),U293,1),"")</f>
        <v>G</v>
      </c>
      <c r="U293" s="9">
        <v>127</v>
      </c>
      <c r="V293" s="9" t="str">
        <f>IFERROR(MID(VLOOKUP($B293,Seqs!$A:$B,2,0),W293,1),"")</f>
        <v>A</v>
      </c>
      <c r="W293" s="9">
        <v>161</v>
      </c>
      <c r="X293" s="9" t="str">
        <f>IFERROR(MID(VLOOKUP($B293,Seqs!$A:$B,2,0),Y293,1),"")</f>
        <v>P</v>
      </c>
      <c r="Y293" s="9">
        <v>162</v>
      </c>
      <c r="Z293" s="9" t="str">
        <f>IFERROR(MID(VLOOKUP($B293,Seqs!$A:$B,2,0),AA293,1),"")</f>
        <v>M</v>
      </c>
      <c r="AA293" s="9">
        <v>169</v>
      </c>
      <c r="AB293" s="9" t="str">
        <f>IFERROR(MID(VLOOKUP($B293,Seqs!$A:$B,2,0),AC293,1),"")</f>
        <v>K</v>
      </c>
      <c r="AC293" s="9">
        <v>170</v>
      </c>
      <c r="AD293" s="9" t="str">
        <f>IFERROR(MID(VLOOKUP($B293,Seqs!$A:$B,2,0),AE293,1),"")</f>
        <v>G</v>
      </c>
      <c r="AE293" s="9">
        <v>195</v>
      </c>
      <c r="AF293" s="9" t="str">
        <f>IFERROR(MID(VLOOKUP($B293,Seqs!$A:$B,2,0),AG293,1),"")</f>
        <v>C</v>
      </c>
      <c r="AG293" s="9">
        <v>208</v>
      </c>
      <c r="AH293" s="9" t="str">
        <f>IFERROR(MID(VLOOKUP($B293,Seqs!$A:$B,2,0),AI293,1),"")</f>
        <v>I</v>
      </c>
      <c r="AI293" s="9">
        <v>210</v>
      </c>
      <c r="AJ293" s="9" t="str">
        <f>IFERROR(MID(VLOOKUP($B293,Seqs!$A:$B,2,0),AK293,1),"")</f>
        <v>W</v>
      </c>
      <c r="AK293" s="9">
        <v>225</v>
      </c>
      <c r="AL293" s="9" t="str">
        <f>IFERROR(MID(VLOOKUP($B293,Seqs!$A:$B,2,0),AM293,1),"")</f>
        <v>S</v>
      </c>
      <c r="AM293" s="9">
        <v>258</v>
      </c>
      <c r="AN293" s="9" t="str">
        <f>IFERROR(MID(VLOOKUP($B293,Seqs!$A:$B,2,0),AO293,1),"")</f>
        <v>R</v>
      </c>
      <c r="AO293" s="9">
        <v>275</v>
      </c>
      <c r="AP293" s="9" t="str">
        <f>IFERROR(MID(VLOOKUP($B293,Seqs!$A:$B,2,0),AQ293,1),"")</f>
        <v>F</v>
      </c>
      <c r="AQ293" s="9">
        <v>307</v>
      </c>
      <c r="AR293" s="9" t="str">
        <f>IFERROR(MID(VLOOKUP($B293,Seqs!$A:$B,2,0),AS293,1),"")</f>
        <v>K</v>
      </c>
      <c r="AS293" s="9">
        <v>323</v>
      </c>
      <c r="AT293" s="9" t="str">
        <f>IFERROR(MID(VLOOKUP($B293,Seqs!$A:$B,2,0),AU293,1),"")</f>
        <v>Y</v>
      </c>
      <c r="AU293" s="9">
        <v>346</v>
      </c>
      <c r="AV293" s="9" t="str">
        <f>IFERROR(MID(VLOOKUP($B293,Seqs!$A:$B,2,0),AW293,1),"")</f>
        <v>L</v>
      </c>
      <c r="AW293" s="9">
        <v>347</v>
      </c>
      <c r="AX293" s="9" t="str">
        <f>IFERROR(MID(VLOOKUP($B293,Seqs!$A:$B,2,0),AY293,1),"")</f>
        <v>L</v>
      </c>
      <c r="AY293" s="9">
        <v>353</v>
      </c>
      <c r="AZ293" s="110" t="str">
        <f>VLOOKUP(B293,Classification!A:D,2,0)</f>
        <v>A</v>
      </c>
      <c r="BA293" s="98" t="str">
        <f>VLOOKUP(B293,Classification!A:D,4,0)</f>
        <v>Prostanoid</v>
      </c>
      <c r="BB293" s="36" t="b">
        <f t="shared" si="1623"/>
        <v>1</v>
      </c>
      <c r="BC293" s="109">
        <f t="shared" si="1624"/>
        <v>240</v>
      </c>
      <c r="BD293" s="40" t="s">
        <v>1430</v>
      </c>
      <c r="BE293" s="9" t="s">
        <v>1472</v>
      </c>
      <c r="BF293" s="120">
        <v>2.5</v>
      </c>
      <c r="BG293" s="51" t="s">
        <v>1</v>
      </c>
      <c r="BH293" s="51" t="s">
        <v>1</v>
      </c>
      <c r="BJ293" s="111" t="s">
        <v>1288</v>
      </c>
      <c r="BK293" s="112" t="s">
        <v>1288</v>
      </c>
      <c r="BL293" s="112" t="s">
        <v>1288</v>
      </c>
      <c r="BM293" s="112" t="s">
        <v>1288</v>
      </c>
      <c r="BN293" s="112" t="s">
        <v>1288</v>
      </c>
      <c r="BO293" s="112" t="s">
        <v>1288</v>
      </c>
      <c r="BP293" s="112" t="s">
        <v>1288</v>
      </c>
      <c r="BQ293" s="112" t="s">
        <v>1288</v>
      </c>
      <c r="BR293" s="112" t="s">
        <v>1288</v>
      </c>
      <c r="BS293" s="112" t="s">
        <v>1288</v>
      </c>
      <c r="BT293" s="112" t="s">
        <v>1288</v>
      </c>
      <c r="BU293" s="112" t="s">
        <v>1288</v>
      </c>
      <c r="BV293" s="111">
        <f t="shared" si="1625"/>
        <v>52</v>
      </c>
      <c r="BW293" s="113" t="str">
        <f t="shared" si="1626"/>
        <v>-</v>
      </c>
      <c r="BX293" s="114">
        <f t="shared" si="1627"/>
        <v>85</v>
      </c>
      <c r="BY293" s="113">
        <f t="shared" si="1628"/>
        <v>118</v>
      </c>
      <c r="BZ293" s="114">
        <f t="shared" si="1629"/>
        <v>127</v>
      </c>
      <c r="CA293" s="113">
        <f t="shared" si="1630"/>
        <v>162</v>
      </c>
      <c r="CB293" s="114">
        <f t="shared" si="1631"/>
        <v>170</v>
      </c>
      <c r="CC293" s="113">
        <f t="shared" si="1632"/>
        <v>208</v>
      </c>
      <c r="CD293" s="114">
        <f t="shared" si="1633"/>
        <v>225</v>
      </c>
      <c r="CE293" s="113">
        <f t="shared" si="1634"/>
        <v>275</v>
      </c>
      <c r="CF293" s="114">
        <f t="shared" si="1635"/>
        <v>323</v>
      </c>
      <c r="CG293" s="113">
        <f t="shared" si="1636"/>
        <v>347</v>
      </c>
      <c r="CH293" s="111">
        <f t="shared" si="1637"/>
        <v>78</v>
      </c>
      <c r="CI293" s="113" t="str">
        <f t="shared" si="1638"/>
        <v>-</v>
      </c>
      <c r="CJ293" s="114">
        <f t="shared" si="1639"/>
        <v>117</v>
      </c>
      <c r="CK293" s="114">
        <f t="shared" si="1640"/>
        <v>126</v>
      </c>
      <c r="CL293" s="114">
        <f t="shared" si="1641"/>
        <v>161</v>
      </c>
      <c r="CM293" s="114">
        <f t="shared" si="1642"/>
        <v>169</v>
      </c>
      <c r="CN293" s="114">
        <f t="shared" si="1643"/>
        <v>195</v>
      </c>
      <c r="CO293" s="114">
        <f t="shared" si="1644"/>
        <v>210</v>
      </c>
      <c r="CP293" s="114">
        <f t="shared" si="1645"/>
        <v>258</v>
      </c>
      <c r="CQ293" s="114">
        <f t="shared" si="1646"/>
        <v>307</v>
      </c>
      <c r="CR293" s="114">
        <f t="shared" si="1647"/>
        <v>346</v>
      </c>
      <c r="CS293" s="114">
        <f t="shared" si="1648"/>
        <v>353</v>
      </c>
      <c r="CT293" s="109" t="e">
        <f t="shared" si="1649"/>
        <v>#VALUE!</v>
      </c>
    </row>
    <row r="294" spans="1:1029" x14ac:dyDescent="0.2">
      <c r="A294" s="9" t="str">
        <f t="shared" ref="A294" si="1678">CONCATENATE(B294,"_",C294)</f>
        <v>pe2r4_human__wt</v>
      </c>
      <c r="B294" s="9" t="s">
        <v>364</v>
      </c>
      <c r="C294" s="9" t="s">
        <v>100</v>
      </c>
      <c r="D294" s="9" t="str">
        <f>IFERROR(MID(VLOOKUP($B294,Seqs!$A:$B,2,0),E294,1),"")</f>
        <v>N</v>
      </c>
      <c r="E294" s="9">
        <v>18</v>
      </c>
      <c r="F294" s="9" t="str">
        <f>IFERROR(MID(VLOOKUP($B294,Seqs!$A:$B,2,0),G294,1),"")</f>
        <v>C</v>
      </c>
      <c r="G294" s="9">
        <v>43</v>
      </c>
      <c r="H294" s="9" t="str">
        <f>IFERROR(MID(VLOOKUP($B294,Seqs!$A:$B,2,0),I294,1),"")</f>
        <v/>
      </c>
      <c r="I294" s="109" t="s">
        <v>23</v>
      </c>
      <c r="J294" s="9" t="str">
        <f>IFERROR(MID(VLOOKUP($B294,Seqs!$A:$B,2,0),K294,1),"")</f>
        <v/>
      </c>
      <c r="K294" s="109" t="s">
        <v>23</v>
      </c>
      <c r="L294" s="9" t="str">
        <f>IFERROR(MID(VLOOKUP($B294,Seqs!$A:$B,2,0),M294,1),"")</f>
        <v>E</v>
      </c>
      <c r="M294" s="9">
        <v>51</v>
      </c>
      <c r="N294" s="9" t="str">
        <f>IFERROR(MID(VLOOKUP($B294,Seqs!$A:$B,2,0),O294,1),"")</f>
        <v>K</v>
      </c>
      <c r="O294" s="9">
        <v>82</v>
      </c>
      <c r="P294" s="9" t="str">
        <f>IFERROR(MID(VLOOKUP($B294,Seqs!$A:$B,2,0),Q294,1),"")</f>
        <v>Q</v>
      </c>
      <c r="Q294" s="9">
        <v>84</v>
      </c>
      <c r="R294" s="9" t="str">
        <f>IFERROR(MID(VLOOKUP($B294,Seqs!$A:$B,2,0),S294,1),"")</f>
        <v>G</v>
      </c>
      <c r="S294" s="9">
        <v>87</v>
      </c>
      <c r="T294" s="9" t="str">
        <f>IFERROR(MID(VLOOKUP($B294,Seqs!$A:$B,2,0),U294,1),"")</f>
        <v>G</v>
      </c>
      <c r="U294" s="9">
        <v>88</v>
      </c>
      <c r="V294" s="9" t="str">
        <f>IFERROR(MID(VLOOKUP($B294,Seqs!$A:$B,2,0),W294,1),"")</f>
        <v>H</v>
      </c>
      <c r="W294" s="9">
        <v>123</v>
      </c>
      <c r="X294" s="9" t="str">
        <f>IFERROR(MID(VLOOKUP($B294,Seqs!$A:$B,2,0),Y294,1),"")</f>
        <v>A</v>
      </c>
      <c r="Y294" s="9">
        <v>124</v>
      </c>
      <c r="Z294" s="9" t="str">
        <f>IFERROR(MID(VLOOKUP($B294,Seqs!$A:$B,2,0),AA294,1),"")</f>
        <v>V</v>
      </c>
      <c r="AA294" s="9">
        <v>131</v>
      </c>
      <c r="AB294" s="9" t="str">
        <f>IFERROR(MID(VLOOKUP($B294,Seqs!$A:$B,2,0),AC294,1),"")</f>
        <v>D</v>
      </c>
      <c r="AC294" s="9">
        <v>132</v>
      </c>
      <c r="AD294" s="9" t="str">
        <f>IFERROR(MID(VLOOKUP($B294,Seqs!$A:$B,2,0),AE294,1),"")</f>
        <v>G</v>
      </c>
      <c r="AE294" s="9">
        <v>157</v>
      </c>
      <c r="AF294" s="9" t="str">
        <f>IFERROR(MID(VLOOKUP($B294,Seqs!$A:$B,2,0),AG294,1),"")</f>
        <v>C</v>
      </c>
      <c r="AG294" s="9">
        <v>170</v>
      </c>
      <c r="AH294" s="9" t="str">
        <f>IFERROR(MID(VLOOKUP($B294,Seqs!$A:$B,2,0),AI294,1),"")</f>
        <v>I</v>
      </c>
      <c r="AI294" s="9">
        <v>172</v>
      </c>
      <c r="AJ294" s="9" t="str">
        <f>IFERROR(MID(VLOOKUP($B294,Seqs!$A:$B,2,0),AK294,1),"")</f>
        <v>V</v>
      </c>
      <c r="AK294" s="9">
        <v>178</v>
      </c>
      <c r="AL294" s="9" t="str">
        <f>IFERROR(MID(VLOOKUP($B294,Seqs!$A:$B,2,0),AM294,1),"")</f>
        <v>L</v>
      </c>
      <c r="AM294" s="9">
        <v>223</v>
      </c>
      <c r="AN294" s="9" t="str">
        <f>IFERROR(MID(VLOOKUP($B294,Seqs!$A:$B,2,0),AO294,1),"")</f>
        <v>R</v>
      </c>
      <c r="AO294" s="9">
        <v>261</v>
      </c>
      <c r="AP294" s="9" t="str">
        <f>IFERROR(MID(VLOOKUP($B294,Seqs!$A:$B,2,0),AQ294,1),"")</f>
        <v>Y</v>
      </c>
      <c r="AQ294" s="9">
        <v>298</v>
      </c>
      <c r="AR294" s="9" t="str">
        <f>IFERROR(MID(VLOOKUP($B294,Seqs!$A:$B,2,0),AS294,1),"")</f>
        <v>N</v>
      </c>
      <c r="AS294" s="9">
        <v>309</v>
      </c>
      <c r="AT294" s="9" t="str">
        <f>IFERROR(MID(VLOOKUP($B294,Seqs!$A:$B,2,0),AU294,1),"")</f>
        <v>L</v>
      </c>
      <c r="AU294" s="9">
        <v>332</v>
      </c>
      <c r="AV294" s="9" t="str">
        <f>IFERROR(MID(VLOOKUP($B294,Seqs!$A:$B,2,0),AW294,1),"")</f>
        <v>R</v>
      </c>
      <c r="AW294" s="9">
        <v>333</v>
      </c>
      <c r="AX294" s="9" t="str">
        <f>IFERROR(MID(VLOOKUP($B294,Seqs!$A:$B,2,0),AY294,1),"")</f>
        <v>C</v>
      </c>
      <c r="AY294" s="9">
        <v>346</v>
      </c>
      <c r="AZ294" s="110" t="str">
        <f>VLOOKUP(B294,Classification!A:D,2,0)</f>
        <v>A</v>
      </c>
      <c r="BA294" s="98" t="str">
        <f>VLOOKUP(B294,Classification!A:D,4,0)</f>
        <v>Prostanoid</v>
      </c>
      <c r="BB294" s="36" t="b">
        <f t="shared" ref="BB294" si="1679">AND(E294&lt;G294,OR(G294&lt;I294,I294="-"),OR(I294&lt;K294,I294="-"),OR(K294&lt;M294,K294="-"),M294&lt;O294,OR(O294&lt;Q294,Q294="-"),OR(Q294&lt;S294,Q294="-"),OR(S294&lt;U294,S294="-"),U294&lt;W294,OR(W294&lt;Y294,Y294="-"),OR(Y294&lt;AA294,Y294="-"),OR(AA294&lt;AC294,AA294="-"),AC294&lt;AE294,OR(AE294&lt;AG294,AG294="-"),OR(AG294&lt;AI294,AG294="-"),OR(AI294&lt;AK294,AI294="-"),AK294&lt;AM294,AM294&lt;AO294,AO294&lt;AQ294,AQ294&lt;AS294,AS294&lt;AU294,OR(AU294&lt;AW294,AW294="-"),OR(AW294&lt;AY294,AW294="-"))</f>
        <v>1</v>
      </c>
      <c r="BC294" s="109">
        <f t="shared" ref="BC294" si="1680">_xlfn.AGGREGATE(9,6,CH294:CS294)-_xlfn.AGGREGATE(9,6,BV294:CG294)+12</f>
        <v>258</v>
      </c>
      <c r="BD294" s="40" t="s">
        <v>23</v>
      </c>
      <c r="BE294" s="9" t="s">
        <v>23</v>
      </c>
      <c r="BF294" s="120" t="s">
        <v>23</v>
      </c>
      <c r="BG294" s="51" t="s">
        <v>23</v>
      </c>
      <c r="BH294" s="51" t="s">
        <v>23</v>
      </c>
      <c r="BI294" s="12"/>
      <c r="BJ294" s="111" t="s">
        <v>1288</v>
      </c>
      <c r="BK294" s="112" t="s">
        <v>1288</v>
      </c>
      <c r="BL294" s="112" t="s">
        <v>1288</v>
      </c>
      <c r="BM294" s="112" t="s">
        <v>1288</v>
      </c>
      <c r="BN294" s="112" t="s">
        <v>1288</v>
      </c>
      <c r="BO294" s="112" t="s">
        <v>1288</v>
      </c>
      <c r="BP294" s="112" t="s">
        <v>1288</v>
      </c>
      <c r="BQ294" s="112" t="s">
        <v>1288</v>
      </c>
      <c r="BR294" s="112" t="s">
        <v>1288</v>
      </c>
      <c r="BS294" s="112" t="s">
        <v>1288</v>
      </c>
      <c r="BT294" s="112" t="s">
        <v>1288</v>
      </c>
      <c r="BU294" s="112" t="s">
        <v>1288</v>
      </c>
      <c r="BV294" s="111">
        <f t="shared" ref="BV294" si="1681">E294</f>
        <v>18</v>
      </c>
      <c r="BW294" s="113" t="str">
        <f t="shared" ref="BW294" si="1682">I294</f>
        <v>-</v>
      </c>
      <c r="BX294" s="114">
        <f t="shared" ref="BX294" si="1683">M294</f>
        <v>51</v>
      </c>
      <c r="BY294" s="113">
        <f t="shared" ref="BY294" si="1684">Q294</f>
        <v>84</v>
      </c>
      <c r="BZ294" s="114">
        <f t="shared" ref="BZ294" si="1685">U294</f>
        <v>88</v>
      </c>
      <c r="CA294" s="113">
        <f t="shared" ref="CA294" si="1686">Y294</f>
        <v>124</v>
      </c>
      <c r="CB294" s="114">
        <f t="shared" ref="CB294" si="1687">AC294</f>
        <v>132</v>
      </c>
      <c r="CC294" s="113">
        <f t="shared" ref="CC294" si="1688">AG294</f>
        <v>170</v>
      </c>
      <c r="CD294" s="114">
        <f t="shared" ref="CD294" si="1689">AK294</f>
        <v>178</v>
      </c>
      <c r="CE294" s="113">
        <f t="shared" ref="CE294" si="1690">AO294</f>
        <v>261</v>
      </c>
      <c r="CF294" s="114">
        <f t="shared" ref="CF294" si="1691">AS294</f>
        <v>309</v>
      </c>
      <c r="CG294" s="113">
        <f t="shared" ref="CG294" si="1692">AW294</f>
        <v>333</v>
      </c>
      <c r="CH294" s="111">
        <f t="shared" ref="CH294" si="1693">G294</f>
        <v>43</v>
      </c>
      <c r="CI294" s="113" t="str">
        <f t="shared" ref="CI294" si="1694">K294</f>
        <v>-</v>
      </c>
      <c r="CJ294" s="114">
        <f t="shared" ref="CJ294" si="1695">O294</f>
        <v>82</v>
      </c>
      <c r="CK294" s="114">
        <f t="shared" ref="CK294" si="1696">S294</f>
        <v>87</v>
      </c>
      <c r="CL294" s="114">
        <f t="shared" ref="CL294" si="1697">W294</f>
        <v>123</v>
      </c>
      <c r="CM294" s="114">
        <f t="shared" ref="CM294" si="1698">AA294</f>
        <v>131</v>
      </c>
      <c r="CN294" s="114">
        <f t="shared" ref="CN294" si="1699">AE294</f>
        <v>157</v>
      </c>
      <c r="CO294" s="114">
        <f t="shared" ref="CO294" si="1700">AI294</f>
        <v>172</v>
      </c>
      <c r="CP294" s="114">
        <f t="shared" ref="CP294" si="1701">AM294</f>
        <v>223</v>
      </c>
      <c r="CQ294" s="114">
        <f t="shared" ref="CQ294" si="1702">AQ294</f>
        <v>298</v>
      </c>
      <c r="CR294" s="114">
        <f t="shared" ref="CR294" si="1703">AU294</f>
        <v>332</v>
      </c>
      <c r="CS294" s="114">
        <f t="shared" ref="CS294" si="1704">AY294</f>
        <v>346</v>
      </c>
      <c r="CT294" s="109" t="e">
        <f t="shared" ref="CT294" si="1705">M294-K294</f>
        <v>#VALUE!</v>
      </c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</row>
    <row r="295" spans="1:1029" x14ac:dyDescent="0.2">
      <c r="A295" s="9" t="str">
        <f>CONCATENATE(B295,"_",C295)</f>
        <v>pe2r4_human_5YWY</v>
      </c>
      <c r="B295" s="9" t="s">
        <v>364</v>
      </c>
      <c r="C295" s="9" t="s">
        <v>1537</v>
      </c>
      <c r="D295" s="9" t="str">
        <f>IFERROR(MID(VLOOKUP($B295,Seqs!$A:$B,2,0),E295,1),"")</f>
        <v>N</v>
      </c>
      <c r="E295" s="9">
        <v>18</v>
      </c>
      <c r="F295" s="9" t="str">
        <f>IFERROR(MID(VLOOKUP($B295,Seqs!$A:$B,2,0),G295,1),"")</f>
        <v>C</v>
      </c>
      <c r="G295" s="9">
        <v>43</v>
      </c>
      <c r="H295" s="9" t="str">
        <f>IFERROR(MID(VLOOKUP($B295,Seqs!$A:$B,2,0),I295,1),"")</f>
        <v/>
      </c>
      <c r="I295" s="109" t="s">
        <v>23</v>
      </c>
      <c r="J295" s="9" t="str">
        <f>IFERROR(MID(VLOOKUP($B295,Seqs!$A:$B,2,0),K295,1),"")</f>
        <v/>
      </c>
      <c r="K295" s="109" t="s">
        <v>23</v>
      </c>
      <c r="L295" s="9" t="str">
        <f>IFERROR(MID(VLOOKUP($B295,Seqs!$A:$B,2,0),M295,1),"")</f>
        <v>E</v>
      </c>
      <c r="M295" s="9">
        <v>51</v>
      </c>
      <c r="N295" s="9" t="str">
        <f>IFERROR(MID(VLOOKUP($B295,Seqs!$A:$B,2,0),O295,1),"")</f>
        <v>K</v>
      </c>
      <c r="O295" s="9">
        <v>82</v>
      </c>
      <c r="P295" s="9" t="str">
        <f>IFERROR(MID(VLOOKUP($B295,Seqs!$A:$B,2,0),Q295,1),"")</f>
        <v>Q</v>
      </c>
      <c r="Q295" s="9">
        <v>84</v>
      </c>
      <c r="R295" s="9" t="str">
        <f>IFERROR(MID(VLOOKUP($B295,Seqs!$A:$B,2,0),S295,1),"")</f>
        <v>G</v>
      </c>
      <c r="S295" s="9">
        <v>87</v>
      </c>
      <c r="T295" s="9" t="str">
        <f>IFERROR(MID(VLOOKUP($B295,Seqs!$A:$B,2,0),U295,1),"")</f>
        <v>G</v>
      </c>
      <c r="U295" s="9">
        <v>88</v>
      </c>
      <c r="V295" s="9" t="str">
        <f>IFERROR(MID(VLOOKUP($B295,Seqs!$A:$B,2,0),W295,1),"")</f>
        <v>H</v>
      </c>
      <c r="W295" s="9">
        <v>123</v>
      </c>
      <c r="X295" s="9" t="str">
        <f>IFERROR(MID(VLOOKUP($B295,Seqs!$A:$B,2,0),Y295,1),"")</f>
        <v>A</v>
      </c>
      <c r="Y295" s="9">
        <v>124</v>
      </c>
      <c r="Z295" s="9" t="str">
        <f>IFERROR(MID(VLOOKUP($B295,Seqs!$A:$B,2,0),AA295,1),"")</f>
        <v>V</v>
      </c>
      <c r="AA295" s="9">
        <v>131</v>
      </c>
      <c r="AB295" s="9" t="str">
        <f>IFERROR(MID(VLOOKUP($B295,Seqs!$A:$B,2,0),AC295,1),"")</f>
        <v>D</v>
      </c>
      <c r="AC295" s="9">
        <v>132</v>
      </c>
      <c r="AD295" s="9" t="str">
        <f>IFERROR(MID(VLOOKUP($B295,Seqs!$A:$B,2,0),AE295,1),"")</f>
        <v>G</v>
      </c>
      <c r="AE295" s="9">
        <v>157</v>
      </c>
      <c r="AF295" s="9" t="str">
        <f>IFERROR(MID(VLOOKUP($B295,Seqs!$A:$B,2,0),AG295,1),"")</f>
        <v>C</v>
      </c>
      <c r="AG295" s="9">
        <v>170</v>
      </c>
      <c r="AH295" s="9" t="str">
        <f>IFERROR(MID(VLOOKUP($B295,Seqs!$A:$B,2,0),AI295,1),"")</f>
        <v>I</v>
      </c>
      <c r="AI295" s="9">
        <v>172</v>
      </c>
      <c r="AJ295" s="9" t="str">
        <f>IFERROR(MID(VLOOKUP($B295,Seqs!$A:$B,2,0),AK295,1),"")</f>
        <v>V</v>
      </c>
      <c r="AK295" s="9">
        <v>178</v>
      </c>
      <c r="AL295" s="9" t="str">
        <f>IFERROR(MID(VLOOKUP($B295,Seqs!$A:$B,2,0),AM295,1),"")</f>
        <v>H</v>
      </c>
      <c r="AM295" s="9">
        <v>214</v>
      </c>
      <c r="AN295" s="9" t="str">
        <f>IFERROR(MID(VLOOKUP($B295,Seqs!$A:$B,2,0),AO295,1),"")</f>
        <v>A</v>
      </c>
      <c r="AO295" s="9">
        <v>266</v>
      </c>
      <c r="AP295" s="9" t="str">
        <f>IFERROR(MID(VLOOKUP($B295,Seqs!$A:$B,2,0),AQ295,1),"")</f>
        <v>Y</v>
      </c>
      <c r="AQ295" s="9">
        <v>298</v>
      </c>
      <c r="AR295" s="9" t="str">
        <f>IFERROR(MID(VLOOKUP($B295,Seqs!$A:$B,2,0),AS295,1),"")</f>
        <v>N</v>
      </c>
      <c r="AS295" s="9">
        <v>309</v>
      </c>
      <c r="AT295" s="9" t="str">
        <f>IFERROR(MID(VLOOKUP($B295,Seqs!$A:$B,2,0),AU295,1),"")</f>
        <v>L</v>
      </c>
      <c r="AU295" s="9">
        <v>332</v>
      </c>
      <c r="AV295" s="9" t="str">
        <f>IFERROR(MID(VLOOKUP($B295,Seqs!$A:$B,2,0),AW295,1),"")</f>
        <v>R</v>
      </c>
      <c r="AW295" s="9">
        <v>333</v>
      </c>
      <c r="AX295" s="9" t="str">
        <f>IFERROR(MID(VLOOKUP($B295,Seqs!$A:$B,2,0),AY295,1),"")</f>
        <v>I</v>
      </c>
      <c r="AY295" s="9">
        <v>344</v>
      </c>
      <c r="AZ295" s="110" t="str">
        <f>VLOOKUP(B295,Classification!A:D,2,0)</f>
        <v>A</v>
      </c>
      <c r="BA295" s="98" t="str">
        <f>VLOOKUP(B295,Classification!A:D,4,0)</f>
        <v>Prostanoid</v>
      </c>
      <c r="BB295" s="36" t="b">
        <f>AND(E295&lt;G295,OR(G295&lt;I295,I295="-"),OR(I295&lt;K295,I295="-"),OR(K295&lt;M295,K295="-"),M295&lt;O295,OR(O295&lt;Q295,Q295="-"),OR(Q295&lt;S295,Q295="-"),OR(S295&lt;U295,S295="-"),U295&lt;W295,OR(W295&lt;Y295,Y295="-"),OR(Y295&lt;AA295,Y295="-"),OR(AA295&lt;AC295,AA295="-"),AC295&lt;AE295,OR(AE295&lt;AG295,AG295="-"),OR(AG295&lt;AI295,AG295="-"),OR(AI295&lt;AK295,AI295="-"),AK295&lt;AM295,AM295&lt;AO295,AO295&lt;AQ295,AQ295&lt;AS295,AS295&lt;AU295,OR(AU295&lt;AW295,AW295="-"),OR(AW295&lt;AY295,AW295="-"))</f>
        <v>1</v>
      </c>
      <c r="BC295" s="109">
        <f>_xlfn.AGGREGATE(9,6,CH295:CS295)-_xlfn.AGGREGATE(9,6,BV295:CG295)+12</f>
        <v>242</v>
      </c>
      <c r="BD295" s="40" t="s">
        <v>1377</v>
      </c>
      <c r="BE295" s="9" t="s">
        <v>1375</v>
      </c>
      <c r="BF295" s="120">
        <v>3.2</v>
      </c>
      <c r="BG295" s="51" t="s">
        <v>1</v>
      </c>
      <c r="BH295" s="51" t="s">
        <v>1</v>
      </c>
      <c r="BI295" s="12"/>
      <c r="BJ295" s="111" t="s">
        <v>1288</v>
      </c>
      <c r="BK295" s="112" t="s">
        <v>1288</v>
      </c>
      <c r="BL295" s="112" t="s">
        <v>1288</v>
      </c>
      <c r="BM295" s="112" t="s">
        <v>1288</v>
      </c>
      <c r="BN295" s="112" t="s">
        <v>1288</v>
      </c>
      <c r="BO295" s="112" t="s">
        <v>1288</v>
      </c>
      <c r="BP295" s="112" t="s">
        <v>1288</v>
      </c>
      <c r="BQ295" s="112" t="s">
        <v>1288</v>
      </c>
      <c r="BR295" s="112" t="s">
        <v>1288</v>
      </c>
      <c r="BS295" s="112" t="s">
        <v>1288</v>
      </c>
      <c r="BT295" s="112" t="s">
        <v>1288</v>
      </c>
      <c r="BU295" s="112" t="s">
        <v>1288</v>
      </c>
      <c r="BV295" s="111">
        <f>E295</f>
        <v>18</v>
      </c>
      <c r="BW295" s="113" t="str">
        <f>I295</f>
        <v>-</v>
      </c>
      <c r="BX295" s="114">
        <f>M295</f>
        <v>51</v>
      </c>
      <c r="BY295" s="113">
        <f>Q295</f>
        <v>84</v>
      </c>
      <c r="BZ295" s="114">
        <f>U295</f>
        <v>88</v>
      </c>
      <c r="CA295" s="113">
        <f>Y295</f>
        <v>124</v>
      </c>
      <c r="CB295" s="114">
        <f>AC295</f>
        <v>132</v>
      </c>
      <c r="CC295" s="113">
        <f>AG295</f>
        <v>170</v>
      </c>
      <c r="CD295" s="114">
        <f>AK295</f>
        <v>178</v>
      </c>
      <c r="CE295" s="113">
        <f>AO295</f>
        <v>266</v>
      </c>
      <c r="CF295" s="114">
        <f>AS295</f>
        <v>309</v>
      </c>
      <c r="CG295" s="113">
        <f>AW295</f>
        <v>333</v>
      </c>
      <c r="CH295" s="111">
        <f>G295</f>
        <v>43</v>
      </c>
      <c r="CI295" s="113" t="str">
        <f>K295</f>
        <v>-</v>
      </c>
      <c r="CJ295" s="114">
        <f>O295</f>
        <v>82</v>
      </c>
      <c r="CK295" s="114">
        <f>S295</f>
        <v>87</v>
      </c>
      <c r="CL295" s="114">
        <f>W295</f>
        <v>123</v>
      </c>
      <c r="CM295" s="114">
        <f>AA295</f>
        <v>131</v>
      </c>
      <c r="CN295" s="114">
        <f>AE295</f>
        <v>157</v>
      </c>
      <c r="CO295" s="114">
        <f>AI295</f>
        <v>172</v>
      </c>
      <c r="CP295" s="114">
        <f>AM295</f>
        <v>214</v>
      </c>
      <c r="CQ295" s="114">
        <f>AQ295</f>
        <v>298</v>
      </c>
      <c r="CR295" s="114">
        <f>AU295</f>
        <v>332</v>
      </c>
      <c r="CS295" s="114">
        <f>AY295</f>
        <v>344</v>
      </c>
      <c r="CT295" s="109" t="e">
        <f>M295-K295</f>
        <v>#VALUE!</v>
      </c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</row>
    <row r="296" spans="1:1029" x14ac:dyDescent="0.2">
      <c r="A296" s="9" t="str">
        <f>CONCATENATE(B296,"_",C296)</f>
        <v>pe2r4_human_5YHL</v>
      </c>
      <c r="B296" s="9" t="s">
        <v>364</v>
      </c>
      <c r="C296" s="9" t="s">
        <v>1538</v>
      </c>
      <c r="D296" s="9" t="str">
        <f>IFERROR(MID(VLOOKUP($B296,Seqs!$A:$B,2,0),E296,1),"")</f>
        <v>N</v>
      </c>
      <c r="E296" s="9">
        <v>18</v>
      </c>
      <c r="F296" s="9" t="str">
        <f>IFERROR(MID(VLOOKUP($B296,Seqs!$A:$B,2,0),G296,1),"")</f>
        <v>C</v>
      </c>
      <c r="G296" s="9">
        <v>43</v>
      </c>
      <c r="H296" s="9" t="str">
        <f>IFERROR(MID(VLOOKUP($B296,Seqs!$A:$B,2,0),I296,1),"")</f>
        <v/>
      </c>
      <c r="I296" s="109" t="s">
        <v>23</v>
      </c>
      <c r="J296" s="9" t="str">
        <f>IFERROR(MID(VLOOKUP($B296,Seqs!$A:$B,2,0),K296,1),"")</f>
        <v/>
      </c>
      <c r="K296" s="109" t="s">
        <v>23</v>
      </c>
      <c r="L296" s="9" t="str">
        <f>IFERROR(MID(VLOOKUP($B296,Seqs!$A:$B,2,0),M296,1),"")</f>
        <v>E</v>
      </c>
      <c r="M296" s="9">
        <v>51</v>
      </c>
      <c r="N296" s="9" t="str">
        <f>IFERROR(MID(VLOOKUP($B296,Seqs!$A:$B,2,0),O296,1),"")</f>
        <v>K</v>
      </c>
      <c r="O296" s="9">
        <v>82</v>
      </c>
      <c r="P296" s="9" t="str">
        <f>IFERROR(MID(VLOOKUP($B296,Seqs!$A:$B,2,0),Q296,1),"")</f>
        <v>Q</v>
      </c>
      <c r="Q296" s="9">
        <v>84</v>
      </c>
      <c r="R296" s="9" t="str">
        <f>IFERROR(MID(VLOOKUP($B296,Seqs!$A:$B,2,0),S296,1),"")</f>
        <v>G</v>
      </c>
      <c r="S296" s="9">
        <v>87</v>
      </c>
      <c r="T296" s="9" t="str">
        <f>IFERROR(MID(VLOOKUP($B296,Seqs!$A:$B,2,0),U296,1),"")</f>
        <v>G</v>
      </c>
      <c r="U296" s="9">
        <v>88</v>
      </c>
      <c r="V296" s="9" t="str">
        <f>IFERROR(MID(VLOOKUP($B296,Seqs!$A:$B,2,0),W296,1),"")</f>
        <v>H</v>
      </c>
      <c r="W296" s="9">
        <v>123</v>
      </c>
      <c r="X296" s="9" t="str">
        <f>IFERROR(MID(VLOOKUP($B296,Seqs!$A:$B,2,0),Y296,1),"")</f>
        <v>A</v>
      </c>
      <c r="Y296" s="9">
        <v>124</v>
      </c>
      <c r="Z296" s="9" t="str">
        <f>IFERROR(MID(VLOOKUP($B296,Seqs!$A:$B,2,0),AA296,1),"")</f>
        <v>V</v>
      </c>
      <c r="AA296" s="9">
        <v>131</v>
      </c>
      <c r="AB296" s="9" t="str">
        <f>IFERROR(MID(VLOOKUP($B296,Seqs!$A:$B,2,0),AC296,1),"")</f>
        <v>D</v>
      </c>
      <c r="AC296" s="9">
        <v>132</v>
      </c>
      <c r="AD296" s="9" t="str">
        <f>IFERROR(MID(VLOOKUP($B296,Seqs!$A:$B,2,0),AE296,1),"")</f>
        <v>G</v>
      </c>
      <c r="AE296" s="9">
        <v>157</v>
      </c>
      <c r="AF296" s="9" t="str">
        <f>IFERROR(MID(VLOOKUP($B296,Seqs!$A:$B,2,0),AG296,1),"")</f>
        <v>C</v>
      </c>
      <c r="AG296" s="9">
        <v>170</v>
      </c>
      <c r="AH296" s="9" t="str">
        <f>IFERROR(MID(VLOOKUP($B296,Seqs!$A:$B,2,0),AI296,1),"")</f>
        <v>I</v>
      </c>
      <c r="AI296" s="9">
        <v>172</v>
      </c>
      <c r="AJ296" s="9" t="str">
        <f>IFERROR(MID(VLOOKUP($B296,Seqs!$A:$B,2,0),AK296,1),"")</f>
        <v>V</v>
      </c>
      <c r="AK296" s="9">
        <v>178</v>
      </c>
      <c r="AL296" s="9" t="str">
        <f>IFERROR(MID(VLOOKUP($B296,Seqs!$A:$B,2,0),AM296,1),"")</f>
        <v>H</v>
      </c>
      <c r="AM296" s="9">
        <v>214</v>
      </c>
      <c r="AN296" s="9" t="str">
        <f>IFERROR(MID(VLOOKUP($B296,Seqs!$A:$B,2,0),AO296,1),"")</f>
        <v>A</v>
      </c>
      <c r="AO296" s="9">
        <v>266</v>
      </c>
      <c r="AP296" s="9" t="str">
        <f>IFERROR(MID(VLOOKUP($B296,Seqs!$A:$B,2,0),AQ296,1),"")</f>
        <v>Y</v>
      </c>
      <c r="AQ296" s="9">
        <v>298</v>
      </c>
      <c r="AR296" s="9" t="str">
        <f>IFERROR(MID(VLOOKUP($B296,Seqs!$A:$B,2,0),AS296,1),"")</f>
        <v>N</v>
      </c>
      <c r="AS296" s="9">
        <v>309</v>
      </c>
      <c r="AT296" s="9" t="str">
        <f>IFERROR(MID(VLOOKUP($B296,Seqs!$A:$B,2,0),AU296,1),"")</f>
        <v>L</v>
      </c>
      <c r="AU296" s="9">
        <v>332</v>
      </c>
      <c r="AV296" s="9" t="str">
        <f>IFERROR(MID(VLOOKUP($B296,Seqs!$A:$B,2,0),AW296,1),"")</f>
        <v>R</v>
      </c>
      <c r="AW296" s="9">
        <v>333</v>
      </c>
      <c r="AX296" s="9" t="str">
        <f>IFERROR(MID(VLOOKUP($B296,Seqs!$A:$B,2,0),AY296,1),"")</f>
        <v>I</v>
      </c>
      <c r="AY296" s="9">
        <v>344</v>
      </c>
      <c r="AZ296" s="110" t="str">
        <f>VLOOKUP(B296,Classification!A:D,2,0)</f>
        <v>A</v>
      </c>
      <c r="BA296" s="98" t="str">
        <f>VLOOKUP(B296,Classification!A:D,4,0)</f>
        <v>Prostanoid</v>
      </c>
      <c r="BB296" s="36" t="b">
        <f>AND(E296&lt;G296,OR(G296&lt;I296,I296="-"),OR(I296&lt;K296,I296="-"),OR(K296&lt;M296,K296="-"),M296&lt;O296,OR(O296&lt;Q296,Q296="-"),OR(Q296&lt;S296,Q296="-"),OR(S296&lt;U296,S296="-"),U296&lt;W296,OR(W296&lt;Y296,Y296="-"),OR(Y296&lt;AA296,Y296="-"),OR(AA296&lt;AC296,AA296="-"),AC296&lt;AE296,OR(AE296&lt;AG296,AG296="-"),OR(AG296&lt;AI296,AG296="-"),OR(AI296&lt;AK296,AI296="-"),AK296&lt;AM296,AM296&lt;AO296,AO296&lt;AQ296,AQ296&lt;AS296,AS296&lt;AU296,OR(AU296&lt;AW296,AW296="-"),OR(AW296&lt;AY296,AW296="-"))</f>
        <v>1</v>
      </c>
      <c r="BC296" s="109">
        <f>_xlfn.AGGREGATE(9,6,CH296:CS296)-_xlfn.AGGREGATE(9,6,BV296:CG296)+12</f>
        <v>242</v>
      </c>
      <c r="BD296" s="40" t="s">
        <v>23</v>
      </c>
      <c r="BE296" s="9" t="s">
        <v>1375</v>
      </c>
      <c r="BF296" s="120">
        <v>4.2</v>
      </c>
      <c r="BG296" s="51" t="s">
        <v>1</v>
      </c>
      <c r="BH296" s="51" t="s">
        <v>1</v>
      </c>
      <c r="BI296" s="12"/>
      <c r="BJ296" s="111" t="s">
        <v>1288</v>
      </c>
      <c r="BK296" s="112" t="s">
        <v>1288</v>
      </c>
      <c r="BL296" s="112" t="s">
        <v>1288</v>
      </c>
      <c r="BM296" s="112" t="s">
        <v>1288</v>
      </c>
      <c r="BN296" s="112" t="s">
        <v>1288</v>
      </c>
      <c r="BO296" s="112" t="s">
        <v>1288</v>
      </c>
      <c r="BP296" s="112" t="s">
        <v>1288</v>
      </c>
      <c r="BQ296" s="112" t="s">
        <v>1288</v>
      </c>
      <c r="BR296" s="112" t="s">
        <v>1288</v>
      </c>
      <c r="BS296" s="112" t="s">
        <v>1288</v>
      </c>
      <c r="BT296" s="112" t="s">
        <v>1288</v>
      </c>
      <c r="BU296" s="112" t="s">
        <v>1288</v>
      </c>
      <c r="BV296" s="111">
        <f>E296</f>
        <v>18</v>
      </c>
      <c r="BW296" s="113" t="str">
        <f>I296</f>
        <v>-</v>
      </c>
      <c r="BX296" s="114">
        <f>M296</f>
        <v>51</v>
      </c>
      <c r="BY296" s="113">
        <f>Q296</f>
        <v>84</v>
      </c>
      <c r="BZ296" s="114">
        <f>U296</f>
        <v>88</v>
      </c>
      <c r="CA296" s="113">
        <f>Y296</f>
        <v>124</v>
      </c>
      <c r="CB296" s="114">
        <f>AC296</f>
        <v>132</v>
      </c>
      <c r="CC296" s="113">
        <f>AG296</f>
        <v>170</v>
      </c>
      <c r="CD296" s="114">
        <f>AK296</f>
        <v>178</v>
      </c>
      <c r="CE296" s="113">
        <f>AO296</f>
        <v>266</v>
      </c>
      <c r="CF296" s="114">
        <f>AS296</f>
        <v>309</v>
      </c>
      <c r="CG296" s="113">
        <f>AW296</f>
        <v>333</v>
      </c>
      <c r="CH296" s="111">
        <f>G296</f>
        <v>43</v>
      </c>
      <c r="CI296" s="113" t="str">
        <f>K296</f>
        <v>-</v>
      </c>
      <c r="CJ296" s="114">
        <f>O296</f>
        <v>82</v>
      </c>
      <c r="CK296" s="114">
        <f>S296</f>
        <v>87</v>
      </c>
      <c r="CL296" s="114">
        <f>W296</f>
        <v>123</v>
      </c>
      <c r="CM296" s="114">
        <f>AA296</f>
        <v>131</v>
      </c>
      <c r="CN296" s="114">
        <f>AE296</f>
        <v>157</v>
      </c>
      <c r="CO296" s="114">
        <f>AI296</f>
        <v>172</v>
      </c>
      <c r="CP296" s="114">
        <f>AM296</f>
        <v>214</v>
      </c>
      <c r="CQ296" s="114">
        <f>AQ296</f>
        <v>298</v>
      </c>
      <c r="CR296" s="114">
        <f>AU296</f>
        <v>332</v>
      </c>
      <c r="CS296" s="114">
        <f>AY296</f>
        <v>344</v>
      </c>
      <c r="CT296" s="109" t="e">
        <f>M296-K296</f>
        <v>#VALUE!</v>
      </c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</row>
    <row r="297" spans="1:1029" x14ac:dyDescent="0.2">
      <c r="A297" s="3" t="str">
        <f>CONCATENATE(B297,"_",C297)</f>
        <v>ptafr_human__wt</v>
      </c>
      <c r="B297" s="3" t="s">
        <v>371</v>
      </c>
      <c r="C297" s="3" t="s">
        <v>100</v>
      </c>
      <c r="D297" s="3" t="str">
        <f>IFERROR(MID(VLOOKUP($B297,Seqs!$A:$B,2,0),E297,1),"")</f>
        <v>D</v>
      </c>
      <c r="E297" s="3">
        <v>10</v>
      </c>
      <c r="F297" s="3" t="str">
        <f>IFERROR(MID(VLOOKUP($B297,Seqs!$A:$B,2,0),G297,1),"")</f>
        <v>Y</v>
      </c>
      <c r="G297" s="3">
        <v>44</v>
      </c>
      <c r="H297" s="3" t="str">
        <f>IFERROR(MID(VLOOKUP($B297,Seqs!$A:$B,2,0),I297,1),"")</f>
        <v/>
      </c>
      <c r="I297" s="23" t="s">
        <v>23</v>
      </c>
      <c r="J297" s="3" t="str">
        <f>IFERROR(MID(VLOOKUP($B297,Seqs!$A:$B,2,0),K297,1),"")</f>
        <v/>
      </c>
      <c r="K297" s="23" t="s">
        <v>23</v>
      </c>
      <c r="L297" s="3" t="str">
        <f>IFERROR(MID(VLOOKUP($B297,Seqs!$A:$B,2,0),M297,1),"")</f>
        <v>F</v>
      </c>
      <c r="M297" s="3">
        <v>49</v>
      </c>
      <c r="N297" s="3" t="str">
        <f>IFERROR(MID(VLOOKUP($B297,Seqs!$A:$B,2,0),O297,1),"")</f>
        <v>Q</v>
      </c>
      <c r="O297" s="3">
        <v>80</v>
      </c>
      <c r="P297" s="3" t="str">
        <f>IFERROR(MID(VLOOKUP($B297,Seqs!$A:$B,2,0),Q297,1),"")</f>
        <v>N</v>
      </c>
      <c r="Q297" s="3">
        <v>82</v>
      </c>
      <c r="R297" s="3" t="str">
        <f>IFERROR(MID(VLOOKUP($B297,Seqs!$A:$B,2,0),S297,1),"")</f>
        <v>L</v>
      </c>
      <c r="S297" s="3">
        <v>85</v>
      </c>
      <c r="T297" s="3" t="str">
        <f>IFERROR(MID(VLOOKUP($B297,Seqs!$A:$B,2,0),U297,1),"")</f>
        <v>P</v>
      </c>
      <c r="U297" s="3">
        <v>86</v>
      </c>
      <c r="V297" s="3" t="str">
        <f>IFERROR(MID(VLOOKUP($B297,Seqs!$A:$B,2,0),W297,1),"")</f>
        <v>R</v>
      </c>
      <c r="W297" s="3">
        <v>121</v>
      </c>
      <c r="X297" s="3" t="str">
        <f>IFERROR(MID(VLOOKUP($B297,Seqs!$A:$B,2,0),Y297,1),"")</f>
        <v>P</v>
      </c>
      <c r="Y297" s="3">
        <v>122</v>
      </c>
      <c r="Z297" s="3" t="str">
        <f>IFERROR(MID(VLOOKUP($B297,Seqs!$A:$B,2,0),AA297,1),"")</f>
        <v>N</v>
      </c>
      <c r="AA297" s="3">
        <v>129</v>
      </c>
      <c r="AB297" s="3" t="str">
        <f>IFERROR(MID(VLOOKUP($B297,Seqs!$A:$B,2,0),AC297,1),"")</f>
        <v>T</v>
      </c>
      <c r="AC297" s="3">
        <v>130</v>
      </c>
      <c r="AD297" s="3" t="str">
        <f>IFERROR(MID(VLOOKUP($B297,Seqs!$A:$B,2,0),AE297,1),"")</f>
        <v>L</v>
      </c>
      <c r="AE297" s="3">
        <v>155</v>
      </c>
      <c r="AF297" s="3" t="str">
        <f>IFERROR(MID(VLOOKUP($B297,Seqs!$A:$B,2,0),AG297,1),"")</f>
        <v>C</v>
      </c>
      <c r="AG297" s="3">
        <v>173</v>
      </c>
      <c r="AH297" s="3" t="str">
        <f>IFERROR(MID(VLOOKUP($B297,Seqs!$A:$B,2,0),AI297,1),"")</f>
        <v>E</v>
      </c>
      <c r="AI297" s="3">
        <v>175</v>
      </c>
      <c r="AJ297" s="3" t="str">
        <f>IFERROR(MID(VLOOKUP($B297,Seqs!$A:$B,2,0),AK297,1),"")</f>
        <v>S</v>
      </c>
      <c r="AK297" s="3">
        <v>181</v>
      </c>
      <c r="AL297" s="3" t="str">
        <f>IFERROR(MID(VLOOKUP($B297,Seqs!$A:$B,2,0),AM297,1),"")</f>
        <v>Q</v>
      </c>
      <c r="AM297" s="3">
        <v>216</v>
      </c>
      <c r="AN297" s="3" t="str">
        <f>IFERROR(MID(VLOOKUP($B297,Seqs!$A:$B,2,0),AO297,1),"")</f>
        <v>Q</v>
      </c>
      <c r="AO297" s="3">
        <v>221</v>
      </c>
      <c r="AP297" s="3" t="str">
        <f>IFERROR(MID(VLOOKUP($B297,Seqs!$A:$B,2,0),AQ297,1),"")</f>
        <v>G</v>
      </c>
      <c r="AQ297" s="3">
        <v>261</v>
      </c>
      <c r="AR297" s="3" t="str">
        <f>IFERROR(MID(VLOOKUP($B297,Seqs!$A:$B,2,0),AS297,1),"")</f>
        <v>D</v>
      </c>
      <c r="AS297" s="3">
        <v>264</v>
      </c>
      <c r="AT297" s="3" t="str">
        <f>IFERROR(MID(VLOOKUP($B297,Seqs!$A:$B,2,0),AU297,1),"")</f>
        <v>K</v>
      </c>
      <c r="AU297" s="3">
        <v>299</v>
      </c>
      <c r="AV297" s="3" t="str">
        <f>IFERROR(MID(VLOOKUP($B297,Seqs!$A:$B,2,0),AW297,1),"")</f>
        <v>F</v>
      </c>
      <c r="AW297" s="3">
        <v>300</v>
      </c>
      <c r="AX297" s="3" t="str">
        <f>IFERROR(MID(VLOOKUP($B297,Seqs!$A:$B,2,0),AY297,1),"")</f>
        <v>S</v>
      </c>
      <c r="AY297" s="3">
        <v>313</v>
      </c>
      <c r="AZ297" s="77" t="str">
        <f>VLOOKUP(B297,Classification!A:D,2,0)</f>
        <v>A</v>
      </c>
      <c r="BA297" s="94" t="str">
        <f>VLOOKUP(B297,Classification!A:D,4,0)</f>
        <v>Platelet-activatingfactor</v>
      </c>
      <c r="BB297" s="27" t="b">
        <f>AND(E297&lt;G297,OR(G297&lt;I297,I297="-"),OR(I297&lt;K297,I297="-"),OR(K297&lt;M297,K297="-"),M297&lt;O297,OR(O297&lt;Q297,Q297="-"),OR(Q297&lt;S297,Q297="-"),OR(S297&lt;U297,S297="-"),U297&lt;W297,OR(W297&lt;Y297,Y297="-"),OR(Y297&lt;AA297,Y297="-"),OR(AA297&lt;AC297,AA297="-"),AC297&lt;AE297,OR(AE297&lt;AG297,AG297="-"),OR(AG297&lt;AI297,AG297="-"),OR(AI297&lt;AK297,AI297="-"),AK297&lt;AM297,AM297&lt;AO297,AO297&lt;AQ297,AQ297&lt;AS297,AS297&lt;AU297,OR(AU297&lt;AW297,AW297="-"),OR(AW297&lt;AY297,AW297="-"))</f>
        <v>1</v>
      </c>
      <c r="BC297" s="23">
        <f>_xlfn.AGGREGATE(9,6,CH297:CS297)-_xlfn.AGGREGATE(9,6,BV297:CG297)+12</f>
        <v>272</v>
      </c>
      <c r="BD297" s="2" t="s">
        <v>23</v>
      </c>
      <c r="BE297" s="3" t="s">
        <v>23</v>
      </c>
      <c r="BF297" s="119" t="s">
        <v>23</v>
      </c>
      <c r="BG297" s="49" t="s">
        <v>1378</v>
      </c>
      <c r="BH297" s="49" t="s">
        <v>1378</v>
      </c>
      <c r="BI297" s="1"/>
      <c r="BJ297" s="70" t="s">
        <v>1288</v>
      </c>
      <c r="BK297" s="57" t="s">
        <v>1288</v>
      </c>
      <c r="BL297" s="57" t="s">
        <v>1288</v>
      </c>
      <c r="BM297" s="57" t="s">
        <v>1288</v>
      </c>
      <c r="BN297" s="57" t="s">
        <v>1288</v>
      </c>
      <c r="BO297" s="57" t="s">
        <v>1288</v>
      </c>
      <c r="BP297" s="57" t="s">
        <v>1288</v>
      </c>
      <c r="BQ297" s="57" t="s">
        <v>1288</v>
      </c>
      <c r="BR297" s="57" t="s">
        <v>1288</v>
      </c>
      <c r="BS297" s="57" t="s">
        <v>1288</v>
      </c>
      <c r="BT297" s="57" t="s">
        <v>1288</v>
      </c>
      <c r="BU297" s="57" t="s">
        <v>1288</v>
      </c>
      <c r="BV297" s="70">
        <f>E297</f>
        <v>10</v>
      </c>
      <c r="BW297" s="71" t="str">
        <f>I297</f>
        <v>-</v>
      </c>
      <c r="BX297" s="72">
        <f>M297</f>
        <v>49</v>
      </c>
      <c r="BY297" s="71">
        <f>Q297</f>
        <v>82</v>
      </c>
      <c r="BZ297" s="72">
        <f>U297</f>
        <v>86</v>
      </c>
      <c r="CA297" s="71">
        <f>Y297</f>
        <v>122</v>
      </c>
      <c r="CB297" s="72">
        <f>AC297</f>
        <v>130</v>
      </c>
      <c r="CC297" s="71">
        <f>AG297</f>
        <v>173</v>
      </c>
      <c r="CD297" s="72">
        <f>AK297</f>
        <v>181</v>
      </c>
      <c r="CE297" s="71">
        <f>AO297</f>
        <v>221</v>
      </c>
      <c r="CF297" s="72">
        <f>AS297</f>
        <v>264</v>
      </c>
      <c r="CG297" s="71">
        <f>AW297</f>
        <v>300</v>
      </c>
      <c r="CH297" s="70">
        <f>G297</f>
        <v>44</v>
      </c>
      <c r="CI297" s="71" t="str">
        <f>K297</f>
        <v>-</v>
      </c>
      <c r="CJ297" s="72">
        <f>O297</f>
        <v>80</v>
      </c>
      <c r="CK297" s="72">
        <f>S297</f>
        <v>85</v>
      </c>
      <c r="CL297" s="72">
        <f>W297</f>
        <v>121</v>
      </c>
      <c r="CM297" s="72">
        <f>AA297</f>
        <v>129</v>
      </c>
      <c r="CN297" s="72">
        <f>AE297</f>
        <v>155</v>
      </c>
      <c r="CO297" s="72">
        <f>AI297</f>
        <v>175</v>
      </c>
      <c r="CP297" s="72">
        <f>AM297</f>
        <v>216</v>
      </c>
      <c r="CQ297" s="72">
        <f>AQ297</f>
        <v>261</v>
      </c>
      <c r="CR297" s="72">
        <f>AU297</f>
        <v>299</v>
      </c>
      <c r="CS297" s="72">
        <f>AY297</f>
        <v>313</v>
      </c>
      <c r="CT297" s="23" t="e">
        <f>M297-K297</f>
        <v>#VALUE!</v>
      </c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</row>
    <row r="298" spans="1:1029" x14ac:dyDescent="0.2">
      <c r="A298" s="3" t="str">
        <f>CONCATENATE(B298,"_",C298)</f>
        <v>ptafr_human_5ZKP</v>
      </c>
      <c r="B298" s="3" t="s">
        <v>371</v>
      </c>
      <c r="C298" s="3" t="s">
        <v>1506</v>
      </c>
      <c r="D298" s="3" t="str">
        <f>IFERROR(MID(VLOOKUP($B298,Seqs!$A:$B,2,0),E298,1),"")</f>
        <v>S</v>
      </c>
      <c r="E298" s="3">
        <v>11</v>
      </c>
      <c r="F298" s="3" t="str">
        <f>IFERROR(MID(VLOOKUP($B298,Seqs!$A:$B,2,0),G298,1),"")</f>
        <v>Y</v>
      </c>
      <c r="G298" s="3">
        <v>44</v>
      </c>
      <c r="H298" s="3" t="str">
        <f>IFERROR(MID(VLOOKUP($B298,Seqs!$A:$B,2,0),I298,1),"")</f>
        <v/>
      </c>
      <c r="I298" s="23" t="s">
        <v>23</v>
      </c>
      <c r="J298" s="3" t="str">
        <f>IFERROR(MID(VLOOKUP($B298,Seqs!$A:$B,2,0),K298,1),"")</f>
        <v/>
      </c>
      <c r="K298" s="23" t="s">
        <v>23</v>
      </c>
      <c r="L298" s="3" t="str">
        <f>IFERROR(MID(VLOOKUP($B298,Seqs!$A:$B,2,0),M298,1),"")</f>
        <v>F</v>
      </c>
      <c r="M298" s="3">
        <v>49</v>
      </c>
      <c r="N298" s="3" t="str">
        <f>IFERROR(MID(VLOOKUP($B298,Seqs!$A:$B,2,0),O298,1),"")</f>
        <v>Q</v>
      </c>
      <c r="O298" s="3">
        <v>80</v>
      </c>
      <c r="P298" s="3" t="str">
        <f>IFERROR(MID(VLOOKUP($B298,Seqs!$A:$B,2,0),Q298,1),"")</f>
        <v>N</v>
      </c>
      <c r="Q298" s="3">
        <v>82</v>
      </c>
      <c r="R298" s="3" t="str">
        <f>IFERROR(MID(VLOOKUP($B298,Seqs!$A:$B,2,0),S298,1),"")</f>
        <v>L</v>
      </c>
      <c r="S298" s="3">
        <v>85</v>
      </c>
      <c r="T298" s="3" t="str">
        <f>IFERROR(MID(VLOOKUP($B298,Seqs!$A:$B,2,0),U298,1),"")</f>
        <v>P</v>
      </c>
      <c r="U298" s="3">
        <v>86</v>
      </c>
      <c r="V298" s="3" t="str">
        <f>IFERROR(MID(VLOOKUP($B298,Seqs!$A:$B,2,0),W298,1),"")</f>
        <v>T</v>
      </c>
      <c r="W298" s="3">
        <v>120</v>
      </c>
      <c r="X298" s="3" t="str">
        <f>IFERROR(MID(VLOOKUP($B298,Seqs!$A:$B,2,0),Y298,1),"")</f>
        <v/>
      </c>
      <c r="Y298" s="3" t="s">
        <v>23</v>
      </c>
      <c r="Z298" s="3" t="str">
        <f>IFERROR(MID(VLOOKUP($B298,Seqs!$A:$B,2,0),AA298,1),"")</f>
        <v/>
      </c>
      <c r="AA298" s="3" t="s">
        <v>23</v>
      </c>
      <c r="AB298" s="3" t="str">
        <f>IFERROR(MID(VLOOKUP($B298,Seqs!$A:$B,2,0),AC298,1),"")</f>
        <v>I</v>
      </c>
      <c r="AC298" s="3">
        <v>141</v>
      </c>
      <c r="AD298" s="3" t="str">
        <f>IFERROR(MID(VLOOKUP($B298,Seqs!$A:$B,2,0),AE298,1),"")</f>
        <v>L</v>
      </c>
      <c r="AE298" s="3">
        <v>155</v>
      </c>
      <c r="AF298" s="3" t="str">
        <f>IFERROR(MID(VLOOKUP($B298,Seqs!$A:$B,2,0),AG298,1),"")</f>
        <v>C</v>
      </c>
      <c r="AG298" s="3">
        <v>173</v>
      </c>
      <c r="AH298" s="3" t="str">
        <f>IFERROR(MID(VLOOKUP($B298,Seqs!$A:$B,2,0),AI298,1),"")</f>
        <v>E</v>
      </c>
      <c r="AI298" s="3">
        <v>175</v>
      </c>
      <c r="AJ298" s="3" t="str">
        <f>IFERROR(MID(VLOOKUP($B298,Seqs!$A:$B,2,0),AK298,1),"")</f>
        <v>P</v>
      </c>
      <c r="AK298" s="3">
        <v>183</v>
      </c>
      <c r="AL298" s="3" t="str">
        <f>IFERROR(MID(VLOOKUP($B298,Seqs!$A:$B,2,0),AM298,1),"")</f>
        <v>L</v>
      </c>
      <c r="AM298" s="3">
        <v>214</v>
      </c>
      <c r="AN298" s="3" t="str">
        <f>IFERROR(MID(VLOOKUP($B298,Seqs!$A:$B,2,0),AO298,1),"")</f>
        <v>A</v>
      </c>
      <c r="AO298" s="3">
        <v>224</v>
      </c>
      <c r="AP298" s="3" t="str">
        <f>IFERROR(MID(VLOOKUP($B298,Seqs!$A:$B,2,0),AQ298,1),"")</f>
        <v>G</v>
      </c>
      <c r="AQ298" s="3">
        <v>261</v>
      </c>
      <c r="AR298" s="3" t="str">
        <f>IFERROR(MID(VLOOKUP($B298,Seqs!$A:$B,2,0),AS298,1),"")</f>
        <v>D</v>
      </c>
      <c r="AS298" s="3">
        <v>264</v>
      </c>
      <c r="AT298" s="3" t="str">
        <f>IFERROR(MID(VLOOKUP($B298,Seqs!$A:$B,2,0),AU298,1),"")</f>
        <v>K</v>
      </c>
      <c r="AU298" s="3">
        <v>299</v>
      </c>
      <c r="AV298" s="3" t="str">
        <f>IFERROR(MID(VLOOKUP($B298,Seqs!$A:$B,2,0),AW298,1),"")</f>
        <v>F</v>
      </c>
      <c r="AW298" s="3">
        <v>300</v>
      </c>
      <c r="AX298" s="3" t="str">
        <f>IFERROR(MID(VLOOKUP($B298,Seqs!$A:$B,2,0),AY298,1),"")</f>
        <v>S</v>
      </c>
      <c r="AY298" s="3">
        <v>313</v>
      </c>
      <c r="AZ298" s="77" t="str">
        <f>VLOOKUP(B298,Classification!A:D,2,0)</f>
        <v>A</v>
      </c>
      <c r="BA298" s="94" t="str">
        <f>VLOOKUP(B298,Classification!A:D,4,0)</f>
        <v>Platelet-activatingfactor</v>
      </c>
      <c r="BB298" s="27" t="b">
        <f>AND(E298&lt;G298,OR(G298&lt;I298,I298="-"),OR(I298&lt;K298,I298="-"),OR(K298&lt;M298,K298="-"),M298&lt;O298,OR(O298&lt;Q298,Q298="-"),OR(Q298&lt;S298,Q298="-"),OR(S298&lt;U298,S298="-"),U298&lt;W298,OR(W298&lt;Y298,Y298="-"),OR(Y298&lt;AA298,Y298="-"),OR(AA298&lt;AC298,AA298="-"),AC298&lt;AE298,OR(AE298&lt;AG298,AG298="-"),OR(AG298&lt;AI298,AG298="-"),OR(AI298&lt;AK298,AI298="-"),AK298&lt;AM298,AM298&lt;AO298,AO298&lt;AQ298,AQ298&lt;AS298,AS298&lt;AU298,OR(AU298&lt;AW298,AW298="-"),OR(AW298&lt;AY298,AW298="-"))</f>
        <v>1</v>
      </c>
      <c r="BC298" s="23">
        <f>_xlfn.AGGREGATE(9,6,CH298:CS298)-_xlfn.AGGREGATE(9,6,BV298:CG298)+12</f>
        <v>245</v>
      </c>
      <c r="BD298" s="2" t="s">
        <v>1376</v>
      </c>
      <c r="BE298" s="3" t="s">
        <v>1292</v>
      </c>
      <c r="BF298" s="119">
        <v>2.81</v>
      </c>
      <c r="BG298" s="49" t="s">
        <v>1</v>
      </c>
      <c r="BH298" s="49" t="s">
        <v>1</v>
      </c>
      <c r="BI298" s="1"/>
      <c r="BJ298" s="70" t="s">
        <v>1288</v>
      </c>
      <c r="BK298" s="57" t="s">
        <v>1288</v>
      </c>
      <c r="BL298" s="57" t="s">
        <v>1288</v>
      </c>
      <c r="BM298" s="57" t="s">
        <v>1288</v>
      </c>
      <c r="BN298" s="57" t="s">
        <v>1288</v>
      </c>
      <c r="BO298" s="57" t="s">
        <v>1288</v>
      </c>
      <c r="BP298" s="57" t="s">
        <v>1288</v>
      </c>
      <c r="BQ298" s="57" t="s">
        <v>1288</v>
      </c>
      <c r="BR298" s="57" t="s">
        <v>1288</v>
      </c>
      <c r="BS298" s="57" t="s">
        <v>1288</v>
      </c>
      <c r="BT298" s="57" t="s">
        <v>1288</v>
      </c>
      <c r="BU298" s="57" t="s">
        <v>1288</v>
      </c>
      <c r="BV298" s="70">
        <f>E298</f>
        <v>11</v>
      </c>
      <c r="BW298" s="71" t="str">
        <f>I298</f>
        <v>-</v>
      </c>
      <c r="BX298" s="72">
        <f>M298</f>
        <v>49</v>
      </c>
      <c r="BY298" s="71">
        <f>Q298</f>
        <v>82</v>
      </c>
      <c r="BZ298" s="72">
        <f>U298</f>
        <v>86</v>
      </c>
      <c r="CA298" s="71" t="str">
        <f>Y298</f>
        <v>-</v>
      </c>
      <c r="CB298" s="72">
        <f>AC298</f>
        <v>141</v>
      </c>
      <c r="CC298" s="71">
        <f>AG298</f>
        <v>173</v>
      </c>
      <c r="CD298" s="72">
        <f>AK298</f>
        <v>183</v>
      </c>
      <c r="CE298" s="71">
        <f>AO298</f>
        <v>224</v>
      </c>
      <c r="CF298" s="72">
        <f>AS298</f>
        <v>264</v>
      </c>
      <c r="CG298" s="71">
        <f>AW298</f>
        <v>300</v>
      </c>
      <c r="CH298" s="70">
        <f>G298</f>
        <v>44</v>
      </c>
      <c r="CI298" s="71" t="str">
        <f>K298</f>
        <v>-</v>
      </c>
      <c r="CJ298" s="72">
        <f>O298</f>
        <v>80</v>
      </c>
      <c r="CK298" s="72">
        <f>S298</f>
        <v>85</v>
      </c>
      <c r="CL298" s="72">
        <f>W298</f>
        <v>120</v>
      </c>
      <c r="CM298" s="72" t="str">
        <f>AA298</f>
        <v>-</v>
      </c>
      <c r="CN298" s="72">
        <f>AE298</f>
        <v>155</v>
      </c>
      <c r="CO298" s="72">
        <f>AI298</f>
        <v>175</v>
      </c>
      <c r="CP298" s="72">
        <f>AM298</f>
        <v>214</v>
      </c>
      <c r="CQ298" s="72">
        <f>AQ298</f>
        <v>261</v>
      </c>
      <c r="CR298" s="72">
        <f>AU298</f>
        <v>299</v>
      </c>
      <c r="CS298" s="72">
        <f>AY298</f>
        <v>313</v>
      </c>
      <c r="CT298" s="23" t="e">
        <f>M298-K298</f>
        <v>#VALUE!</v>
      </c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</row>
    <row r="299" spans="1:1029" x14ac:dyDescent="0.2">
      <c r="A299" s="3" t="str">
        <f>CONCATENATE(B299,"_",C299)</f>
        <v>ptafr_human_5ZKQ</v>
      </c>
      <c r="B299" s="3" t="s">
        <v>371</v>
      </c>
      <c r="C299" s="3" t="s">
        <v>1507</v>
      </c>
      <c r="D299" s="3" t="str">
        <f>IFERROR(MID(VLOOKUP($B299,Seqs!$A:$B,2,0),E299,1),"")</f>
        <v>D</v>
      </c>
      <c r="E299" s="3">
        <v>10</v>
      </c>
      <c r="F299" s="3" t="str">
        <f>IFERROR(MID(VLOOKUP($B299,Seqs!$A:$B,2,0),G299,1),"")</f>
        <v>L</v>
      </c>
      <c r="G299" s="3">
        <v>43</v>
      </c>
      <c r="H299" s="3" t="str">
        <f>IFERROR(MID(VLOOKUP($B299,Seqs!$A:$B,2,0),I299,1),"")</f>
        <v/>
      </c>
      <c r="I299" s="23" t="s">
        <v>23</v>
      </c>
      <c r="J299" s="3" t="str">
        <f>IFERROR(MID(VLOOKUP($B299,Seqs!$A:$B,2,0),K299,1),"")</f>
        <v/>
      </c>
      <c r="K299" s="23" t="s">
        <v>23</v>
      </c>
      <c r="L299" s="3" t="str">
        <f>IFERROR(MID(VLOOKUP($B299,Seqs!$A:$B,2,0),M299,1),"")</f>
        <v>F</v>
      </c>
      <c r="M299" s="3">
        <v>49</v>
      </c>
      <c r="N299" s="3" t="str">
        <f>IFERROR(MID(VLOOKUP($B299,Seqs!$A:$B,2,0),O299,1),"")</f>
        <v>Q</v>
      </c>
      <c r="O299" s="3">
        <v>80</v>
      </c>
      <c r="P299" s="3" t="str">
        <f>IFERROR(MID(VLOOKUP($B299,Seqs!$A:$B,2,0),Q299,1),"")</f>
        <v>N</v>
      </c>
      <c r="Q299" s="3">
        <v>82</v>
      </c>
      <c r="R299" s="3" t="str">
        <f>IFERROR(MID(VLOOKUP($B299,Seqs!$A:$B,2,0),S299,1),"")</f>
        <v>L</v>
      </c>
      <c r="S299" s="3">
        <v>85</v>
      </c>
      <c r="T299" s="3" t="str">
        <f>IFERROR(MID(VLOOKUP($B299,Seqs!$A:$B,2,0),U299,1),"")</f>
        <v>P</v>
      </c>
      <c r="U299" s="3">
        <v>86</v>
      </c>
      <c r="V299" s="3" t="str">
        <f>IFERROR(MID(VLOOKUP($B299,Seqs!$A:$B,2,0),W299,1),"")</f>
        <v>R</v>
      </c>
      <c r="W299" s="3">
        <v>121</v>
      </c>
      <c r="X299" s="3" t="str">
        <f>IFERROR(MID(VLOOKUP($B299,Seqs!$A:$B,2,0),Y299,1),"")</f>
        <v/>
      </c>
      <c r="Y299" s="3" t="s">
        <v>23</v>
      </c>
      <c r="Z299" s="3" t="str">
        <f>IFERROR(MID(VLOOKUP($B299,Seqs!$A:$B,2,0),AA299,1),"")</f>
        <v/>
      </c>
      <c r="AA299" s="3" t="s">
        <v>23</v>
      </c>
      <c r="AB299" s="3" t="str">
        <f>IFERROR(MID(VLOOKUP($B299,Seqs!$A:$B,2,0),AC299,1),"")</f>
        <v>T</v>
      </c>
      <c r="AC299" s="3">
        <v>130</v>
      </c>
      <c r="AD299" s="3" t="str">
        <f>IFERROR(MID(VLOOKUP($B299,Seqs!$A:$B,2,0),AE299,1),"")</f>
        <v>I</v>
      </c>
      <c r="AE299" s="3">
        <v>154</v>
      </c>
      <c r="AF299" s="3" t="str">
        <f>IFERROR(MID(VLOOKUP($B299,Seqs!$A:$B,2,0),AG299,1),"")</f>
        <v>C</v>
      </c>
      <c r="AG299" s="3">
        <v>173</v>
      </c>
      <c r="AH299" s="3" t="str">
        <f>IFERROR(MID(VLOOKUP($B299,Seqs!$A:$B,2,0),AI299,1),"")</f>
        <v>E</v>
      </c>
      <c r="AI299" s="3">
        <v>175</v>
      </c>
      <c r="AJ299" s="3" t="str">
        <f>IFERROR(MID(VLOOKUP($B299,Seqs!$A:$B,2,0),AK299,1),"")</f>
        <v>S</v>
      </c>
      <c r="AK299" s="3">
        <v>181</v>
      </c>
      <c r="AL299" s="3" t="str">
        <f>IFERROR(MID(VLOOKUP($B299,Seqs!$A:$B,2,0),AM299,1),"")</f>
        <v>M</v>
      </c>
      <c r="AM299" s="3">
        <v>215</v>
      </c>
      <c r="AN299" s="3" t="str">
        <f>IFERROR(MID(VLOOKUP($B299,Seqs!$A:$B,2,0),AO299,1),"")</f>
        <v>K</v>
      </c>
      <c r="AO299" s="3">
        <v>227</v>
      </c>
      <c r="AP299" s="3" t="str">
        <f>IFERROR(MID(VLOOKUP($B299,Seqs!$A:$B,2,0),AQ299,1),"")</f>
        <v>G</v>
      </c>
      <c r="AQ299" s="3">
        <v>261</v>
      </c>
      <c r="AR299" s="3" t="str">
        <f>IFERROR(MID(VLOOKUP($B299,Seqs!$A:$B,2,0),AS299,1),"")</f>
        <v>D</v>
      </c>
      <c r="AS299" s="3">
        <v>264</v>
      </c>
      <c r="AT299" s="3" t="str">
        <f>IFERROR(MID(VLOOKUP($B299,Seqs!$A:$B,2,0),AU299,1),"")</f>
        <v>T</v>
      </c>
      <c r="AU299" s="3">
        <v>297</v>
      </c>
      <c r="AV299" s="3" t="str">
        <f>IFERROR(MID(VLOOKUP($B299,Seqs!$A:$B,2,0),AW299,1),"")</f>
        <v/>
      </c>
      <c r="AW299" s="3" t="s">
        <v>23</v>
      </c>
      <c r="AX299" s="3" t="str">
        <f>IFERROR(MID(VLOOKUP($B299,Seqs!$A:$B,2,0),AY299,1),"")</f>
        <v/>
      </c>
      <c r="AY299" s="3" t="s">
        <v>23</v>
      </c>
      <c r="AZ299" s="77" t="str">
        <f>VLOOKUP(B299,Classification!A:D,2,0)</f>
        <v>A</v>
      </c>
      <c r="BA299" s="94" t="str">
        <f>VLOOKUP(B299,Classification!A:D,4,0)</f>
        <v>Platelet-activatingfactor</v>
      </c>
      <c r="BB299" s="27" t="b">
        <f>AND(E299&lt;G299,OR(G299&lt;I299,I299="-"),OR(I299&lt;K299,I299="-"),OR(K299&lt;M299,K299="-"),M299&lt;O299,OR(O299&lt;Q299,Q299="-"),OR(Q299&lt;S299,Q299="-"),OR(S299&lt;U299,S299="-"),U299&lt;W299,OR(W299&lt;Y299,Y299="-"),OR(Y299&lt;AA299,Y299="-"),OR(AA299&lt;AC299,AA299="-"),AC299&lt;AE299,OR(AE299&lt;AG299,AG299="-"),OR(AG299&lt;AI299,AG299="-"),OR(AI299&lt;AK299,AI299="-"),AK299&lt;AM299,AM299&lt;AO299,AO299&lt;AQ299,AQ299&lt;AS299,AS299&lt;AU299,OR(AU299&lt;AW299,AW299="-"),OR(AW299&lt;AY299,AW299="-"))</f>
        <v>1</v>
      </c>
      <c r="BC299" s="23">
        <f>_xlfn.AGGREGATE(9,6,CH299:CS299)-_xlfn.AGGREGATE(9,6,BV299:CG299)+12</f>
        <v>241</v>
      </c>
      <c r="BD299" s="2" t="s">
        <v>1430</v>
      </c>
      <c r="BE299" s="3" t="s">
        <v>1429</v>
      </c>
      <c r="BF299" s="119">
        <v>2.9</v>
      </c>
      <c r="BG299" s="49" t="s">
        <v>1282</v>
      </c>
      <c r="BH299" s="49" t="s">
        <v>1282</v>
      </c>
      <c r="BI299" s="1"/>
      <c r="BJ299" s="70" t="s">
        <v>1288</v>
      </c>
      <c r="BK299" s="57" t="s">
        <v>1288</v>
      </c>
      <c r="BL299" s="57" t="s">
        <v>1288</v>
      </c>
      <c r="BM299" s="57" t="s">
        <v>1288</v>
      </c>
      <c r="BN299" s="57" t="s">
        <v>1288</v>
      </c>
      <c r="BO299" s="57" t="s">
        <v>1288</v>
      </c>
      <c r="BP299" s="57" t="s">
        <v>1288</v>
      </c>
      <c r="BQ299" s="57" t="s">
        <v>1288</v>
      </c>
      <c r="BR299" s="57" t="s">
        <v>1288</v>
      </c>
      <c r="BS299" s="57" t="s">
        <v>1288</v>
      </c>
      <c r="BT299" s="57" t="s">
        <v>1288</v>
      </c>
      <c r="BU299" s="57" t="s">
        <v>1288</v>
      </c>
      <c r="BV299" s="70">
        <f>E299</f>
        <v>10</v>
      </c>
      <c r="BW299" s="71" t="str">
        <f>I299</f>
        <v>-</v>
      </c>
      <c r="BX299" s="72">
        <f>M299</f>
        <v>49</v>
      </c>
      <c r="BY299" s="71">
        <f>Q299</f>
        <v>82</v>
      </c>
      <c r="BZ299" s="72">
        <f>U299</f>
        <v>86</v>
      </c>
      <c r="CA299" s="71" t="str">
        <f>Y299</f>
        <v>-</v>
      </c>
      <c r="CB299" s="72">
        <f>AC299</f>
        <v>130</v>
      </c>
      <c r="CC299" s="71">
        <f>AG299</f>
        <v>173</v>
      </c>
      <c r="CD299" s="72">
        <f>AK299</f>
        <v>181</v>
      </c>
      <c r="CE299" s="71">
        <f>AO299</f>
        <v>227</v>
      </c>
      <c r="CF299" s="72">
        <f>AS299</f>
        <v>264</v>
      </c>
      <c r="CG299" s="71" t="str">
        <f>AW299</f>
        <v>-</v>
      </c>
      <c r="CH299" s="70">
        <f>G299</f>
        <v>43</v>
      </c>
      <c r="CI299" s="71" t="str">
        <f>K299</f>
        <v>-</v>
      </c>
      <c r="CJ299" s="72">
        <f>O299</f>
        <v>80</v>
      </c>
      <c r="CK299" s="72">
        <f>S299</f>
        <v>85</v>
      </c>
      <c r="CL299" s="72">
        <f>W299</f>
        <v>121</v>
      </c>
      <c r="CM299" s="72" t="str">
        <f>AA299</f>
        <v>-</v>
      </c>
      <c r="CN299" s="72">
        <f>AE299</f>
        <v>154</v>
      </c>
      <c r="CO299" s="72">
        <f>AI299</f>
        <v>175</v>
      </c>
      <c r="CP299" s="72">
        <f>AM299</f>
        <v>215</v>
      </c>
      <c r="CQ299" s="72">
        <f>AQ299</f>
        <v>261</v>
      </c>
      <c r="CR299" s="72">
        <f>AU299</f>
        <v>297</v>
      </c>
      <c r="CS299" s="72" t="str">
        <f>AY299</f>
        <v>-</v>
      </c>
      <c r="CT299" s="23" t="e">
        <f>M299-K299</f>
        <v>#VALUE!</v>
      </c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</row>
    <row r="300" spans="1:1029" x14ac:dyDescent="0.2">
      <c r="A300" s="3" t="str">
        <f t="shared" si="1510"/>
        <v>q08bg4_danre__wt</v>
      </c>
      <c r="B300" s="3" t="s">
        <v>1441</v>
      </c>
      <c r="C300" s="3" t="s">
        <v>100</v>
      </c>
      <c r="D300" s="3" t="str">
        <f>IFERROR(MID(VLOOKUP($B300,Seqs!$A:$B,2,0),E300,1),"")</f>
        <v>K</v>
      </c>
      <c r="E300" s="3">
        <v>26</v>
      </c>
      <c r="F300" s="3" t="str">
        <f>IFERROR(MID(VLOOKUP($B300,Seqs!$A:$B,2,0),G300,1),"")</f>
        <v>S</v>
      </c>
      <c r="G300" s="3">
        <v>55</v>
      </c>
      <c r="H300" s="3" t="str">
        <f>IFERROR(MID(VLOOKUP($B300,Seqs!$A:$B,2,0),I300,1),"")</f>
        <v>L</v>
      </c>
      <c r="I300" s="23">
        <v>56</v>
      </c>
      <c r="J300" s="3" t="str">
        <f>IFERROR(MID(VLOOKUP($B300,Seqs!$A:$B,2,0),K300,1),"")</f>
        <v>R</v>
      </c>
      <c r="K300" s="23">
        <v>59</v>
      </c>
      <c r="L300" s="3" t="str">
        <f>IFERROR(MID(VLOOKUP($B300,Seqs!$A:$B,2,0),M300,1),"")</f>
        <v>N</v>
      </c>
      <c r="M300" s="3">
        <v>60</v>
      </c>
      <c r="N300" s="3" t="str">
        <f>IFERROR(MID(VLOOKUP($B300,Seqs!$A:$B,2,0),O300,1),"")</f>
        <v>Q</v>
      </c>
      <c r="O300" s="3">
        <v>89</v>
      </c>
      <c r="P300" s="3" t="str">
        <f>IFERROR(MID(VLOOKUP($B300,Seqs!$A:$B,2,0),Q300,1),"")</f>
        <v>N</v>
      </c>
      <c r="Q300" s="3">
        <v>91</v>
      </c>
      <c r="R300" s="3" t="str">
        <f>IFERROR(MID(VLOOKUP($B300,Seqs!$A:$B,2,0),S300,1),"")</f>
        <v>F</v>
      </c>
      <c r="S300" s="3">
        <v>94</v>
      </c>
      <c r="T300" s="3" t="str">
        <f>IFERROR(MID(VLOOKUP($B300,Seqs!$A:$B,2,0),U300,1),"")</f>
        <v>G</v>
      </c>
      <c r="U300" s="3">
        <v>95</v>
      </c>
      <c r="V300" s="3" t="str">
        <f>IFERROR(MID(VLOOKUP($B300,Seqs!$A:$B,2,0),W300,1),"")</f>
        <v>Y</v>
      </c>
      <c r="W300" s="3">
        <v>130</v>
      </c>
      <c r="X300" s="3" t="str">
        <f>IFERROR(MID(VLOOKUP($B300,Seqs!$A:$B,2,0),Y300,1),"")</f>
        <v>P</v>
      </c>
      <c r="Y300" s="3">
        <v>131</v>
      </c>
      <c r="Z300" s="3" t="str">
        <f>IFERROR(MID(VLOOKUP($B300,Seqs!$A:$B,2,0),AA300,1),"")</f>
        <v>R</v>
      </c>
      <c r="AA300" s="3">
        <v>138</v>
      </c>
      <c r="AB300" s="3" t="str">
        <f>IFERROR(MID(VLOOKUP($B300,Seqs!$A:$B,2,0),AC300,1),"")</f>
        <v>T</v>
      </c>
      <c r="AC300" s="3">
        <v>139</v>
      </c>
      <c r="AD300" s="3" t="str">
        <f>IFERROR(MID(VLOOKUP($B300,Seqs!$A:$B,2,0),AE300,1),"")</f>
        <v>N</v>
      </c>
      <c r="AE300" s="3">
        <v>166</v>
      </c>
      <c r="AF300" s="3" t="str">
        <f>IFERROR(MID(VLOOKUP($B300,Seqs!$A:$B,2,0),AG300,1),"")</f>
        <v>C</v>
      </c>
      <c r="AG300" s="3">
        <v>178</v>
      </c>
      <c r="AH300" s="3" t="str">
        <f>IFERROR(MID(VLOOKUP($B300,Seqs!$A:$B,2,0),AI300,1),"")</f>
        <v>E</v>
      </c>
      <c r="AI300" s="3">
        <v>180</v>
      </c>
      <c r="AJ300" s="3" t="str">
        <f>IFERROR(MID(VLOOKUP($B300,Seqs!$A:$B,2,0),AK300,1),"")</f>
        <v>W</v>
      </c>
      <c r="AK300" s="3">
        <v>187</v>
      </c>
      <c r="AL300" s="3" t="str">
        <f>IFERROR(MID(VLOOKUP($B300,Seqs!$A:$B,2,0),AM300,1),"")</f>
        <v>P</v>
      </c>
      <c r="AM300" s="3">
        <v>224</v>
      </c>
      <c r="AN300" s="3" t="str">
        <f>IFERROR(MID(VLOOKUP($B300,Seqs!$A:$B,2,0),AO300,1),"")</f>
        <v>R</v>
      </c>
      <c r="AO300" s="3">
        <v>229</v>
      </c>
      <c r="AP300" s="3" t="str">
        <f>IFERROR(MID(VLOOKUP($B300,Seqs!$A:$B,2,0),AQ300,1),"")</f>
        <v>N</v>
      </c>
      <c r="AQ300" s="3">
        <v>269</v>
      </c>
      <c r="AR300" s="3" t="str">
        <f>IFERROR(MID(VLOOKUP($B300,Seqs!$A:$B,2,0),AS300,1),"")</f>
        <v>G</v>
      </c>
      <c r="AS300" s="3">
        <v>273</v>
      </c>
      <c r="AT300" s="3" t="str">
        <f>IFERROR(MID(VLOOKUP($B300,Seqs!$A:$B,2,0),AU300,1),"")</f>
        <v>T</v>
      </c>
      <c r="AU300" s="3">
        <v>305</v>
      </c>
      <c r="AV300" s="3" t="str">
        <f>IFERROR(MID(VLOOKUP($B300,Seqs!$A:$B,2,0),AW300,1),"")</f>
        <v>S</v>
      </c>
      <c r="AW300" s="3">
        <v>306</v>
      </c>
      <c r="AX300" s="3" t="str">
        <f>IFERROR(MID(VLOOKUP($B300,Seqs!$A:$B,2,0),AY300,1),"")</f>
        <v>G</v>
      </c>
      <c r="AY300" s="3">
        <v>320</v>
      </c>
      <c r="AZ300" s="77" t="str">
        <f>VLOOKUP(B300,Classification!A:D,2,0)</f>
        <v>A</v>
      </c>
      <c r="BA300" s="94" t="str">
        <f>VLOOKUP(B300,Classification!A:D,4,0)</f>
        <v>Lysophospholipid(LPA)</v>
      </c>
      <c r="BB300" s="27" t="b">
        <f t="shared" si="1511"/>
        <v>1</v>
      </c>
      <c r="BC300" s="23">
        <f t="shared" si="1512"/>
        <v>270</v>
      </c>
      <c r="BD300" s="2" t="s">
        <v>23</v>
      </c>
      <c r="BE300" s="3" t="s">
        <v>23</v>
      </c>
      <c r="BF300" s="119" t="s">
        <v>23</v>
      </c>
      <c r="BG300" s="49" t="s">
        <v>1</v>
      </c>
      <c r="BH300" s="49" t="s">
        <v>1378</v>
      </c>
      <c r="BI300" s="1"/>
      <c r="BJ300" s="70" t="s">
        <v>1288</v>
      </c>
      <c r="BK300" s="57" t="s">
        <v>1288</v>
      </c>
      <c r="BL300" s="57" t="s">
        <v>1288</v>
      </c>
      <c r="BM300" s="57" t="s">
        <v>1288</v>
      </c>
      <c r="BN300" s="57" t="s">
        <v>1288</v>
      </c>
      <c r="BO300" s="57" t="s">
        <v>1288</v>
      </c>
      <c r="BP300" s="57" t="s">
        <v>1288</v>
      </c>
      <c r="BQ300" s="57" t="s">
        <v>1288</v>
      </c>
      <c r="BR300" s="57" t="s">
        <v>1288</v>
      </c>
      <c r="BS300" s="57" t="s">
        <v>1288</v>
      </c>
      <c r="BT300" s="57" t="s">
        <v>1288</v>
      </c>
      <c r="BU300" s="57" t="s">
        <v>1288</v>
      </c>
      <c r="BV300" s="70">
        <f t="shared" si="1513"/>
        <v>26</v>
      </c>
      <c r="BW300" s="71">
        <f t="shared" si="1514"/>
        <v>56</v>
      </c>
      <c r="BX300" s="72">
        <f t="shared" si="1515"/>
        <v>60</v>
      </c>
      <c r="BY300" s="71">
        <f t="shared" si="1516"/>
        <v>91</v>
      </c>
      <c r="BZ300" s="72">
        <f t="shared" si="1517"/>
        <v>95</v>
      </c>
      <c r="CA300" s="71">
        <f t="shared" si="1518"/>
        <v>131</v>
      </c>
      <c r="CB300" s="72">
        <f t="shared" si="1519"/>
        <v>139</v>
      </c>
      <c r="CC300" s="71">
        <f t="shared" si="1520"/>
        <v>178</v>
      </c>
      <c r="CD300" s="72">
        <f t="shared" si="1521"/>
        <v>187</v>
      </c>
      <c r="CE300" s="71">
        <f t="shared" si="1522"/>
        <v>229</v>
      </c>
      <c r="CF300" s="72">
        <f t="shared" si="1523"/>
        <v>273</v>
      </c>
      <c r="CG300" s="71">
        <f t="shared" si="1524"/>
        <v>306</v>
      </c>
      <c r="CH300" s="70">
        <f t="shared" si="1525"/>
        <v>55</v>
      </c>
      <c r="CI300" s="71">
        <f t="shared" si="1526"/>
        <v>59</v>
      </c>
      <c r="CJ300" s="72">
        <f t="shared" si="1527"/>
        <v>89</v>
      </c>
      <c r="CK300" s="72">
        <f t="shared" si="1528"/>
        <v>94</v>
      </c>
      <c r="CL300" s="72">
        <f t="shared" si="1529"/>
        <v>130</v>
      </c>
      <c r="CM300" s="72">
        <f t="shared" si="1530"/>
        <v>138</v>
      </c>
      <c r="CN300" s="72">
        <f t="shared" si="1531"/>
        <v>166</v>
      </c>
      <c r="CO300" s="72">
        <f t="shared" si="1532"/>
        <v>180</v>
      </c>
      <c r="CP300" s="72">
        <f t="shared" si="1533"/>
        <v>224</v>
      </c>
      <c r="CQ300" s="72">
        <f t="shared" si="1534"/>
        <v>269</v>
      </c>
      <c r="CR300" s="72">
        <f t="shared" si="1535"/>
        <v>305</v>
      </c>
      <c r="CS300" s="72">
        <f t="shared" si="1536"/>
        <v>320</v>
      </c>
      <c r="CT300" s="23">
        <f t="shared" si="1537"/>
        <v>1</v>
      </c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</row>
    <row r="301" spans="1:1029" x14ac:dyDescent="0.2">
      <c r="A301" s="3" t="str">
        <f t="shared" si="1510"/>
        <v>q08bg4_danre_5XSZ</v>
      </c>
      <c r="B301" s="3" t="s">
        <v>1441</v>
      </c>
      <c r="C301" s="3" t="s">
        <v>1443</v>
      </c>
      <c r="D301" s="3" t="str">
        <f>IFERROR(MID(VLOOKUP($B301,Seqs!$A:$B,2,0),E301,1),"")</f>
        <v>K</v>
      </c>
      <c r="E301" s="3">
        <v>26</v>
      </c>
      <c r="F301" s="3" t="str">
        <f>IFERROR(MID(VLOOKUP($B301,Seqs!$A:$B,2,0),G301,1),"")</f>
        <v>S</v>
      </c>
      <c r="G301" s="3">
        <v>55</v>
      </c>
      <c r="H301" s="3" t="str">
        <f>IFERROR(MID(VLOOKUP($B301,Seqs!$A:$B,2,0),I301,1),"")</f>
        <v/>
      </c>
      <c r="I301" s="23" t="s">
        <v>23</v>
      </c>
      <c r="J301" s="3" t="str">
        <f>IFERROR(MID(VLOOKUP($B301,Seqs!$A:$B,2,0),K301,1),"")</f>
        <v/>
      </c>
      <c r="K301" s="23" t="s">
        <v>23</v>
      </c>
      <c r="L301" s="3" t="str">
        <f>IFERROR(MID(VLOOKUP($B301,Seqs!$A:$B,2,0),M301,1),"")</f>
        <v>N</v>
      </c>
      <c r="M301" s="3">
        <v>60</v>
      </c>
      <c r="N301" s="3" t="str">
        <f>IFERROR(MID(VLOOKUP($B301,Seqs!$A:$B,2,0),O301,1),"")</f>
        <v>Q</v>
      </c>
      <c r="O301" s="3">
        <v>89</v>
      </c>
      <c r="P301" s="3" t="str">
        <f>IFERROR(MID(VLOOKUP($B301,Seqs!$A:$B,2,0),Q301,1),"")</f>
        <v>N</v>
      </c>
      <c r="Q301" s="3">
        <v>91</v>
      </c>
      <c r="R301" s="3" t="str">
        <f>IFERROR(MID(VLOOKUP($B301,Seqs!$A:$B,2,0),S301,1),"")</f>
        <v>F</v>
      </c>
      <c r="S301" s="3">
        <v>94</v>
      </c>
      <c r="T301" s="3" t="str">
        <f>IFERROR(MID(VLOOKUP($B301,Seqs!$A:$B,2,0),U301,1),"")</f>
        <v>G</v>
      </c>
      <c r="U301" s="3">
        <v>95</v>
      </c>
      <c r="V301" s="3" t="str">
        <f>IFERROR(MID(VLOOKUP($B301,Seqs!$A:$B,2,0),W301,1),"")</f>
        <v>Y</v>
      </c>
      <c r="W301" s="3">
        <v>130</v>
      </c>
      <c r="X301" s="3" t="str">
        <f>IFERROR(MID(VLOOKUP($B301,Seqs!$A:$B,2,0),Y301,1),"")</f>
        <v>P</v>
      </c>
      <c r="Y301" s="3">
        <v>131</v>
      </c>
      <c r="Z301" s="3" t="str">
        <f>IFERROR(MID(VLOOKUP($B301,Seqs!$A:$B,2,0),AA301,1),"")</f>
        <v>R</v>
      </c>
      <c r="AA301" s="3">
        <v>138</v>
      </c>
      <c r="AB301" s="3" t="str">
        <f>IFERROR(MID(VLOOKUP($B301,Seqs!$A:$B,2,0),AC301,1),"")</f>
        <v>T</v>
      </c>
      <c r="AC301" s="3">
        <v>139</v>
      </c>
      <c r="AD301" s="3" t="str">
        <f>IFERROR(MID(VLOOKUP($B301,Seqs!$A:$B,2,0),AE301,1),"")</f>
        <v>N</v>
      </c>
      <c r="AE301" s="3">
        <v>166</v>
      </c>
      <c r="AF301" s="3" t="str">
        <f>IFERROR(MID(VLOOKUP($B301,Seqs!$A:$B,2,0),AG301,1),"")</f>
        <v>C</v>
      </c>
      <c r="AG301" s="3">
        <v>178</v>
      </c>
      <c r="AH301" s="3" t="str">
        <f>IFERROR(MID(VLOOKUP($B301,Seqs!$A:$B,2,0),AI301,1),"")</f>
        <v>F</v>
      </c>
      <c r="AI301" s="3">
        <v>179</v>
      </c>
      <c r="AJ301" s="3" t="str">
        <f>IFERROR(MID(VLOOKUP($B301,Seqs!$A:$B,2,0),AK301,1),"")</f>
        <v>W</v>
      </c>
      <c r="AK301" s="3">
        <v>187</v>
      </c>
      <c r="AL301" s="3" t="str">
        <f>IFERROR(MID(VLOOKUP($B301,Seqs!$A:$B,2,0),AM301,1),"")</f>
        <v>R</v>
      </c>
      <c r="AM301" s="3">
        <v>223</v>
      </c>
      <c r="AN301" s="3" t="str">
        <f>IFERROR(MID(VLOOKUP($B301,Seqs!$A:$B,2,0),AO301,1),"")</f>
        <v>N</v>
      </c>
      <c r="AO301" s="3">
        <v>234</v>
      </c>
      <c r="AP301" s="3" t="str">
        <f>IFERROR(MID(VLOOKUP($B301,Seqs!$A:$B,2,0),AQ301,1),"")</f>
        <v>N</v>
      </c>
      <c r="AQ301" s="3">
        <v>269</v>
      </c>
      <c r="AR301" s="3" t="str">
        <f>IFERROR(MID(VLOOKUP($B301,Seqs!$A:$B,2,0),AS301,1),"")</f>
        <v>G</v>
      </c>
      <c r="AS301" s="3">
        <v>273</v>
      </c>
      <c r="AT301" s="3" t="str">
        <f>IFERROR(MID(VLOOKUP($B301,Seqs!$A:$B,2,0),AU301,1),"")</f>
        <v>T</v>
      </c>
      <c r="AU301" s="3">
        <v>308</v>
      </c>
      <c r="AV301" s="3" t="str">
        <f>IFERROR(MID(VLOOKUP($B301,Seqs!$A:$B,2,0),AW301,1),"")</f>
        <v/>
      </c>
      <c r="AW301" s="3" t="s">
        <v>23</v>
      </c>
      <c r="AX301" s="3" t="str">
        <f>IFERROR(MID(VLOOKUP($B301,Seqs!$A:$B,2,0),AY301,1),"")</f>
        <v/>
      </c>
      <c r="AY301" s="3" t="s">
        <v>23</v>
      </c>
      <c r="AZ301" s="77" t="str">
        <f>VLOOKUP(B301,Classification!A:D,2,0)</f>
        <v>A</v>
      </c>
      <c r="BA301" s="94" t="str">
        <f>VLOOKUP(B301,Classification!A:D,4,0)</f>
        <v>Lysophospholipid(LPA)</v>
      </c>
      <c r="BB301" s="27" t="b">
        <f t="shared" si="1511"/>
        <v>1</v>
      </c>
      <c r="BC301" s="23">
        <f t="shared" si="1512"/>
        <v>249</v>
      </c>
      <c r="BD301" s="2" t="s">
        <v>1376</v>
      </c>
      <c r="BE301" s="3" t="s">
        <v>1292</v>
      </c>
      <c r="BF301" s="119">
        <v>3.2</v>
      </c>
      <c r="BG301" s="49" t="s">
        <v>1</v>
      </c>
      <c r="BH301" s="49" t="s">
        <v>1378</v>
      </c>
      <c r="BI301" s="1"/>
      <c r="BJ301" s="70" t="s">
        <v>1288</v>
      </c>
      <c r="BK301" s="57" t="s">
        <v>1288</v>
      </c>
      <c r="BL301" s="57" t="s">
        <v>1288</v>
      </c>
      <c r="BM301" s="57" t="s">
        <v>1288</v>
      </c>
      <c r="BN301" s="57" t="s">
        <v>1288</v>
      </c>
      <c r="BO301" s="57" t="s">
        <v>1288</v>
      </c>
      <c r="BP301" s="57" t="s">
        <v>1288</v>
      </c>
      <c r="BQ301" s="57" t="s">
        <v>1288</v>
      </c>
      <c r="BR301" s="57" t="s">
        <v>1288</v>
      </c>
      <c r="BS301" s="57" t="s">
        <v>1288</v>
      </c>
      <c r="BT301" s="57" t="s">
        <v>1288</v>
      </c>
      <c r="BU301" s="57" t="s">
        <v>1288</v>
      </c>
      <c r="BV301" s="70">
        <f t="shared" si="1513"/>
        <v>26</v>
      </c>
      <c r="BW301" s="71" t="str">
        <f t="shared" si="1514"/>
        <v>-</v>
      </c>
      <c r="BX301" s="72">
        <f t="shared" si="1515"/>
        <v>60</v>
      </c>
      <c r="BY301" s="71">
        <f t="shared" si="1516"/>
        <v>91</v>
      </c>
      <c r="BZ301" s="72">
        <f t="shared" si="1517"/>
        <v>95</v>
      </c>
      <c r="CA301" s="71">
        <f t="shared" si="1518"/>
        <v>131</v>
      </c>
      <c r="CB301" s="72">
        <f t="shared" si="1519"/>
        <v>139</v>
      </c>
      <c r="CC301" s="71">
        <f t="shared" si="1520"/>
        <v>178</v>
      </c>
      <c r="CD301" s="72">
        <f t="shared" si="1521"/>
        <v>187</v>
      </c>
      <c r="CE301" s="71">
        <f t="shared" si="1522"/>
        <v>234</v>
      </c>
      <c r="CF301" s="72">
        <f t="shared" si="1523"/>
        <v>273</v>
      </c>
      <c r="CG301" s="71" t="str">
        <f t="shared" si="1524"/>
        <v>-</v>
      </c>
      <c r="CH301" s="70">
        <f t="shared" si="1525"/>
        <v>55</v>
      </c>
      <c r="CI301" s="71" t="str">
        <f t="shared" si="1526"/>
        <v>-</v>
      </c>
      <c r="CJ301" s="72">
        <f t="shared" si="1527"/>
        <v>89</v>
      </c>
      <c r="CK301" s="72">
        <f t="shared" si="1528"/>
        <v>94</v>
      </c>
      <c r="CL301" s="72">
        <f t="shared" si="1529"/>
        <v>130</v>
      </c>
      <c r="CM301" s="72">
        <f t="shared" si="1530"/>
        <v>138</v>
      </c>
      <c r="CN301" s="72">
        <f t="shared" si="1531"/>
        <v>166</v>
      </c>
      <c r="CO301" s="72">
        <f t="shared" si="1532"/>
        <v>179</v>
      </c>
      <c r="CP301" s="72">
        <f t="shared" si="1533"/>
        <v>223</v>
      </c>
      <c r="CQ301" s="72">
        <f t="shared" si="1534"/>
        <v>269</v>
      </c>
      <c r="CR301" s="72">
        <f t="shared" si="1535"/>
        <v>308</v>
      </c>
      <c r="CS301" s="72" t="str">
        <f t="shared" si="1536"/>
        <v>-</v>
      </c>
      <c r="CT301" s="23" t="e">
        <f t="shared" si="1537"/>
        <v>#VALUE!</v>
      </c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</row>
    <row r="302" spans="1:1029" x14ac:dyDescent="0.2">
      <c r="A302" s="3" t="str">
        <f t="shared" si="1510"/>
        <v>q9wtk1_cavpo__wt</v>
      </c>
      <c r="B302" s="3" t="s">
        <v>1452</v>
      </c>
      <c r="C302" s="3" t="s">
        <v>100</v>
      </c>
      <c r="D302" s="3" t="str">
        <f>IFERROR(MID(VLOOKUP($B302,Seqs!$A:$B,2,0),E302,1),"")</f>
        <v>T</v>
      </c>
      <c r="E302" s="3">
        <v>17</v>
      </c>
      <c r="F302" s="3" t="str">
        <f>IFERROR(MID(VLOOKUP($B302,Seqs!$A:$B,2,0),G302,1),"")</f>
        <v>R</v>
      </c>
      <c r="G302" s="3">
        <v>48</v>
      </c>
      <c r="H302" s="3" t="str">
        <f>IFERROR(MID(VLOOKUP($B302,Seqs!$A:$B,2,0),I302,1),"")</f>
        <v>M</v>
      </c>
      <c r="I302" s="23">
        <v>49</v>
      </c>
      <c r="J302" s="3" t="str">
        <f>IFERROR(MID(VLOOKUP($B302,Seqs!$A:$B,2,0),K302,1),"")</f>
        <v>R</v>
      </c>
      <c r="K302" s="23">
        <v>52</v>
      </c>
      <c r="L302" s="3" t="str">
        <f>IFERROR(MID(VLOOKUP($B302,Seqs!$A:$B,2,0),M302,1),"")</f>
        <v>S</v>
      </c>
      <c r="M302" s="3">
        <v>53</v>
      </c>
      <c r="N302" s="3" t="str">
        <f>IFERROR(MID(VLOOKUP($B302,Seqs!$A:$B,2,0),O302,1),"")</f>
        <v>H</v>
      </c>
      <c r="O302" s="3">
        <v>83</v>
      </c>
      <c r="P302" s="3" t="str">
        <f>IFERROR(MID(VLOOKUP($B302,Seqs!$A:$B,2,0),Q302,1),"")</f>
        <v>T</v>
      </c>
      <c r="Q302" s="3">
        <v>84</v>
      </c>
      <c r="R302" s="3" t="str">
        <f>IFERROR(MID(VLOOKUP($B302,Seqs!$A:$B,2,0),S302,1),"")</f>
        <v>F</v>
      </c>
      <c r="S302" s="3">
        <v>87</v>
      </c>
      <c r="T302" s="3" t="str">
        <f>IFERROR(MID(VLOOKUP($B302,Seqs!$A:$B,2,0),U302,1),"")</f>
        <v>K</v>
      </c>
      <c r="U302" s="3">
        <v>88</v>
      </c>
      <c r="V302" s="3" t="str">
        <f>IFERROR(MID(VLOOKUP($B302,Seqs!$A:$B,2,0),W302,1),"")</f>
        <v>S</v>
      </c>
      <c r="W302" s="3">
        <v>123</v>
      </c>
      <c r="X302" s="3" t="str">
        <f>IFERROR(MID(VLOOKUP($B302,Seqs!$A:$B,2,0),Y302,1),"")</f>
        <v>P</v>
      </c>
      <c r="Y302" s="3">
        <v>124</v>
      </c>
      <c r="Z302" s="3" t="str">
        <f>IFERROR(MID(VLOOKUP($B302,Seqs!$A:$B,2,0),AA302,1),"")</f>
        <v>R</v>
      </c>
      <c r="AA302" s="3">
        <v>131</v>
      </c>
      <c r="AB302" s="3" t="str">
        <f>IFERROR(MID(VLOOKUP($B302,Seqs!$A:$B,2,0),AC302,1),"")</f>
        <v>T</v>
      </c>
      <c r="AC302" s="3">
        <v>132</v>
      </c>
      <c r="AD302" s="3" t="str">
        <f>IFERROR(MID(VLOOKUP($B302,Seqs!$A:$B,2,0),AE302,1),"")</f>
        <v>R</v>
      </c>
      <c r="AE302" s="3">
        <v>158</v>
      </c>
      <c r="AF302" s="3" t="str">
        <f>IFERROR(MID(VLOOKUP($B302,Seqs!$A:$B,2,0),AG302,1),"")</f>
        <v>C</v>
      </c>
      <c r="AG302" s="3">
        <v>170</v>
      </c>
      <c r="AH302" s="3" t="str">
        <f>IFERROR(MID(VLOOKUP($B302,Seqs!$A:$B,2,0),AI302,1),"")</f>
        <v>A</v>
      </c>
      <c r="AI302" s="3">
        <v>172</v>
      </c>
      <c r="AJ302" s="3" t="str">
        <f>IFERROR(MID(VLOOKUP($B302,Seqs!$A:$B,2,0),AK302,1),"")</f>
        <v>S</v>
      </c>
      <c r="AK302" s="3">
        <v>176</v>
      </c>
      <c r="AL302" s="3" t="str">
        <f>IFERROR(MID(VLOOKUP($B302,Seqs!$A:$B,2,0),AM302,1),"")</f>
        <v>R</v>
      </c>
      <c r="AM302" s="3">
        <v>213</v>
      </c>
      <c r="AN302" s="3" t="str">
        <f>IFERROR(MID(VLOOKUP($B302,Seqs!$A:$B,2,0),AO302,1),"")</f>
        <v>R</v>
      </c>
      <c r="AO302" s="3">
        <v>218</v>
      </c>
      <c r="AP302" s="3" t="str">
        <f>IFERROR(MID(VLOOKUP($B302,Seqs!$A:$B,2,0),AQ302,1),"")</f>
        <v>A</v>
      </c>
      <c r="AQ302" s="3">
        <v>252</v>
      </c>
      <c r="AR302" s="3" t="str">
        <f>IFERROR(MID(VLOOKUP($B302,Seqs!$A:$B,2,0),AS302,1),"")</f>
        <v>L</v>
      </c>
      <c r="AS302" s="3">
        <v>255</v>
      </c>
      <c r="AT302" s="3" t="str">
        <f>IFERROR(MID(VLOOKUP($B302,Seqs!$A:$B,2,0),AU302,1),"")</f>
        <v>A</v>
      </c>
      <c r="AU302" s="3">
        <v>287</v>
      </c>
      <c r="AV302" s="3" t="str">
        <f>IFERROR(MID(VLOOKUP($B302,Seqs!$A:$B,2,0),AW302,1),"")</f>
        <v>G</v>
      </c>
      <c r="AW302" s="3">
        <v>288</v>
      </c>
      <c r="AX302" s="3" t="str">
        <f>IFERROR(MID(VLOOKUP($B302,Seqs!$A:$B,2,0),AY302,1),"")</f>
        <v>K</v>
      </c>
      <c r="AY302" s="3">
        <v>302</v>
      </c>
      <c r="AZ302" s="77" t="str">
        <f>VLOOKUP(B302,Classification!A:D,2,0)</f>
        <v>A</v>
      </c>
      <c r="BA302" s="94" t="str">
        <f>VLOOKUP(B302,Classification!A:D,4,0)</f>
        <v>Leukotriene</v>
      </c>
      <c r="BB302" s="27" t="b">
        <f t="shared" si="1511"/>
        <v>1</v>
      </c>
      <c r="BC302" s="23">
        <f t="shared" si="1512"/>
        <v>266</v>
      </c>
      <c r="BD302" s="2" t="s">
        <v>23</v>
      </c>
      <c r="BE302" s="3" t="s">
        <v>23</v>
      </c>
      <c r="BF302" s="119" t="s">
        <v>23</v>
      </c>
      <c r="BG302" s="49" t="s">
        <v>1</v>
      </c>
      <c r="BH302" s="49" t="s">
        <v>1</v>
      </c>
      <c r="BI302" s="1"/>
      <c r="BJ302" s="70" t="s">
        <v>1288</v>
      </c>
      <c r="BK302" s="57" t="s">
        <v>1288</v>
      </c>
      <c r="BL302" s="57" t="s">
        <v>1288</v>
      </c>
      <c r="BM302" s="57" t="s">
        <v>1288</v>
      </c>
      <c r="BN302" s="57" t="s">
        <v>1288</v>
      </c>
      <c r="BO302" s="57" t="s">
        <v>1288</v>
      </c>
      <c r="BP302" s="57" t="s">
        <v>1288</v>
      </c>
      <c r="BQ302" s="57" t="s">
        <v>1288</v>
      </c>
      <c r="BR302" s="57" t="s">
        <v>1288</v>
      </c>
      <c r="BS302" s="57" t="s">
        <v>1288</v>
      </c>
      <c r="BT302" s="57" t="s">
        <v>1288</v>
      </c>
      <c r="BU302" s="57" t="s">
        <v>1288</v>
      </c>
      <c r="BV302" s="70">
        <f t="shared" si="1513"/>
        <v>17</v>
      </c>
      <c r="BW302" s="71">
        <f t="shared" si="1514"/>
        <v>49</v>
      </c>
      <c r="BX302" s="72">
        <f t="shared" si="1515"/>
        <v>53</v>
      </c>
      <c r="BY302" s="71">
        <f t="shared" si="1516"/>
        <v>84</v>
      </c>
      <c r="BZ302" s="72">
        <f t="shared" si="1517"/>
        <v>88</v>
      </c>
      <c r="CA302" s="71">
        <f t="shared" si="1518"/>
        <v>124</v>
      </c>
      <c r="CB302" s="72">
        <f t="shared" si="1519"/>
        <v>132</v>
      </c>
      <c r="CC302" s="71">
        <f t="shared" si="1520"/>
        <v>170</v>
      </c>
      <c r="CD302" s="72">
        <f t="shared" si="1521"/>
        <v>176</v>
      </c>
      <c r="CE302" s="71">
        <f t="shared" si="1522"/>
        <v>218</v>
      </c>
      <c r="CF302" s="72">
        <f t="shared" si="1523"/>
        <v>255</v>
      </c>
      <c r="CG302" s="71">
        <f t="shared" si="1524"/>
        <v>288</v>
      </c>
      <c r="CH302" s="70">
        <f t="shared" si="1525"/>
        <v>48</v>
      </c>
      <c r="CI302" s="71">
        <f t="shared" si="1526"/>
        <v>52</v>
      </c>
      <c r="CJ302" s="72">
        <f t="shared" si="1527"/>
        <v>83</v>
      </c>
      <c r="CK302" s="72">
        <f t="shared" si="1528"/>
        <v>87</v>
      </c>
      <c r="CL302" s="72">
        <f t="shared" si="1529"/>
        <v>123</v>
      </c>
      <c r="CM302" s="72">
        <f t="shared" si="1530"/>
        <v>131</v>
      </c>
      <c r="CN302" s="72">
        <f t="shared" si="1531"/>
        <v>158</v>
      </c>
      <c r="CO302" s="72">
        <f t="shared" si="1532"/>
        <v>172</v>
      </c>
      <c r="CP302" s="72">
        <f t="shared" si="1533"/>
        <v>213</v>
      </c>
      <c r="CQ302" s="72">
        <f t="shared" si="1534"/>
        <v>252</v>
      </c>
      <c r="CR302" s="72">
        <f t="shared" si="1535"/>
        <v>287</v>
      </c>
      <c r="CS302" s="72">
        <f t="shared" si="1536"/>
        <v>302</v>
      </c>
      <c r="CT302" s="23">
        <f t="shared" si="1537"/>
        <v>1</v>
      </c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</row>
    <row r="303" spans="1:1029" x14ac:dyDescent="0.2">
      <c r="A303" s="3" t="str">
        <f t="shared" si="1510"/>
        <v>q9wtk1_cavpo_5X33</v>
      </c>
      <c r="B303" s="3" t="s">
        <v>1452</v>
      </c>
      <c r="C303" s="3" t="s">
        <v>1453</v>
      </c>
      <c r="D303" s="3" t="str">
        <f>IFERROR(MID(VLOOKUP($B303,Seqs!$A:$B,2,0),E303,1),"")</f>
        <v>T</v>
      </c>
      <c r="E303" s="3">
        <v>17</v>
      </c>
      <c r="F303" s="3" t="str">
        <f>IFERROR(MID(VLOOKUP($B303,Seqs!$A:$B,2,0),G303,1),"")</f>
        <v>R</v>
      </c>
      <c r="G303" s="3">
        <v>48</v>
      </c>
      <c r="H303" s="3" t="str">
        <f>IFERROR(MID(VLOOKUP($B303,Seqs!$A:$B,2,0),I303,1),"")</f>
        <v/>
      </c>
      <c r="I303" s="23" t="s">
        <v>23</v>
      </c>
      <c r="J303" s="3" t="str">
        <f>IFERROR(MID(VLOOKUP($B303,Seqs!$A:$B,2,0),K303,1),"")</f>
        <v/>
      </c>
      <c r="K303" s="23" t="s">
        <v>23</v>
      </c>
      <c r="L303" s="3" t="str">
        <f>IFERROR(MID(VLOOKUP($B303,Seqs!$A:$B,2,0),M303,1),"")</f>
        <v>S</v>
      </c>
      <c r="M303" s="3">
        <v>53</v>
      </c>
      <c r="N303" s="3" t="str">
        <f>IFERROR(MID(VLOOKUP($B303,Seqs!$A:$B,2,0),O303,1),"")</f>
        <v>H</v>
      </c>
      <c r="O303" s="3">
        <v>83</v>
      </c>
      <c r="P303" s="3" t="str">
        <f>IFERROR(MID(VLOOKUP($B303,Seqs!$A:$B,2,0),Q303,1),"")</f>
        <v>T</v>
      </c>
      <c r="Q303" s="3">
        <v>84</v>
      </c>
      <c r="R303" s="3" t="str">
        <f>IFERROR(MID(VLOOKUP($B303,Seqs!$A:$B,2,0),S303,1),"")</f>
        <v>F</v>
      </c>
      <c r="S303" s="3">
        <v>87</v>
      </c>
      <c r="T303" s="3" t="str">
        <f>IFERROR(MID(VLOOKUP($B303,Seqs!$A:$B,2,0),U303,1),"")</f>
        <v>K</v>
      </c>
      <c r="U303" s="3">
        <v>88</v>
      </c>
      <c r="V303" s="3" t="str">
        <f>IFERROR(MID(VLOOKUP($B303,Seqs!$A:$B,2,0),W303,1),"")</f>
        <v>S</v>
      </c>
      <c r="W303" s="3">
        <v>123</v>
      </c>
      <c r="X303" s="3" t="str">
        <f>IFERROR(MID(VLOOKUP($B303,Seqs!$A:$B,2,0),Y303,1),"")</f>
        <v>P</v>
      </c>
      <c r="Y303" s="3">
        <v>124</v>
      </c>
      <c r="Z303" s="3" t="str">
        <f>IFERROR(MID(VLOOKUP($B303,Seqs!$A:$B,2,0),AA303,1),"")</f>
        <v>R</v>
      </c>
      <c r="AA303" s="3">
        <v>131</v>
      </c>
      <c r="AB303" s="3" t="str">
        <f>IFERROR(MID(VLOOKUP($B303,Seqs!$A:$B,2,0),AC303,1),"")</f>
        <v>T</v>
      </c>
      <c r="AC303" s="3">
        <v>132</v>
      </c>
      <c r="AD303" s="3" t="str">
        <f>IFERROR(MID(VLOOKUP($B303,Seqs!$A:$B,2,0),AE303,1),"")</f>
        <v>R</v>
      </c>
      <c r="AE303" s="3">
        <v>158</v>
      </c>
      <c r="AF303" s="3" t="str">
        <f>IFERROR(MID(VLOOKUP($B303,Seqs!$A:$B,2,0),AG303,1),"")</f>
        <v>C</v>
      </c>
      <c r="AG303" s="3">
        <v>170</v>
      </c>
      <c r="AH303" s="3" t="str">
        <f>IFERROR(MID(VLOOKUP($B303,Seqs!$A:$B,2,0),AI303,1),"")</f>
        <v>A</v>
      </c>
      <c r="AI303" s="3">
        <v>172</v>
      </c>
      <c r="AJ303" s="3" t="str">
        <f>IFERROR(MID(VLOOKUP($B303,Seqs!$A:$B,2,0),AK303,1),"")</f>
        <v>S</v>
      </c>
      <c r="AK303" s="3">
        <v>176</v>
      </c>
      <c r="AL303" s="3" t="str">
        <f>IFERROR(MID(VLOOKUP($B303,Seqs!$A:$B,2,0),AM303,1),"")</f>
        <v>R</v>
      </c>
      <c r="AM303" s="3">
        <v>213</v>
      </c>
      <c r="AN303" s="3" t="str">
        <f>IFERROR(MID(VLOOKUP($B303,Seqs!$A:$B,2,0),AO303,1),"")</f>
        <v>I</v>
      </c>
      <c r="AO303" s="3">
        <v>227</v>
      </c>
      <c r="AP303" s="3" t="str">
        <f>IFERROR(MID(VLOOKUP($B303,Seqs!$A:$B,2,0),AQ303,1),"")</f>
        <v>R</v>
      </c>
      <c r="AQ303" s="3">
        <v>249</v>
      </c>
      <c r="AR303" s="3" t="str">
        <f>IFERROR(MID(VLOOKUP($B303,Seqs!$A:$B,2,0),AS303,1),"")</f>
        <v>Q</v>
      </c>
      <c r="AS303" s="3">
        <v>261</v>
      </c>
      <c r="AT303" s="3" t="str">
        <f>IFERROR(MID(VLOOKUP($B303,Seqs!$A:$B,2,0),AU303,1),"")</f>
        <v>S</v>
      </c>
      <c r="AU303" s="3">
        <v>278</v>
      </c>
      <c r="AV303" s="3" t="str">
        <f>IFERROR(MID(VLOOKUP($B303,Seqs!$A:$B,2,0),AW303,1),"")</f>
        <v/>
      </c>
      <c r="AW303" s="3" t="s">
        <v>23</v>
      </c>
      <c r="AX303" s="3" t="str">
        <f>IFERROR(MID(VLOOKUP($B303,Seqs!$A:$B,2,0),AY303,1),"")</f>
        <v/>
      </c>
      <c r="AY303" s="3" t="s">
        <v>23</v>
      </c>
      <c r="AZ303" s="77" t="str">
        <f>VLOOKUP(B303,Classification!A:D,2,0)</f>
        <v>A</v>
      </c>
      <c r="BA303" s="94" t="str">
        <f>VLOOKUP(B303,Classification!A:D,4,0)</f>
        <v>Leukotriene</v>
      </c>
      <c r="BB303" s="27" t="b">
        <f t="shared" si="1511"/>
        <v>1</v>
      </c>
      <c r="BC303" s="23">
        <f t="shared" si="1512"/>
        <v>222</v>
      </c>
      <c r="BD303" s="2" t="s">
        <v>1377</v>
      </c>
      <c r="BE303" s="3" t="s">
        <v>1375</v>
      </c>
      <c r="BF303" s="119">
        <v>3.7</v>
      </c>
      <c r="BG303" s="49" t="s">
        <v>1</v>
      </c>
      <c r="BH303" s="49" t="s">
        <v>1378</v>
      </c>
      <c r="BI303" s="1"/>
      <c r="BJ303" s="70" t="s">
        <v>1288</v>
      </c>
      <c r="BK303" s="57" t="s">
        <v>1288</v>
      </c>
      <c r="BL303" s="57" t="s">
        <v>1288</v>
      </c>
      <c r="BM303" s="57" t="s">
        <v>1288</v>
      </c>
      <c r="BN303" s="57" t="s">
        <v>1288</v>
      </c>
      <c r="BO303" s="57" t="s">
        <v>1288</v>
      </c>
      <c r="BP303" s="57" t="s">
        <v>1288</v>
      </c>
      <c r="BQ303" s="57" t="s">
        <v>1288</v>
      </c>
      <c r="BR303" s="57" t="s">
        <v>1288</v>
      </c>
      <c r="BS303" s="57" t="s">
        <v>1288</v>
      </c>
      <c r="BT303" s="57" t="s">
        <v>1288</v>
      </c>
      <c r="BU303" s="57" t="s">
        <v>1288</v>
      </c>
      <c r="BV303" s="70">
        <f t="shared" si="1513"/>
        <v>17</v>
      </c>
      <c r="BW303" s="71" t="str">
        <f t="shared" si="1514"/>
        <v>-</v>
      </c>
      <c r="BX303" s="72">
        <f t="shared" si="1515"/>
        <v>53</v>
      </c>
      <c r="BY303" s="71">
        <f t="shared" si="1516"/>
        <v>84</v>
      </c>
      <c r="BZ303" s="72">
        <f t="shared" si="1517"/>
        <v>88</v>
      </c>
      <c r="CA303" s="71">
        <f t="shared" si="1518"/>
        <v>124</v>
      </c>
      <c r="CB303" s="72">
        <f t="shared" si="1519"/>
        <v>132</v>
      </c>
      <c r="CC303" s="71">
        <f t="shared" si="1520"/>
        <v>170</v>
      </c>
      <c r="CD303" s="72">
        <f t="shared" si="1521"/>
        <v>176</v>
      </c>
      <c r="CE303" s="71">
        <f t="shared" si="1522"/>
        <v>227</v>
      </c>
      <c r="CF303" s="72">
        <f t="shared" si="1523"/>
        <v>261</v>
      </c>
      <c r="CG303" s="71" t="str">
        <f t="shared" si="1524"/>
        <v>-</v>
      </c>
      <c r="CH303" s="70">
        <f t="shared" si="1525"/>
        <v>48</v>
      </c>
      <c r="CI303" s="71" t="str">
        <f t="shared" si="1526"/>
        <v>-</v>
      </c>
      <c r="CJ303" s="72">
        <f t="shared" si="1527"/>
        <v>83</v>
      </c>
      <c r="CK303" s="72">
        <f t="shared" si="1528"/>
        <v>87</v>
      </c>
      <c r="CL303" s="72">
        <f t="shared" si="1529"/>
        <v>123</v>
      </c>
      <c r="CM303" s="72">
        <f t="shared" si="1530"/>
        <v>131</v>
      </c>
      <c r="CN303" s="72">
        <f t="shared" si="1531"/>
        <v>158</v>
      </c>
      <c r="CO303" s="72">
        <f t="shared" si="1532"/>
        <v>172</v>
      </c>
      <c r="CP303" s="72">
        <f t="shared" si="1533"/>
        <v>213</v>
      </c>
      <c r="CQ303" s="72">
        <f t="shared" si="1534"/>
        <v>249</v>
      </c>
      <c r="CR303" s="72">
        <f t="shared" si="1535"/>
        <v>278</v>
      </c>
      <c r="CS303" s="72" t="str">
        <f t="shared" si="1536"/>
        <v>-</v>
      </c>
      <c r="CT303" s="23" t="e">
        <f t="shared" si="1537"/>
        <v>#VALUE!</v>
      </c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</row>
    <row r="304" spans="1:1029" x14ac:dyDescent="0.2">
      <c r="A304" s="3" t="str">
        <f t="shared" si="1452"/>
        <v>s1pr1_human__wt</v>
      </c>
      <c r="B304" s="3" t="s">
        <v>104</v>
      </c>
      <c r="C304" s="3" t="s">
        <v>100</v>
      </c>
      <c r="D304" s="3" t="str">
        <f>IFERROR(MID(VLOOKUP($B304,Seqs!$A:$B,2,0),E304,1),"")</f>
        <v>E</v>
      </c>
      <c r="E304" s="3">
        <v>42</v>
      </c>
      <c r="F304" s="3" t="str">
        <f>IFERROR(MID(VLOOKUP($B304,Seqs!$A:$B,2,0),G304,1),"")</f>
        <v>T</v>
      </c>
      <c r="G304" s="3">
        <v>73</v>
      </c>
      <c r="H304" s="3" t="str">
        <f>IFERROR(MID(VLOOKUP($B304,Seqs!$A:$B,2,0),I304,1),"")</f>
        <v>K</v>
      </c>
      <c r="I304" s="23">
        <v>74</v>
      </c>
      <c r="J304" s="3" t="str">
        <f>IFERROR(MID(VLOOKUP($B304,Seqs!$A:$B,2,0),K304,1),"")</f>
        <v>H</v>
      </c>
      <c r="K304" s="23">
        <v>77</v>
      </c>
      <c r="L304" s="3" t="str">
        <f>IFERROR(MID(VLOOKUP($B304,Seqs!$A:$B,2,0),M304,1),"")</f>
        <v>R</v>
      </c>
      <c r="M304" s="3">
        <v>78</v>
      </c>
      <c r="N304" s="3" t="str">
        <f>IFERROR(MID(VLOOKUP($B304,Seqs!$A:$B,2,0),O304,1),"")</f>
        <v>L</v>
      </c>
      <c r="O304" s="3">
        <v>104</v>
      </c>
      <c r="P304" s="3" t="str">
        <f>IFERROR(MID(VLOOKUP($B304,Seqs!$A:$B,2,0),Q304,1),"")</f>
        <v>G</v>
      </c>
      <c r="Q304" s="3">
        <v>106</v>
      </c>
      <c r="R304" s="3" t="str">
        <f>IFERROR(MID(VLOOKUP($B304,Seqs!$A:$B,2,0),S304,1),"")</f>
        <v>L</v>
      </c>
      <c r="S304" s="3">
        <v>112</v>
      </c>
      <c r="T304" s="3" t="str">
        <f>IFERROR(MID(VLOOKUP($B304,Seqs!$A:$B,2,0),U304,1),"")</f>
        <v>T</v>
      </c>
      <c r="U304" s="3">
        <v>113</v>
      </c>
      <c r="V304" s="3" t="str">
        <f>IFERROR(MID(VLOOKUP($B304,Seqs!$A:$B,2,0),W304,1),"")</f>
        <v>K</v>
      </c>
      <c r="W304" s="105">
        <v>148</v>
      </c>
      <c r="X304" s="3" t="str">
        <f>IFERROR(MID(VLOOKUP($B304,Seqs!$A:$B,2,0),Y304,1),"")</f>
        <v>M</v>
      </c>
      <c r="Y304" s="105">
        <v>149</v>
      </c>
      <c r="Z304" s="3" t="str">
        <f>IFERROR(MID(VLOOKUP($B304,Seqs!$A:$B,2,0),AA304,1),"")</f>
        <v>S</v>
      </c>
      <c r="AA304" s="105">
        <v>155</v>
      </c>
      <c r="AB304" s="3" t="str">
        <f>IFERROR(MID(VLOOKUP($B304,Seqs!$A:$B,2,0),AC304,1),"")</f>
        <v>N</v>
      </c>
      <c r="AC304" s="105">
        <v>156</v>
      </c>
      <c r="AD304" s="3" t="str">
        <f>IFERROR(MID(VLOOKUP($B304,Seqs!$A:$B,2,0),AE304,1),"")</f>
        <v>G</v>
      </c>
      <c r="AE304" s="3">
        <v>181</v>
      </c>
      <c r="AF304" s="3" t="str">
        <f>IFERROR(MID(VLOOKUP($B304,Seqs!$A:$B,2,0),AG304,1),"")</f>
        <v/>
      </c>
      <c r="AG304" s="3" t="s">
        <v>23</v>
      </c>
      <c r="AH304" s="3" t="str">
        <f>IFERROR(MID(VLOOKUP($B304,Seqs!$A:$B,2,0),AI304,1),"")</f>
        <v/>
      </c>
      <c r="AI304" s="3" t="s">
        <v>23</v>
      </c>
      <c r="AJ304" s="3" t="str">
        <f>IFERROR(MID(VLOOKUP($B304,Seqs!$A:$B,2,0),AK304,1),"")</f>
        <v>H</v>
      </c>
      <c r="AK304" s="3">
        <v>199</v>
      </c>
      <c r="AL304" s="3" t="str">
        <f>IFERROR(MID(VLOOKUP($B304,Seqs!$A:$B,2,0),AM304,1),"")</f>
        <v>T</v>
      </c>
      <c r="AM304" s="3">
        <v>236</v>
      </c>
      <c r="AN304" s="3" t="str">
        <f>IFERROR(MID(VLOOKUP($B304,Seqs!$A:$B,2,0),AO304,1),"")</f>
        <v>S</v>
      </c>
      <c r="AO304" s="3">
        <v>245</v>
      </c>
      <c r="AP304" s="3" t="str">
        <f>IFERROR(MID(VLOOKUP($B304,Seqs!$A:$B,2,0),AQ304,1),"")</f>
        <v>C</v>
      </c>
      <c r="AQ304" s="3">
        <v>282</v>
      </c>
      <c r="AR304" s="3" t="str">
        <f>IFERROR(MID(VLOOKUP($B304,Seqs!$A:$B,2,0),AS304,1),"")</f>
        <v>D</v>
      </c>
      <c r="AS304" s="3">
        <v>288</v>
      </c>
      <c r="AT304" s="3" t="str">
        <f>IFERROR(MID(VLOOKUP($B304,Seqs!$A:$B,2,0),AU304,1),"")</f>
        <v>T</v>
      </c>
      <c r="AU304" s="3">
        <v>314</v>
      </c>
      <c r="AV304" s="3" t="str">
        <f>IFERROR(MID(VLOOKUP($B304,Seqs!$A:$B,2,0),AW304,1),"")</f>
        <v>N</v>
      </c>
      <c r="AW304" s="3">
        <v>315</v>
      </c>
      <c r="AX304" s="3" t="str">
        <f>IFERROR(MID(VLOOKUP($B304,Seqs!$A:$B,2,0),AY304,1),"")</f>
        <v>S</v>
      </c>
      <c r="AY304" s="3">
        <v>327</v>
      </c>
      <c r="AZ304" s="77" t="str">
        <f>VLOOKUP(B304,Classification!A:D,2,0)</f>
        <v>A</v>
      </c>
      <c r="BA304" s="94" t="str">
        <f>VLOOKUP(B304,Classification!A:D,4,0)</f>
        <v>Lysophospholipid(S1P)</v>
      </c>
      <c r="BB304" s="27" t="b">
        <f t="shared" si="1453"/>
        <v>1</v>
      </c>
      <c r="BC304" s="23">
        <f t="shared" si="1426"/>
        <v>256</v>
      </c>
      <c r="BD304" s="56" t="s">
        <v>23</v>
      </c>
      <c r="BE304" s="3" t="s">
        <v>23</v>
      </c>
      <c r="BF304" s="119" t="s">
        <v>23</v>
      </c>
      <c r="BG304" s="49" t="s">
        <v>1373</v>
      </c>
      <c r="BH304" s="49" t="s">
        <v>1378</v>
      </c>
      <c r="BI304" s="1"/>
      <c r="BJ304" s="70" t="s">
        <v>1288</v>
      </c>
      <c r="BK304" s="57" t="s">
        <v>1288</v>
      </c>
      <c r="BL304" s="57" t="s">
        <v>1288</v>
      </c>
      <c r="BM304" s="57" t="s">
        <v>1288</v>
      </c>
      <c r="BN304" s="57" t="s">
        <v>1288</v>
      </c>
      <c r="BO304" s="57" t="s">
        <v>1288</v>
      </c>
      <c r="BP304" s="57" t="s">
        <v>1288</v>
      </c>
      <c r="BQ304" s="57" t="s">
        <v>1288</v>
      </c>
      <c r="BR304" s="57" t="s">
        <v>1288</v>
      </c>
      <c r="BS304" s="57" t="s">
        <v>1288</v>
      </c>
      <c r="BT304" s="57" t="s">
        <v>1288</v>
      </c>
      <c r="BU304" s="57" t="s">
        <v>1288</v>
      </c>
      <c r="BV304" s="70">
        <f t="shared" si="1427"/>
        <v>42</v>
      </c>
      <c r="BW304" s="71">
        <f t="shared" si="1428"/>
        <v>74</v>
      </c>
      <c r="BX304" s="72">
        <f t="shared" si="1429"/>
        <v>78</v>
      </c>
      <c r="BY304" s="71">
        <f t="shared" si="1430"/>
        <v>106</v>
      </c>
      <c r="BZ304" s="72">
        <f t="shared" si="1431"/>
        <v>113</v>
      </c>
      <c r="CA304" s="71">
        <f t="shared" si="1432"/>
        <v>149</v>
      </c>
      <c r="CB304" s="72">
        <f t="shared" si="1433"/>
        <v>156</v>
      </c>
      <c r="CC304" s="71" t="str">
        <f t="shared" si="1434"/>
        <v>-</v>
      </c>
      <c r="CD304" s="72">
        <f t="shared" si="1435"/>
        <v>199</v>
      </c>
      <c r="CE304" s="71">
        <f t="shared" si="1436"/>
        <v>245</v>
      </c>
      <c r="CF304" s="72">
        <f t="shared" si="1437"/>
        <v>288</v>
      </c>
      <c r="CG304" s="71">
        <f t="shared" si="1438"/>
        <v>315</v>
      </c>
      <c r="CH304" s="70">
        <f t="shared" si="1439"/>
        <v>73</v>
      </c>
      <c r="CI304" s="71">
        <f t="shared" si="1440"/>
        <v>77</v>
      </c>
      <c r="CJ304" s="72">
        <f t="shared" si="1441"/>
        <v>104</v>
      </c>
      <c r="CK304" s="72">
        <f t="shared" si="1442"/>
        <v>112</v>
      </c>
      <c r="CL304" s="72">
        <f t="shared" si="1443"/>
        <v>148</v>
      </c>
      <c r="CM304" s="72">
        <f t="shared" si="1444"/>
        <v>155</v>
      </c>
      <c r="CN304" s="72">
        <f t="shared" si="1445"/>
        <v>181</v>
      </c>
      <c r="CO304" s="72" t="str">
        <f t="shared" si="1446"/>
        <v>-</v>
      </c>
      <c r="CP304" s="72">
        <f t="shared" si="1447"/>
        <v>236</v>
      </c>
      <c r="CQ304" s="72">
        <f t="shared" si="1448"/>
        <v>282</v>
      </c>
      <c r="CR304" s="72">
        <f t="shared" si="1449"/>
        <v>314</v>
      </c>
      <c r="CS304" s="72">
        <f t="shared" si="1450"/>
        <v>327</v>
      </c>
      <c r="CT304" s="23">
        <f t="shared" si="1451"/>
        <v>1</v>
      </c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</row>
    <row r="305" spans="1:1030" x14ac:dyDescent="0.2">
      <c r="A305" s="3" t="str">
        <f t="shared" si="1452"/>
        <v>s1pr1_human_3V2Y</v>
      </c>
      <c r="B305" s="3" t="s">
        <v>104</v>
      </c>
      <c r="C305" s="3" t="s">
        <v>94</v>
      </c>
      <c r="D305" s="3" t="str">
        <f>IFERROR(MID(VLOOKUP($B305,Seqs!$A:$B,2,0),E305,1),"")</f>
        <v>E</v>
      </c>
      <c r="E305" s="3">
        <v>42</v>
      </c>
      <c r="F305" s="3" t="str">
        <f>IFERROR(MID(VLOOKUP($B305,Seqs!$A:$B,2,0),G305,1),"")</f>
        <v>T</v>
      </c>
      <c r="G305" s="3">
        <v>73</v>
      </c>
      <c r="H305" s="3" t="str">
        <f>IFERROR(MID(VLOOKUP($B305,Seqs!$A:$B,2,0),I305,1),"")</f>
        <v>K</v>
      </c>
      <c r="I305" s="23">
        <v>74</v>
      </c>
      <c r="J305" s="3" t="str">
        <f>IFERROR(MID(VLOOKUP($B305,Seqs!$A:$B,2,0),K305,1),"")</f>
        <v>H</v>
      </c>
      <c r="K305" s="23">
        <v>77</v>
      </c>
      <c r="L305" s="3" t="str">
        <f>IFERROR(MID(VLOOKUP($B305,Seqs!$A:$B,2,0),M305,1),"")</f>
        <v>R</v>
      </c>
      <c r="M305" s="3">
        <v>78</v>
      </c>
      <c r="N305" s="3" t="str">
        <f>IFERROR(MID(VLOOKUP($B305,Seqs!$A:$B,2,0),O305,1),"")</f>
        <v>L</v>
      </c>
      <c r="O305" s="3">
        <v>104</v>
      </c>
      <c r="P305" s="3" t="str">
        <f>IFERROR(MID(VLOOKUP($B305,Seqs!$A:$B,2,0),Q305,1),"")</f>
        <v>G</v>
      </c>
      <c r="Q305" s="3">
        <v>106</v>
      </c>
      <c r="R305" s="3" t="str">
        <f>IFERROR(MID(VLOOKUP($B305,Seqs!$A:$B,2,0),S305,1),"")</f>
        <v>L</v>
      </c>
      <c r="S305" s="3">
        <v>112</v>
      </c>
      <c r="T305" s="3" t="str">
        <f>IFERROR(MID(VLOOKUP($B305,Seqs!$A:$B,2,0),U305,1),"")</f>
        <v>T</v>
      </c>
      <c r="U305" s="3">
        <v>113</v>
      </c>
      <c r="V305" s="3" t="str">
        <f>IFERROR(MID(VLOOKUP($B305,Seqs!$A:$B,2,0),W305,1),"")</f>
        <v>T</v>
      </c>
      <c r="W305" s="105">
        <v>145</v>
      </c>
      <c r="X305" s="3" t="str">
        <f>IFERROR(MID(VLOOKUP($B305,Seqs!$A:$B,2,0),Y305,1),"")</f>
        <v/>
      </c>
      <c r="Y305" s="3" t="s">
        <v>23</v>
      </c>
      <c r="Z305" s="3" t="str">
        <f>IFERROR(MID(VLOOKUP($B305,Seqs!$A:$B,2,0),AA305,1),"")</f>
        <v/>
      </c>
      <c r="AA305" s="3" t="s">
        <v>23</v>
      </c>
      <c r="AB305" s="3" t="str">
        <f>IFERROR(MID(VLOOKUP($B305,Seqs!$A:$B,2,0),AC305,1),"")</f>
        <v>N</v>
      </c>
      <c r="AC305" s="105">
        <v>156</v>
      </c>
      <c r="AD305" s="3" t="str">
        <f>IFERROR(MID(VLOOKUP($B305,Seqs!$A:$B,2,0),AE305,1),"")</f>
        <v>G</v>
      </c>
      <c r="AE305" s="3">
        <v>181</v>
      </c>
      <c r="AF305" s="3" t="str">
        <f>IFERROR(MID(VLOOKUP($B305,Seqs!$A:$B,2,0),AG305,1),"")</f>
        <v/>
      </c>
      <c r="AG305" s="3" t="s">
        <v>23</v>
      </c>
      <c r="AH305" s="3" t="str">
        <f>IFERROR(MID(VLOOKUP($B305,Seqs!$A:$B,2,0),AI305,1),"")</f>
        <v/>
      </c>
      <c r="AI305" s="3" t="s">
        <v>23</v>
      </c>
      <c r="AJ305" s="3" t="str">
        <f>IFERROR(MID(VLOOKUP($B305,Seqs!$A:$B,2,0),AK305,1),"")</f>
        <v>H</v>
      </c>
      <c r="AK305" s="3">
        <v>199</v>
      </c>
      <c r="AL305" s="3" t="str">
        <f>IFERROR(MID(VLOOKUP($B305,Seqs!$A:$B,2,0),AM305,1),"")</f>
        <v>R</v>
      </c>
      <c r="AM305" s="3">
        <v>231</v>
      </c>
      <c r="AN305" s="3" t="str">
        <f>IFERROR(MID(VLOOKUP($B305,Seqs!$A:$B,2,0),AO305,1),"")</f>
        <v>S</v>
      </c>
      <c r="AO305" s="3">
        <v>251</v>
      </c>
      <c r="AP305" s="3" t="str">
        <f>IFERROR(MID(VLOOKUP($B305,Seqs!$A:$B,2,0),AQ305,1),"")</f>
        <v>C</v>
      </c>
      <c r="AQ305" s="3">
        <v>282</v>
      </c>
      <c r="AR305" s="3" t="str">
        <f>IFERROR(MID(VLOOKUP($B305,Seqs!$A:$B,2,0),AS305,1),"")</f>
        <v>D</v>
      </c>
      <c r="AS305" s="3">
        <v>288</v>
      </c>
      <c r="AT305" s="3" t="str">
        <f>IFERROR(MID(VLOOKUP($B305,Seqs!$A:$B,2,0),AU305,1),"")</f>
        <v>T</v>
      </c>
      <c r="AU305" s="3">
        <v>314</v>
      </c>
      <c r="AV305" s="3" t="str">
        <f>IFERROR(MID(VLOOKUP($B305,Seqs!$A:$B,2,0),AW305,1),"")</f>
        <v>N</v>
      </c>
      <c r="AW305" s="3">
        <v>315</v>
      </c>
      <c r="AX305" s="3" t="str">
        <f>IFERROR(MID(VLOOKUP($B305,Seqs!$A:$B,2,0),AY305,1),"")</f>
        <v>I</v>
      </c>
      <c r="AY305" s="3">
        <v>323</v>
      </c>
      <c r="AZ305" s="77" t="str">
        <f>VLOOKUP(B305,Classification!A:D,2,0)</f>
        <v>A</v>
      </c>
      <c r="BA305" s="94" t="str">
        <f>VLOOKUP(B305,Classification!A:D,4,0)</f>
        <v>Lysophospholipid(S1P)</v>
      </c>
      <c r="BB305" s="27" t="b">
        <f t="shared" si="1453"/>
        <v>1</v>
      </c>
      <c r="BC305" s="23">
        <f t="shared" si="1426"/>
        <v>232</v>
      </c>
      <c r="BD305" s="2" t="s">
        <v>1377</v>
      </c>
      <c r="BE305" s="3" t="s">
        <v>1375</v>
      </c>
      <c r="BF305" s="119">
        <v>2.8</v>
      </c>
      <c r="BG305" s="49" t="s">
        <v>1378</v>
      </c>
      <c r="BH305" s="49" t="s">
        <v>1378</v>
      </c>
      <c r="BI305" s="1"/>
      <c r="BJ305" s="70" t="s">
        <v>1288</v>
      </c>
      <c r="BK305" s="57" t="s">
        <v>1288</v>
      </c>
      <c r="BL305" s="57" t="s">
        <v>1288</v>
      </c>
      <c r="BM305" s="57" t="s">
        <v>1288</v>
      </c>
      <c r="BN305" s="57" t="s">
        <v>1288</v>
      </c>
      <c r="BO305" s="57" t="s">
        <v>1288</v>
      </c>
      <c r="BP305" s="57" t="s">
        <v>1288</v>
      </c>
      <c r="BQ305" s="57" t="s">
        <v>1288</v>
      </c>
      <c r="BR305" s="57" t="s">
        <v>1288</v>
      </c>
      <c r="BS305" s="57" t="s">
        <v>1288</v>
      </c>
      <c r="BT305" s="57" t="s">
        <v>1288</v>
      </c>
      <c r="BU305" s="57" t="s">
        <v>1288</v>
      </c>
      <c r="BV305" s="70">
        <f t="shared" si="1427"/>
        <v>42</v>
      </c>
      <c r="BW305" s="71">
        <f t="shared" si="1428"/>
        <v>74</v>
      </c>
      <c r="BX305" s="72">
        <f t="shared" si="1429"/>
        <v>78</v>
      </c>
      <c r="BY305" s="71">
        <f t="shared" si="1430"/>
        <v>106</v>
      </c>
      <c r="BZ305" s="72">
        <f t="shared" si="1431"/>
        <v>113</v>
      </c>
      <c r="CA305" s="71" t="str">
        <f t="shared" si="1432"/>
        <v>-</v>
      </c>
      <c r="CB305" s="72">
        <f t="shared" si="1433"/>
        <v>156</v>
      </c>
      <c r="CC305" s="71" t="str">
        <f t="shared" si="1434"/>
        <v>-</v>
      </c>
      <c r="CD305" s="72">
        <f t="shared" si="1435"/>
        <v>199</v>
      </c>
      <c r="CE305" s="71">
        <f t="shared" si="1436"/>
        <v>251</v>
      </c>
      <c r="CF305" s="72">
        <f t="shared" si="1437"/>
        <v>288</v>
      </c>
      <c r="CG305" s="71">
        <f t="shared" si="1438"/>
        <v>315</v>
      </c>
      <c r="CH305" s="70">
        <f t="shared" si="1439"/>
        <v>73</v>
      </c>
      <c r="CI305" s="71">
        <f t="shared" si="1440"/>
        <v>77</v>
      </c>
      <c r="CJ305" s="72">
        <f t="shared" si="1441"/>
        <v>104</v>
      </c>
      <c r="CK305" s="72">
        <f t="shared" si="1442"/>
        <v>112</v>
      </c>
      <c r="CL305" s="72">
        <f t="shared" si="1443"/>
        <v>145</v>
      </c>
      <c r="CM305" s="72" t="str">
        <f t="shared" si="1444"/>
        <v>-</v>
      </c>
      <c r="CN305" s="72">
        <f t="shared" si="1445"/>
        <v>181</v>
      </c>
      <c r="CO305" s="72" t="str">
        <f t="shared" si="1446"/>
        <v>-</v>
      </c>
      <c r="CP305" s="72">
        <f t="shared" si="1447"/>
        <v>231</v>
      </c>
      <c r="CQ305" s="72">
        <f t="shared" si="1448"/>
        <v>282</v>
      </c>
      <c r="CR305" s="72">
        <f t="shared" si="1449"/>
        <v>314</v>
      </c>
      <c r="CS305" s="72">
        <f t="shared" si="1450"/>
        <v>323</v>
      </c>
      <c r="CT305" s="23">
        <f t="shared" si="1451"/>
        <v>1</v>
      </c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</row>
    <row r="306" spans="1:1030" x14ac:dyDescent="0.2">
      <c r="A306" s="3" t="str">
        <f t="shared" si="1452"/>
        <v>us28_hcmva__wt</v>
      </c>
      <c r="B306" s="3" t="s">
        <v>924</v>
      </c>
      <c r="C306" s="3" t="s">
        <v>100</v>
      </c>
      <c r="D306" s="3" t="str">
        <f>IFERROR(MID(VLOOKUP($B306,Seqs!$A:$B,2,0),E306,1),"")</f>
        <v>F</v>
      </c>
      <c r="E306" s="105">
        <v>25</v>
      </c>
      <c r="F306" s="3" t="str">
        <f>IFERROR(MID(VLOOKUP($B306,Seqs!$A:$B,2,0),G306,1),"")</f>
        <v>R</v>
      </c>
      <c r="G306" s="3">
        <v>61</v>
      </c>
      <c r="H306" s="3" t="str">
        <f>IFERROR(MID(VLOOKUP($B306,Seqs!$A:$B,2,0),I306,1),"")</f>
        <v>R</v>
      </c>
      <c r="I306" s="23">
        <v>62</v>
      </c>
      <c r="J306" s="3" t="str">
        <f>IFERROR(MID(VLOOKUP($B306,Seqs!$A:$B,2,0),K306,1),"")</f>
        <v>Q</v>
      </c>
      <c r="K306" s="23">
        <v>65</v>
      </c>
      <c r="L306" s="3" t="str">
        <f>IFERROR(MID(VLOOKUP($B306,Seqs!$A:$B,2,0),M306,1),"")</f>
        <v>C</v>
      </c>
      <c r="M306" s="3">
        <v>66</v>
      </c>
      <c r="N306" s="3" t="str">
        <f>IFERROR(MID(VLOOKUP($B306,Seqs!$A:$B,2,0),O306,1),"")</f>
        <v>D</v>
      </c>
      <c r="O306" s="3">
        <v>95</v>
      </c>
      <c r="P306" s="3" t="str">
        <f>IFERROR(MID(VLOOKUP($B306,Seqs!$A:$B,2,0),Q306,1),"")</f>
        <v/>
      </c>
      <c r="Q306" s="3" t="s">
        <v>23</v>
      </c>
      <c r="R306" s="3" t="str">
        <f>IFERROR(MID(VLOOKUP($B306,Seqs!$A:$B,2,0),S306,1),"")</f>
        <v/>
      </c>
      <c r="S306" s="3" t="s">
        <v>23</v>
      </c>
      <c r="T306" s="3" t="str">
        <f>IFERROR(MID(VLOOKUP($B306,Seqs!$A:$B,2,0),U306,1),"")</f>
        <v>A</v>
      </c>
      <c r="U306" s="105">
        <v>100</v>
      </c>
      <c r="V306" s="3" t="str">
        <f>IFERROR(MID(VLOOKUP($B306,Seqs!$A:$B,2,0),W306,1),"")</f>
        <v>V</v>
      </c>
      <c r="W306" s="105">
        <v>134</v>
      </c>
      <c r="X306" s="3" t="str">
        <f>IFERROR(MID(VLOOKUP($B306,Seqs!$A:$B,2,0),Y306,1),"")</f>
        <v/>
      </c>
      <c r="Y306" s="3" t="s">
        <v>23</v>
      </c>
      <c r="Z306" s="3" t="str">
        <f>IFERROR(MID(VLOOKUP($B306,Seqs!$A:$B,2,0),AA306,1),"")</f>
        <v/>
      </c>
      <c r="AA306" s="3" t="s">
        <v>23</v>
      </c>
      <c r="AB306" s="3" t="str">
        <f>IFERROR(MID(VLOOKUP($B306,Seqs!$A:$B,2,0),AC306,1),"")</f>
        <v>P</v>
      </c>
      <c r="AC306" s="9">
        <v>140</v>
      </c>
      <c r="AD306" s="3" t="str">
        <f>IFERROR(MID(VLOOKUP($B306,Seqs!$A:$B,2,0),AE306,1),"")</f>
        <v>M</v>
      </c>
      <c r="AE306" s="105">
        <v>164</v>
      </c>
      <c r="AF306" s="3" t="str">
        <f>IFERROR(MID(VLOOKUP($B306,Seqs!$A:$B,2,0),AG306,1),"")</f>
        <v>C</v>
      </c>
      <c r="AG306" s="3">
        <v>173</v>
      </c>
      <c r="AH306" s="3" t="str">
        <f>IFERROR(MID(VLOOKUP($B306,Seqs!$A:$B,2,0),AI306,1),"")</f>
        <v>T</v>
      </c>
      <c r="AI306" s="3">
        <v>175</v>
      </c>
      <c r="AJ306" s="3" t="str">
        <f>IFERROR(MID(VLOOKUP($B306,Seqs!$A:$B,2,0),AK306,1),"")</f>
        <v>S</v>
      </c>
      <c r="AK306" s="105">
        <v>183</v>
      </c>
      <c r="AL306" s="3" t="str">
        <f>IFERROR(MID(VLOOKUP($B306,Seqs!$A:$B,2,0),AM306,1),"")</f>
        <v>S</v>
      </c>
      <c r="AM306" s="3">
        <v>218</v>
      </c>
      <c r="AN306" s="3" t="str">
        <f>IFERROR(MID(VLOOKUP($B306,Seqs!$A:$B,2,0),AO306,1),"")</f>
        <v>H</v>
      </c>
      <c r="AO306" s="3">
        <v>222</v>
      </c>
      <c r="AP306" s="3" t="str">
        <f>IFERROR(MID(VLOOKUP($B306,Seqs!$A:$B,2,0),AQ306,1),"")</f>
        <v>K</v>
      </c>
      <c r="AQ306" s="3">
        <v>257</v>
      </c>
      <c r="AR306" s="3" t="str">
        <f>IFERROR(MID(VLOOKUP($B306,Seqs!$A:$B,2,0),AS306,1),"")</f>
        <v>S</v>
      </c>
      <c r="AS306" s="3">
        <v>262</v>
      </c>
      <c r="AT306" s="3" t="str">
        <f>IFERROR(MID(VLOOKUP($B306,Seqs!$A:$B,2,0),AU306,1),"")</f>
        <v>V</v>
      </c>
      <c r="AU306" s="3">
        <v>294</v>
      </c>
      <c r="AV306" s="3" t="str">
        <f>IFERROR(MID(VLOOKUP($B306,Seqs!$A:$B,2,0),AW306,1),"")</f>
        <v>G</v>
      </c>
      <c r="AW306" s="3">
        <v>295</v>
      </c>
      <c r="AX306" s="3" t="str">
        <f>IFERROR(MID(VLOOKUP($B306,Seqs!$A:$B,2,0),AY306,1),"")</f>
        <v>R</v>
      </c>
      <c r="AY306" s="3">
        <v>310</v>
      </c>
      <c r="AZ306" s="77" t="str">
        <f>VLOOKUP(B306,Classification!A:D,2,0)</f>
        <v>A</v>
      </c>
      <c r="BA306" s="94" t="str">
        <f>VLOOKUP(B306,Classification!A:D,4,0)</f>
        <v>Chemokine</v>
      </c>
      <c r="BB306" s="27" t="b">
        <f t="shared" si="1453"/>
        <v>1</v>
      </c>
      <c r="BC306" s="23">
        <f t="shared" si="1426"/>
        <v>257</v>
      </c>
      <c r="BD306" s="56" t="s">
        <v>23</v>
      </c>
      <c r="BE306" s="3" t="s">
        <v>23</v>
      </c>
      <c r="BF306" s="119" t="s">
        <v>23</v>
      </c>
      <c r="BG306" s="49" t="s">
        <v>1373</v>
      </c>
      <c r="BH306" s="49" t="s">
        <v>1378</v>
      </c>
      <c r="BI306" s="1"/>
      <c r="BJ306" s="70" t="s">
        <v>1288</v>
      </c>
      <c r="BK306" s="57" t="s">
        <v>1288</v>
      </c>
      <c r="BL306" s="57" t="s">
        <v>1288</v>
      </c>
      <c r="BM306" s="57" t="s">
        <v>1288</v>
      </c>
      <c r="BN306" s="57" t="s">
        <v>1288</v>
      </c>
      <c r="BO306" s="57" t="s">
        <v>1288</v>
      </c>
      <c r="BP306" s="57" t="s">
        <v>1288</v>
      </c>
      <c r="BQ306" s="57" t="s">
        <v>1288</v>
      </c>
      <c r="BR306" s="57" t="s">
        <v>1288</v>
      </c>
      <c r="BS306" s="57" t="s">
        <v>1288</v>
      </c>
      <c r="BT306" s="57" t="s">
        <v>1288</v>
      </c>
      <c r="BU306" s="57" t="s">
        <v>1288</v>
      </c>
      <c r="BV306" s="70">
        <f t="shared" si="1427"/>
        <v>25</v>
      </c>
      <c r="BW306" s="71">
        <f t="shared" si="1428"/>
        <v>62</v>
      </c>
      <c r="BX306" s="72">
        <f t="shared" si="1429"/>
        <v>66</v>
      </c>
      <c r="BY306" s="71" t="str">
        <f t="shared" si="1430"/>
        <v>-</v>
      </c>
      <c r="BZ306" s="72">
        <f t="shared" si="1431"/>
        <v>100</v>
      </c>
      <c r="CA306" s="71" t="str">
        <f t="shared" si="1432"/>
        <v>-</v>
      </c>
      <c r="CB306" s="72">
        <f t="shared" si="1433"/>
        <v>140</v>
      </c>
      <c r="CC306" s="71">
        <f t="shared" si="1434"/>
        <v>173</v>
      </c>
      <c r="CD306" s="72">
        <f t="shared" si="1435"/>
        <v>183</v>
      </c>
      <c r="CE306" s="71">
        <f t="shared" si="1436"/>
        <v>222</v>
      </c>
      <c r="CF306" s="72">
        <f t="shared" si="1437"/>
        <v>262</v>
      </c>
      <c r="CG306" s="71">
        <f t="shared" si="1438"/>
        <v>295</v>
      </c>
      <c r="CH306" s="70">
        <f t="shared" si="1439"/>
        <v>61</v>
      </c>
      <c r="CI306" s="71">
        <f t="shared" si="1440"/>
        <v>65</v>
      </c>
      <c r="CJ306" s="72">
        <f t="shared" si="1441"/>
        <v>95</v>
      </c>
      <c r="CK306" s="72" t="str">
        <f t="shared" si="1442"/>
        <v>-</v>
      </c>
      <c r="CL306" s="72">
        <f t="shared" si="1443"/>
        <v>134</v>
      </c>
      <c r="CM306" s="72" t="str">
        <f t="shared" si="1444"/>
        <v>-</v>
      </c>
      <c r="CN306" s="72">
        <f t="shared" si="1445"/>
        <v>164</v>
      </c>
      <c r="CO306" s="72">
        <f t="shared" si="1446"/>
        <v>175</v>
      </c>
      <c r="CP306" s="72">
        <f t="shared" si="1447"/>
        <v>218</v>
      </c>
      <c r="CQ306" s="72">
        <f t="shared" si="1448"/>
        <v>257</v>
      </c>
      <c r="CR306" s="72">
        <f t="shared" si="1449"/>
        <v>294</v>
      </c>
      <c r="CS306" s="72">
        <f t="shared" si="1450"/>
        <v>310</v>
      </c>
      <c r="CT306" s="23">
        <f t="shared" si="1451"/>
        <v>1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</row>
    <row r="307" spans="1:1030" x14ac:dyDescent="0.2">
      <c r="A307" s="3" t="str">
        <f t="shared" si="1452"/>
        <v>us28_hcmva_4XT1</v>
      </c>
      <c r="B307" s="3" t="s">
        <v>924</v>
      </c>
      <c r="C307" s="3" t="s">
        <v>1124</v>
      </c>
      <c r="D307" s="3" t="str">
        <f>IFERROR(MID(VLOOKUP($B307,Seqs!$A:$B,2,0),E307,1),"")</f>
        <v>F</v>
      </c>
      <c r="E307" s="105">
        <v>25</v>
      </c>
      <c r="F307" s="3" t="str">
        <f>IFERROR(MID(VLOOKUP($B307,Seqs!$A:$B,2,0),G307,1),"")</f>
        <v>R</v>
      </c>
      <c r="G307" s="3">
        <v>61</v>
      </c>
      <c r="H307" s="3" t="str">
        <f>IFERROR(MID(VLOOKUP($B307,Seqs!$A:$B,2,0),I307,1),"")</f>
        <v/>
      </c>
      <c r="I307" s="23" t="s">
        <v>23</v>
      </c>
      <c r="J307" s="3" t="str">
        <f>IFERROR(MID(VLOOKUP($B307,Seqs!$A:$B,2,0),K307,1),"")</f>
        <v/>
      </c>
      <c r="K307" s="23" t="s">
        <v>23</v>
      </c>
      <c r="L307" s="3" t="str">
        <f>IFERROR(MID(VLOOKUP($B307,Seqs!$A:$B,2,0),M307,1),"")</f>
        <v>C</v>
      </c>
      <c r="M307" s="3">
        <v>66</v>
      </c>
      <c r="N307" s="3" t="str">
        <f>IFERROR(MID(VLOOKUP($B307,Seqs!$A:$B,2,0),O307,1),"")</f>
        <v>D</v>
      </c>
      <c r="O307" s="3">
        <v>95</v>
      </c>
      <c r="P307" s="3" t="str">
        <f>IFERROR(MID(VLOOKUP($B307,Seqs!$A:$B,2,0),Q307,1),"")</f>
        <v/>
      </c>
      <c r="Q307" s="3" t="s">
        <v>23</v>
      </c>
      <c r="R307" s="3" t="str">
        <f>IFERROR(MID(VLOOKUP($B307,Seqs!$A:$B,2,0),S307,1),"")</f>
        <v/>
      </c>
      <c r="S307" s="3" t="s">
        <v>23</v>
      </c>
      <c r="T307" s="3" t="str">
        <f>IFERROR(MID(VLOOKUP($B307,Seqs!$A:$B,2,0),U307,1),"")</f>
        <v>P</v>
      </c>
      <c r="U307" s="3">
        <v>103</v>
      </c>
      <c r="V307" s="3" t="str">
        <f>IFERROR(MID(VLOOKUP($B307,Seqs!$A:$B,2,0),W307,1),"")</f>
        <v>V</v>
      </c>
      <c r="W307" s="105">
        <v>134</v>
      </c>
      <c r="X307" s="3" t="str">
        <f>IFERROR(MID(VLOOKUP($B307,Seqs!$A:$B,2,0),Y307,1),"")</f>
        <v/>
      </c>
      <c r="Y307" s="3" t="s">
        <v>23</v>
      </c>
      <c r="Z307" s="3" t="str">
        <f>IFERROR(MID(VLOOKUP($B307,Seqs!$A:$B,2,0),AA307,1),"")</f>
        <v/>
      </c>
      <c r="AA307" s="3" t="s">
        <v>23</v>
      </c>
      <c r="AB307" s="3" t="str">
        <f>IFERROR(MID(VLOOKUP($B307,Seqs!$A:$B,2,0),AC307,1),"")</f>
        <v>P</v>
      </c>
      <c r="AC307" s="9">
        <v>140</v>
      </c>
      <c r="AD307" s="3" t="str">
        <f>IFERROR(MID(VLOOKUP($B307,Seqs!$A:$B,2,0),AE307,1),"")</f>
        <v>M</v>
      </c>
      <c r="AE307" s="105">
        <v>164</v>
      </c>
      <c r="AF307" s="3" t="str">
        <f>IFERROR(MID(VLOOKUP($B307,Seqs!$A:$B,2,0),AG307,1),"")</f>
        <v>C</v>
      </c>
      <c r="AG307" s="3">
        <v>173</v>
      </c>
      <c r="AH307" s="3" t="str">
        <f>IFERROR(MID(VLOOKUP($B307,Seqs!$A:$B,2,0),AI307,1),"")</f>
        <v>T</v>
      </c>
      <c r="AI307" s="3">
        <v>175</v>
      </c>
      <c r="AJ307" s="3" t="str">
        <f>IFERROR(MID(VLOOKUP($B307,Seqs!$A:$B,2,0),AK307,1),"")</f>
        <v>S</v>
      </c>
      <c r="AK307" s="105">
        <v>183</v>
      </c>
      <c r="AL307" s="3" t="str">
        <f>IFERROR(MID(VLOOKUP($B307,Seqs!$A:$B,2,0),AM307,1),"")</f>
        <v>S</v>
      </c>
      <c r="AM307" s="3">
        <v>218</v>
      </c>
      <c r="AN307" s="3" t="str">
        <f>IFERROR(MID(VLOOKUP($B307,Seqs!$A:$B,2,0),AO307,1),"")</f>
        <v>H</v>
      </c>
      <c r="AO307" s="3">
        <v>222</v>
      </c>
      <c r="AP307" s="3" t="str">
        <f>IFERROR(MID(VLOOKUP($B307,Seqs!$A:$B,2,0),AQ307,1),"")</f>
        <v>K</v>
      </c>
      <c r="AQ307" s="3">
        <v>257</v>
      </c>
      <c r="AR307" s="3" t="str">
        <f>IFERROR(MID(VLOOKUP($B307,Seqs!$A:$B,2,0),AS307,1),"")</f>
        <v>C</v>
      </c>
      <c r="AS307" s="3">
        <v>263</v>
      </c>
      <c r="AT307" s="3" t="str">
        <f>IFERROR(MID(VLOOKUP($B307,Seqs!$A:$B,2,0),AU307,1),"")</f>
        <v>V</v>
      </c>
      <c r="AU307" s="3">
        <v>294</v>
      </c>
      <c r="AV307" s="3" t="str">
        <f>IFERROR(MID(VLOOKUP($B307,Seqs!$A:$B,2,0),AW307,1),"")</f>
        <v>G</v>
      </c>
      <c r="AW307" s="3">
        <v>295</v>
      </c>
      <c r="AX307" s="3" t="str">
        <f>IFERROR(MID(VLOOKUP($B307,Seqs!$A:$B,2,0),AY307,1),"")</f>
        <v>R</v>
      </c>
      <c r="AY307" s="3">
        <v>310</v>
      </c>
      <c r="AZ307" s="77" t="str">
        <f>VLOOKUP(B307,Classification!A:D,2,0)</f>
        <v>A</v>
      </c>
      <c r="BA307" s="94" t="str">
        <f>VLOOKUP(B307,Classification!A:D,4,0)</f>
        <v>Chemokine</v>
      </c>
      <c r="BB307" s="27" t="b">
        <f t="shared" si="1453"/>
        <v>1</v>
      </c>
      <c r="BC307" s="23">
        <f t="shared" si="1426"/>
        <v>250</v>
      </c>
      <c r="BD307" s="4" t="s">
        <v>1376</v>
      </c>
      <c r="BE307" s="3" t="s">
        <v>1292</v>
      </c>
      <c r="BF307" s="119">
        <v>2.89</v>
      </c>
      <c r="BG307" s="49" t="s">
        <v>1378</v>
      </c>
      <c r="BH307" s="49" t="s">
        <v>1378</v>
      </c>
      <c r="BI307" s="1"/>
      <c r="BJ307" s="70" t="s">
        <v>1288</v>
      </c>
      <c r="BK307" s="57" t="s">
        <v>1288</v>
      </c>
      <c r="BL307" s="57" t="s">
        <v>1288</v>
      </c>
      <c r="BM307" s="57" t="s">
        <v>1288</v>
      </c>
      <c r="BN307" s="57" t="s">
        <v>1288</v>
      </c>
      <c r="BO307" s="57" t="s">
        <v>1288</v>
      </c>
      <c r="BP307" s="57" t="s">
        <v>1288</v>
      </c>
      <c r="BQ307" s="57" t="s">
        <v>1288</v>
      </c>
      <c r="BR307" s="57" t="s">
        <v>1288</v>
      </c>
      <c r="BS307" s="57" t="s">
        <v>1288</v>
      </c>
      <c r="BT307" s="57" t="s">
        <v>1288</v>
      </c>
      <c r="BU307" s="57" t="s">
        <v>1288</v>
      </c>
      <c r="BV307" s="70">
        <f t="shared" si="1427"/>
        <v>25</v>
      </c>
      <c r="BW307" s="71" t="str">
        <f t="shared" si="1428"/>
        <v>-</v>
      </c>
      <c r="BX307" s="72">
        <f t="shared" si="1429"/>
        <v>66</v>
      </c>
      <c r="BY307" s="71" t="str">
        <f t="shared" si="1430"/>
        <v>-</v>
      </c>
      <c r="BZ307" s="72">
        <f t="shared" si="1431"/>
        <v>103</v>
      </c>
      <c r="CA307" s="71" t="str">
        <f t="shared" si="1432"/>
        <v>-</v>
      </c>
      <c r="CB307" s="72">
        <f t="shared" si="1433"/>
        <v>140</v>
      </c>
      <c r="CC307" s="71">
        <f t="shared" si="1434"/>
        <v>173</v>
      </c>
      <c r="CD307" s="72">
        <f t="shared" si="1435"/>
        <v>183</v>
      </c>
      <c r="CE307" s="71">
        <f t="shared" si="1436"/>
        <v>222</v>
      </c>
      <c r="CF307" s="72">
        <f t="shared" si="1437"/>
        <v>263</v>
      </c>
      <c r="CG307" s="71">
        <f t="shared" si="1438"/>
        <v>295</v>
      </c>
      <c r="CH307" s="70">
        <f t="shared" si="1439"/>
        <v>61</v>
      </c>
      <c r="CI307" s="71" t="str">
        <f t="shared" si="1440"/>
        <v>-</v>
      </c>
      <c r="CJ307" s="72">
        <f t="shared" si="1441"/>
        <v>95</v>
      </c>
      <c r="CK307" s="72" t="str">
        <f t="shared" si="1442"/>
        <v>-</v>
      </c>
      <c r="CL307" s="72">
        <f t="shared" si="1443"/>
        <v>134</v>
      </c>
      <c r="CM307" s="72" t="str">
        <f t="shared" si="1444"/>
        <v>-</v>
      </c>
      <c r="CN307" s="72">
        <f t="shared" si="1445"/>
        <v>164</v>
      </c>
      <c r="CO307" s="72">
        <f t="shared" si="1446"/>
        <v>175</v>
      </c>
      <c r="CP307" s="72">
        <f t="shared" si="1447"/>
        <v>218</v>
      </c>
      <c r="CQ307" s="72">
        <f t="shared" si="1448"/>
        <v>257</v>
      </c>
      <c r="CR307" s="72">
        <f t="shared" si="1449"/>
        <v>294</v>
      </c>
      <c r="CS307" s="72">
        <f t="shared" si="1450"/>
        <v>310</v>
      </c>
      <c r="CT307" s="23" t="e">
        <f t="shared" si="1451"/>
        <v>#VALUE!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</row>
    <row r="308" spans="1:1030" x14ac:dyDescent="0.2">
      <c r="A308" s="3" t="str">
        <f t="shared" si="1452"/>
        <v>us28_hcmva_4XT3</v>
      </c>
      <c r="B308" s="2" t="s">
        <v>924</v>
      </c>
      <c r="C308" s="3" t="s">
        <v>1372</v>
      </c>
      <c r="D308" s="3" t="str">
        <f>IFERROR(MID(VLOOKUP($B308,Seqs!$A:$B,2,0),E308,1),"")</f>
        <v>F</v>
      </c>
      <c r="E308" s="105">
        <v>25</v>
      </c>
      <c r="F308" s="3" t="str">
        <f>IFERROR(MID(VLOOKUP($B308,Seqs!$A:$B,2,0),G308,1),"")</f>
        <v>R</v>
      </c>
      <c r="G308" s="105">
        <v>62</v>
      </c>
      <c r="H308" s="3" t="str">
        <f>IFERROR(MID(VLOOKUP($B308,Seqs!$A:$B,2,0),I308,1),"")</f>
        <v/>
      </c>
      <c r="I308" s="23" t="s">
        <v>23</v>
      </c>
      <c r="J308" s="3" t="str">
        <f>IFERROR(MID(VLOOKUP($B308,Seqs!$A:$B,2,0),K308,1),"")</f>
        <v/>
      </c>
      <c r="K308" s="23" t="s">
        <v>23</v>
      </c>
      <c r="L308" s="3" t="str">
        <f>IFERROR(MID(VLOOKUP($B308,Seqs!$A:$B,2,0),M308,1),"")</f>
        <v>C</v>
      </c>
      <c r="M308" s="3">
        <v>66</v>
      </c>
      <c r="N308" s="3" t="str">
        <f>IFERROR(MID(VLOOKUP($B308,Seqs!$A:$B,2,0),O308,1),"")</f>
        <v>D</v>
      </c>
      <c r="O308" s="3">
        <v>95</v>
      </c>
      <c r="P308" s="3" t="str">
        <f>IFERROR(MID(VLOOKUP($B308,Seqs!$A:$B,2,0),Q308,1),"")</f>
        <v/>
      </c>
      <c r="Q308" s="3" t="s">
        <v>23</v>
      </c>
      <c r="R308" s="3" t="str">
        <f>IFERROR(MID(VLOOKUP($B308,Seqs!$A:$B,2,0),S308,1),"")</f>
        <v/>
      </c>
      <c r="S308" s="3" t="s">
        <v>23</v>
      </c>
      <c r="T308" s="3" t="str">
        <f>IFERROR(MID(VLOOKUP($B308,Seqs!$A:$B,2,0),U308,1),"")</f>
        <v>P</v>
      </c>
      <c r="U308" s="3">
        <v>103</v>
      </c>
      <c r="V308" s="3" t="str">
        <f>IFERROR(MID(VLOOKUP($B308,Seqs!$A:$B,2,0),W308,1),"")</f>
        <v>V</v>
      </c>
      <c r="W308" s="105">
        <v>134</v>
      </c>
      <c r="X308" s="3" t="str">
        <f>IFERROR(MID(VLOOKUP($B308,Seqs!$A:$B,2,0),Y308,1),"")</f>
        <v/>
      </c>
      <c r="Y308" s="3" t="s">
        <v>23</v>
      </c>
      <c r="Z308" s="3" t="str">
        <f>IFERROR(MID(VLOOKUP($B308,Seqs!$A:$B,2,0),AA308,1),"")</f>
        <v/>
      </c>
      <c r="AA308" s="3" t="s">
        <v>23</v>
      </c>
      <c r="AB308" s="3" t="str">
        <f>IFERROR(MID(VLOOKUP($B308,Seqs!$A:$B,2,0),AC308,1),"")</f>
        <v>P</v>
      </c>
      <c r="AC308" s="9">
        <v>140</v>
      </c>
      <c r="AD308" s="3" t="str">
        <f>IFERROR(MID(VLOOKUP($B308,Seqs!$A:$B,2,0),AE308,1),"")</f>
        <v>M</v>
      </c>
      <c r="AE308" s="105">
        <v>164</v>
      </c>
      <c r="AF308" s="3" t="str">
        <f>IFERROR(MID(VLOOKUP($B308,Seqs!$A:$B,2,0),AG308,1),"")</f>
        <v>C</v>
      </c>
      <c r="AG308" s="3">
        <v>173</v>
      </c>
      <c r="AH308" s="3" t="str">
        <f>IFERROR(MID(VLOOKUP($B308,Seqs!$A:$B,2,0),AI308,1),"")</f>
        <v>T</v>
      </c>
      <c r="AI308" s="3">
        <v>175</v>
      </c>
      <c r="AJ308" s="3" t="str">
        <f>IFERROR(MID(VLOOKUP($B308,Seqs!$A:$B,2,0),AK308,1),"")</f>
        <v>S</v>
      </c>
      <c r="AK308" s="105">
        <v>183</v>
      </c>
      <c r="AL308" s="3" t="str">
        <f>IFERROR(MID(VLOOKUP($B308,Seqs!$A:$B,2,0),AM308,1),"")</f>
        <v>S</v>
      </c>
      <c r="AM308" s="3">
        <v>218</v>
      </c>
      <c r="AN308" s="3" t="str">
        <f>IFERROR(MID(VLOOKUP($B308,Seqs!$A:$B,2,0),AO308,1),"")</f>
        <v>H</v>
      </c>
      <c r="AO308" s="3">
        <v>222</v>
      </c>
      <c r="AP308" s="3" t="str">
        <f>IFERROR(MID(VLOOKUP($B308,Seqs!$A:$B,2,0),AQ308,1),"")</f>
        <v>K</v>
      </c>
      <c r="AQ308" s="3">
        <v>257</v>
      </c>
      <c r="AR308" s="3" t="str">
        <f>IFERROR(MID(VLOOKUP($B308,Seqs!$A:$B,2,0),AS308,1),"")</f>
        <v>C</v>
      </c>
      <c r="AS308" s="3">
        <v>263</v>
      </c>
      <c r="AT308" s="3" t="str">
        <f>IFERROR(MID(VLOOKUP($B308,Seqs!$A:$B,2,0),AU308,1),"")</f>
        <v>V</v>
      </c>
      <c r="AU308" s="3">
        <v>294</v>
      </c>
      <c r="AV308" s="3" t="str">
        <f>IFERROR(MID(VLOOKUP($B308,Seqs!$A:$B,2,0),AW308,1),"")</f>
        <v/>
      </c>
      <c r="AW308" s="3" t="s">
        <v>23</v>
      </c>
      <c r="AX308" s="3" t="str">
        <f>IFERROR(MID(VLOOKUP($B308,Seqs!$A:$B,2,0),AY308,1),"")</f>
        <v/>
      </c>
      <c r="AY308" s="3" t="s">
        <v>23</v>
      </c>
      <c r="AZ308" s="77" t="str">
        <f>VLOOKUP(B308,Classification!A:D,2,0)</f>
        <v>A</v>
      </c>
      <c r="BA308" s="94" t="str">
        <f>VLOOKUP(B308,Classification!A:D,4,0)</f>
        <v>Chemokine</v>
      </c>
      <c r="BB308" s="27" t="b">
        <f t="shared" ref="BB308:BB316" si="1706">AND(E308&lt;G308,OR(G308&lt;I308,I308="-"),OR(I308&lt;K308,I308="-"),OR(K308&lt;M308,K308="-"),M308&lt;O308,OR(O308&lt;Q308,Q308="-"),OR(Q308&lt;S308,Q308="-"),OR(S308&lt;U308,S308="-"),U308&lt;W308,OR(W308&lt;Y308,Y308="-"),OR(Y308&lt;AA308,Y308="-"),OR(AA308&lt;AC308,AA308="-"),AC308&lt;AE308,OR(AE308&lt;AG308,AG308="-"),OR(AG308&lt;AI308,AG308="-"),OR(AI308&lt;AK308,AI308="-"),AK308&lt;AM308,AM308&lt;AO308,AO308&lt;AQ308,AQ308&lt;AS308,AS308&lt;AU308,OR(AU308&lt;AW308,AW308="-"),OR(AW308&lt;AY308,AW308="-"))</f>
        <v>1</v>
      </c>
      <c r="BC308" s="23">
        <f t="shared" ref="BC308:BC316" si="1707">_xlfn.AGGREGATE(9,6,CH308:CS308)-_xlfn.AGGREGATE(9,6,BV308:CG308)+12</f>
        <v>236</v>
      </c>
      <c r="BD308" s="4" t="s">
        <v>23</v>
      </c>
      <c r="BE308" s="3" t="s">
        <v>1292</v>
      </c>
      <c r="BF308" s="119">
        <v>3.8</v>
      </c>
      <c r="BG308" s="49" t="s">
        <v>1378</v>
      </c>
      <c r="BH308" s="49" t="s">
        <v>1378</v>
      </c>
      <c r="BI308" s="1"/>
      <c r="BJ308" s="70" t="s">
        <v>1288</v>
      </c>
      <c r="BK308" s="57" t="s">
        <v>1288</v>
      </c>
      <c r="BL308" s="57" t="s">
        <v>1288</v>
      </c>
      <c r="BM308" s="57" t="s">
        <v>1288</v>
      </c>
      <c r="BN308" s="57" t="s">
        <v>1288</v>
      </c>
      <c r="BO308" s="57" t="s">
        <v>1288</v>
      </c>
      <c r="BP308" s="57" t="s">
        <v>1288</v>
      </c>
      <c r="BQ308" s="57" t="s">
        <v>1288</v>
      </c>
      <c r="BR308" s="57" t="s">
        <v>1288</v>
      </c>
      <c r="BS308" s="57" t="s">
        <v>1288</v>
      </c>
      <c r="BT308" s="57" t="s">
        <v>1288</v>
      </c>
      <c r="BU308" s="57" t="s">
        <v>1288</v>
      </c>
      <c r="BV308" s="70">
        <f t="shared" ref="BV308:BV316" si="1708">E308</f>
        <v>25</v>
      </c>
      <c r="BW308" s="71" t="str">
        <f t="shared" ref="BW308:BW316" si="1709">I308</f>
        <v>-</v>
      </c>
      <c r="BX308" s="72">
        <f t="shared" ref="BX308:BX316" si="1710">M308</f>
        <v>66</v>
      </c>
      <c r="BY308" s="71" t="str">
        <f t="shared" ref="BY308:BY316" si="1711">Q308</f>
        <v>-</v>
      </c>
      <c r="BZ308" s="72">
        <f t="shared" ref="BZ308:BZ316" si="1712">U308</f>
        <v>103</v>
      </c>
      <c r="CA308" s="71" t="str">
        <f t="shared" ref="CA308:CA316" si="1713">Y308</f>
        <v>-</v>
      </c>
      <c r="CB308" s="72">
        <f t="shared" ref="CB308:CB316" si="1714">AC308</f>
        <v>140</v>
      </c>
      <c r="CC308" s="71">
        <f t="shared" ref="CC308:CC316" si="1715">AG308</f>
        <v>173</v>
      </c>
      <c r="CD308" s="72">
        <f t="shared" ref="CD308:CD316" si="1716">AK308</f>
        <v>183</v>
      </c>
      <c r="CE308" s="71">
        <f t="shared" ref="CE308:CE316" si="1717">AO308</f>
        <v>222</v>
      </c>
      <c r="CF308" s="72">
        <f t="shared" ref="CF308:CF316" si="1718">AS308</f>
        <v>263</v>
      </c>
      <c r="CG308" s="71" t="str">
        <f t="shared" ref="CG308:CG316" si="1719">AW308</f>
        <v>-</v>
      </c>
      <c r="CH308" s="70">
        <f t="shared" ref="CH308:CH316" si="1720">G308</f>
        <v>62</v>
      </c>
      <c r="CI308" s="71" t="str">
        <f t="shared" ref="CI308:CI316" si="1721">K308</f>
        <v>-</v>
      </c>
      <c r="CJ308" s="72">
        <f t="shared" ref="CJ308:CJ316" si="1722">O308</f>
        <v>95</v>
      </c>
      <c r="CK308" s="72" t="str">
        <f t="shared" ref="CK308:CK316" si="1723">S308</f>
        <v>-</v>
      </c>
      <c r="CL308" s="72">
        <f t="shared" ref="CL308:CL316" si="1724">W308</f>
        <v>134</v>
      </c>
      <c r="CM308" s="72" t="str">
        <f t="shared" ref="CM308:CM316" si="1725">AA308</f>
        <v>-</v>
      </c>
      <c r="CN308" s="72">
        <f t="shared" ref="CN308:CN316" si="1726">AE308</f>
        <v>164</v>
      </c>
      <c r="CO308" s="72">
        <f t="shared" ref="CO308:CO316" si="1727">AI308</f>
        <v>175</v>
      </c>
      <c r="CP308" s="72">
        <f t="shared" ref="CP308:CP316" si="1728">AM308</f>
        <v>218</v>
      </c>
      <c r="CQ308" s="72">
        <f t="shared" ref="CQ308:CQ316" si="1729">AQ308</f>
        <v>257</v>
      </c>
      <c r="CR308" s="72">
        <f t="shared" ref="CR308:CR316" si="1730">AU308</f>
        <v>294</v>
      </c>
      <c r="CS308" s="72" t="str">
        <f t="shared" ref="CS308:CS316" si="1731">AY308</f>
        <v>-</v>
      </c>
      <c r="CT308" s="23" t="e">
        <f t="shared" ref="CT308:CT316" si="1732">M308-K308</f>
        <v>#VALUE!</v>
      </c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  <c r="EA308" s="6"/>
      <c r="EB308" s="6"/>
      <c r="EC308" s="6"/>
      <c r="ED308" s="6"/>
      <c r="EE308" s="6"/>
      <c r="EF308" s="6"/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  <c r="ES308" s="6"/>
      <c r="ET308" s="6"/>
      <c r="EU308" s="6"/>
      <c r="EV308" s="6"/>
      <c r="EW308" s="6"/>
      <c r="EX308" s="6"/>
      <c r="EY308" s="6"/>
      <c r="EZ308" s="6"/>
      <c r="FA308" s="6"/>
      <c r="FB308" s="6"/>
      <c r="FC308" s="6"/>
      <c r="FD308" s="6"/>
      <c r="FE308" s="6"/>
      <c r="FF308" s="6"/>
      <c r="FG308" s="6"/>
      <c r="FH308" s="6"/>
      <c r="FI308" s="6"/>
      <c r="FJ308" s="6"/>
      <c r="FK308" s="6"/>
      <c r="FL308" s="6"/>
      <c r="FM308" s="6"/>
      <c r="FN308" s="6"/>
      <c r="FO308" s="6"/>
      <c r="FP308" s="6"/>
      <c r="FQ308" s="6"/>
      <c r="FR308" s="6"/>
      <c r="FS308" s="6"/>
      <c r="FT308" s="6"/>
      <c r="FU308" s="6"/>
      <c r="FV308" s="6"/>
      <c r="FW308" s="6"/>
      <c r="FX308" s="6"/>
      <c r="FY308" s="6"/>
      <c r="FZ308" s="6"/>
      <c r="GA308" s="6"/>
      <c r="GB308" s="6"/>
      <c r="GC308" s="6"/>
      <c r="GD308" s="6"/>
      <c r="GE308" s="6"/>
      <c r="GF308" s="6"/>
      <c r="GG308" s="6"/>
      <c r="GH308" s="6"/>
      <c r="GI308" s="6"/>
      <c r="GJ308" s="6"/>
      <c r="GK308" s="6"/>
      <c r="GL308" s="6"/>
      <c r="GM308" s="6"/>
      <c r="GN308" s="6"/>
      <c r="GO308" s="6"/>
      <c r="GP308" s="6"/>
      <c r="GQ308" s="6"/>
      <c r="GR308" s="6"/>
      <c r="GS308" s="6"/>
      <c r="GT308" s="6"/>
      <c r="GU308" s="6"/>
      <c r="GV308" s="6"/>
      <c r="GW308" s="6"/>
      <c r="GX308" s="6"/>
      <c r="GY308" s="6"/>
      <c r="GZ308" s="6"/>
      <c r="HA308" s="6"/>
      <c r="HB308" s="6"/>
      <c r="HC308" s="6"/>
      <c r="HD308" s="6"/>
      <c r="HE308" s="6"/>
      <c r="HF308" s="6"/>
      <c r="HG308" s="6"/>
      <c r="HH308" s="6"/>
      <c r="HI308" s="6"/>
      <c r="HJ308" s="6"/>
      <c r="HK308" s="6"/>
      <c r="HL308" s="6"/>
      <c r="HM308" s="6"/>
      <c r="HN308" s="6"/>
      <c r="HO308" s="6"/>
      <c r="HP308" s="6"/>
      <c r="HQ308" s="6"/>
      <c r="HR308" s="6"/>
      <c r="HS308" s="6"/>
      <c r="HT308" s="6"/>
      <c r="HU308" s="6"/>
      <c r="HV308" s="6"/>
      <c r="HW308" s="6"/>
      <c r="HX308" s="6"/>
      <c r="HY308" s="6"/>
      <c r="HZ308" s="6"/>
      <c r="IA308" s="6"/>
      <c r="IB308" s="6"/>
      <c r="IC308" s="6"/>
      <c r="ID308" s="6"/>
      <c r="IE308" s="6"/>
      <c r="IF308" s="6"/>
      <c r="IG308" s="6"/>
      <c r="IH308" s="6"/>
      <c r="II308" s="6"/>
      <c r="IJ308" s="6"/>
      <c r="IK308" s="6"/>
      <c r="IL308" s="6"/>
      <c r="IM308" s="6"/>
      <c r="IN308" s="6"/>
      <c r="IO308" s="6"/>
      <c r="IP308" s="6"/>
      <c r="IQ308" s="6"/>
      <c r="IR308" s="6"/>
      <c r="IS308" s="6"/>
      <c r="IT308" s="6"/>
      <c r="IU308" s="6"/>
      <c r="IV308" s="6"/>
      <c r="IW308" s="6"/>
      <c r="IX308" s="6"/>
      <c r="IY308" s="6"/>
      <c r="IZ308" s="6"/>
      <c r="JA308" s="6"/>
      <c r="JB308" s="6"/>
      <c r="JC308" s="6"/>
      <c r="JD308" s="6"/>
      <c r="JE308" s="6"/>
      <c r="JF308" s="6"/>
      <c r="JG308" s="6"/>
      <c r="JH308" s="6"/>
      <c r="JI308" s="6"/>
      <c r="JJ308" s="6"/>
      <c r="JK308" s="6"/>
      <c r="JL308" s="6"/>
      <c r="JM308" s="6"/>
      <c r="JN308" s="6"/>
      <c r="JO308" s="6"/>
      <c r="JP308" s="6"/>
      <c r="JQ308" s="6"/>
      <c r="JR308" s="6"/>
      <c r="JS308" s="6"/>
      <c r="JT308" s="6"/>
      <c r="JU308" s="6"/>
      <c r="JV308" s="6"/>
      <c r="JW308" s="6"/>
      <c r="JX308" s="6"/>
      <c r="JY308" s="6"/>
      <c r="JZ308" s="6"/>
      <c r="KA308" s="6"/>
      <c r="KB308" s="6"/>
      <c r="KC308" s="6"/>
      <c r="KD308" s="6"/>
      <c r="KE308" s="6"/>
      <c r="KF308" s="6"/>
      <c r="KG308" s="6"/>
      <c r="KH308" s="6"/>
      <c r="KI308" s="6"/>
      <c r="KJ308" s="6"/>
      <c r="KK308" s="6"/>
      <c r="KL308" s="6"/>
      <c r="KM308" s="6"/>
      <c r="KN308" s="6"/>
      <c r="KO308" s="6"/>
      <c r="KP308" s="6"/>
      <c r="KQ308" s="6"/>
      <c r="KR308" s="6"/>
      <c r="KS308" s="6"/>
      <c r="KT308" s="6"/>
      <c r="KU308" s="6"/>
      <c r="KV308" s="6"/>
      <c r="KW308" s="6"/>
      <c r="KX308" s="6"/>
      <c r="KY308" s="6"/>
      <c r="KZ308" s="6"/>
      <c r="LA308" s="6"/>
      <c r="LB308" s="6"/>
      <c r="LC308" s="6"/>
      <c r="LD308" s="6"/>
      <c r="LE308" s="6"/>
      <c r="LF308" s="6"/>
      <c r="LG308" s="6"/>
      <c r="LH308" s="6"/>
      <c r="LI308" s="6"/>
      <c r="LJ308" s="6"/>
      <c r="LK308" s="6"/>
      <c r="LL308" s="6"/>
      <c r="LM308" s="6"/>
      <c r="LN308" s="6"/>
      <c r="LO308" s="6"/>
      <c r="LP308" s="6"/>
      <c r="LQ308" s="6"/>
      <c r="LR308" s="6"/>
      <c r="LS308" s="6"/>
      <c r="LT308" s="6"/>
      <c r="LU308" s="6"/>
      <c r="LV308" s="6"/>
      <c r="LW308" s="6"/>
      <c r="LX308" s="6"/>
      <c r="LY308" s="6"/>
      <c r="LZ308" s="6"/>
      <c r="MA308" s="6"/>
      <c r="MB308" s="6"/>
      <c r="MC308" s="6"/>
      <c r="MD308" s="6"/>
      <c r="ME308" s="6"/>
      <c r="MF308" s="6"/>
      <c r="MG308" s="6"/>
      <c r="MH308" s="6"/>
      <c r="MI308" s="6"/>
      <c r="MJ308" s="6"/>
      <c r="MK308" s="6"/>
      <c r="ML308" s="6"/>
      <c r="MM308" s="6"/>
      <c r="MN308" s="6"/>
      <c r="MO308" s="6"/>
      <c r="MP308" s="6"/>
      <c r="MQ308" s="6"/>
      <c r="MR308" s="6"/>
      <c r="MS308" s="6"/>
      <c r="MT308" s="6"/>
      <c r="MU308" s="6"/>
      <c r="MV308" s="6"/>
      <c r="MW308" s="6"/>
      <c r="MX308" s="6"/>
      <c r="MY308" s="6"/>
      <c r="MZ308" s="6"/>
      <c r="NA308" s="6"/>
      <c r="NB308" s="6"/>
      <c r="NC308" s="6"/>
      <c r="ND308" s="6"/>
      <c r="NE308" s="6"/>
      <c r="NF308" s="6"/>
      <c r="NG308" s="6"/>
      <c r="NH308" s="6"/>
      <c r="NI308" s="6"/>
      <c r="NJ308" s="6"/>
      <c r="NK308" s="6"/>
      <c r="NL308" s="6"/>
      <c r="NM308" s="6"/>
      <c r="NN308" s="6"/>
      <c r="NO308" s="6"/>
      <c r="NP308" s="6"/>
      <c r="NQ308" s="6"/>
      <c r="NR308" s="6"/>
      <c r="NS308" s="6"/>
      <c r="NT308" s="6"/>
      <c r="NU308" s="6"/>
      <c r="NV308" s="6"/>
      <c r="NW308" s="6"/>
      <c r="NX308" s="6"/>
      <c r="NY308" s="6"/>
      <c r="NZ308" s="6"/>
      <c r="OA308" s="6"/>
      <c r="OB308" s="6"/>
      <c r="OC308" s="6"/>
      <c r="OD308" s="6"/>
      <c r="OE308" s="6"/>
      <c r="OF308" s="6"/>
      <c r="OG308" s="6"/>
      <c r="OH308" s="6"/>
      <c r="OI308" s="6"/>
      <c r="OJ308" s="6"/>
      <c r="OK308" s="6"/>
      <c r="OL308" s="6"/>
      <c r="OM308" s="6"/>
      <c r="ON308" s="6"/>
      <c r="OO308" s="6"/>
      <c r="OP308" s="6"/>
      <c r="OQ308" s="6"/>
      <c r="OR308" s="6"/>
      <c r="OS308" s="6"/>
      <c r="OT308" s="6"/>
      <c r="OU308" s="6"/>
      <c r="OV308" s="6"/>
      <c r="OW308" s="6"/>
      <c r="OX308" s="6"/>
      <c r="OY308" s="6"/>
      <c r="OZ308" s="6"/>
      <c r="PA308" s="6"/>
      <c r="PB308" s="6"/>
      <c r="PC308" s="6"/>
      <c r="PD308" s="6"/>
      <c r="PE308" s="6"/>
      <c r="PF308" s="6"/>
      <c r="PG308" s="6"/>
      <c r="PH308" s="6"/>
      <c r="PI308" s="6"/>
      <c r="PJ308" s="6"/>
      <c r="PK308" s="6"/>
      <c r="PL308" s="6"/>
      <c r="PM308" s="6"/>
      <c r="PN308" s="6"/>
      <c r="PO308" s="6"/>
      <c r="PP308" s="6"/>
      <c r="PQ308" s="6"/>
      <c r="PR308" s="6"/>
      <c r="PS308" s="6"/>
      <c r="PT308" s="6"/>
      <c r="PU308" s="6"/>
      <c r="PV308" s="6"/>
      <c r="PW308" s="6"/>
      <c r="PX308" s="6"/>
      <c r="PY308" s="6"/>
      <c r="PZ308" s="6"/>
      <c r="QA308" s="6"/>
      <c r="QB308" s="6"/>
      <c r="QC308" s="6"/>
      <c r="QD308" s="6"/>
      <c r="QE308" s="6"/>
      <c r="QF308" s="6"/>
      <c r="QG308" s="6"/>
      <c r="QH308" s="6"/>
      <c r="QI308" s="6"/>
      <c r="QJ308" s="6"/>
      <c r="QK308" s="6"/>
      <c r="QL308" s="6"/>
      <c r="QM308" s="6"/>
      <c r="QN308" s="6"/>
      <c r="QO308" s="6"/>
      <c r="QP308" s="6"/>
      <c r="QQ308" s="6"/>
      <c r="QR308" s="6"/>
      <c r="QS308" s="6"/>
      <c r="QT308" s="6"/>
      <c r="QU308" s="6"/>
      <c r="QV308" s="6"/>
      <c r="QW308" s="6"/>
      <c r="QX308" s="6"/>
      <c r="QY308" s="6"/>
      <c r="QZ308" s="6"/>
      <c r="RA308" s="6"/>
      <c r="RB308" s="6"/>
      <c r="RC308" s="6"/>
      <c r="RD308" s="6"/>
      <c r="RE308" s="6"/>
      <c r="RF308" s="6"/>
      <c r="RG308" s="6"/>
      <c r="RH308" s="6"/>
      <c r="RI308" s="6"/>
      <c r="RJ308" s="6"/>
      <c r="RK308" s="6"/>
      <c r="RL308" s="6"/>
      <c r="RM308" s="6"/>
      <c r="RN308" s="6"/>
      <c r="RO308" s="6"/>
      <c r="RP308" s="6"/>
      <c r="RQ308" s="6"/>
      <c r="RR308" s="6"/>
      <c r="RS308" s="6"/>
      <c r="RT308" s="6"/>
      <c r="RU308" s="6"/>
      <c r="RV308" s="6"/>
      <c r="RW308" s="6"/>
      <c r="RX308" s="6"/>
      <c r="RY308" s="6"/>
      <c r="RZ308" s="6"/>
      <c r="SA308" s="6"/>
      <c r="SB308" s="6"/>
      <c r="SC308" s="6"/>
      <c r="SD308" s="6"/>
      <c r="SE308" s="6"/>
      <c r="SF308" s="6"/>
      <c r="SG308" s="6"/>
      <c r="SH308" s="6"/>
      <c r="SI308" s="6"/>
      <c r="SJ308" s="6"/>
      <c r="SK308" s="6"/>
      <c r="SL308" s="6"/>
      <c r="SM308" s="6"/>
      <c r="SN308" s="6"/>
      <c r="SO308" s="6"/>
      <c r="SP308" s="6"/>
      <c r="SQ308" s="6"/>
      <c r="SR308" s="6"/>
      <c r="SS308" s="6"/>
      <c r="ST308" s="6"/>
      <c r="SU308" s="6"/>
      <c r="SV308" s="6"/>
      <c r="SW308" s="6"/>
      <c r="SX308" s="6"/>
      <c r="SY308" s="6"/>
      <c r="SZ308" s="6"/>
      <c r="TA308" s="6"/>
      <c r="TB308" s="6"/>
      <c r="TC308" s="6"/>
      <c r="TD308" s="6"/>
      <c r="TE308" s="6"/>
      <c r="TF308" s="6"/>
      <c r="TG308" s="6"/>
      <c r="TH308" s="6"/>
      <c r="TI308" s="6"/>
      <c r="TJ308" s="6"/>
      <c r="TK308" s="6"/>
      <c r="TL308" s="6"/>
      <c r="TM308" s="6"/>
      <c r="TN308" s="6"/>
      <c r="TO308" s="6"/>
      <c r="TP308" s="6"/>
      <c r="TQ308" s="6"/>
      <c r="TR308" s="6"/>
      <c r="TS308" s="6"/>
      <c r="TT308" s="6"/>
      <c r="TU308" s="6"/>
      <c r="TV308" s="6"/>
      <c r="TW308" s="6"/>
      <c r="TX308" s="6"/>
      <c r="TY308" s="6"/>
      <c r="TZ308" s="6"/>
      <c r="UA308" s="6"/>
      <c r="UB308" s="6"/>
      <c r="UC308" s="6"/>
      <c r="UD308" s="6"/>
      <c r="UE308" s="6"/>
      <c r="UF308" s="6"/>
      <c r="UG308" s="6"/>
      <c r="UH308" s="6"/>
      <c r="UI308" s="6"/>
      <c r="UJ308" s="6"/>
      <c r="UK308" s="6"/>
      <c r="UL308" s="6"/>
      <c r="UM308" s="6"/>
      <c r="UN308" s="6"/>
      <c r="UO308" s="6"/>
      <c r="UP308" s="6"/>
      <c r="UQ308" s="6"/>
      <c r="UR308" s="6"/>
      <c r="US308" s="6"/>
      <c r="UT308" s="6"/>
      <c r="UU308" s="6"/>
      <c r="UV308" s="6"/>
      <c r="UW308" s="6"/>
      <c r="UX308" s="6"/>
      <c r="UY308" s="6"/>
      <c r="UZ308" s="6"/>
      <c r="VA308" s="6"/>
      <c r="VB308" s="6"/>
      <c r="VC308" s="6"/>
      <c r="VD308" s="6"/>
      <c r="VE308" s="6"/>
      <c r="VF308" s="6"/>
      <c r="VG308" s="6"/>
      <c r="VH308" s="6"/>
      <c r="VI308" s="6"/>
      <c r="VJ308" s="6"/>
      <c r="VK308" s="6"/>
      <c r="VL308" s="6"/>
      <c r="VM308" s="6"/>
      <c r="VN308" s="6"/>
      <c r="VO308" s="6"/>
      <c r="VP308" s="6"/>
      <c r="VQ308" s="6"/>
      <c r="VR308" s="6"/>
      <c r="VS308" s="6"/>
      <c r="VT308" s="6"/>
      <c r="VU308" s="6"/>
      <c r="VV308" s="6"/>
      <c r="VW308" s="6"/>
      <c r="VX308" s="6"/>
      <c r="VY308" s="6"/>
      <c r="VZ308" s="6"/>
      <c r="WA308" s="6"/>
      <c r="WB308" s="6"/>
      <c r="WC308" s="6"/>
      <c r="WD308" s="6"/>
      <c r="WE308" s="6"/>
      <c r="WF308" s="6"/>
      <c r="WG308" s="6"/>
      <c r="WH308" s="6"/>
      <c r="WI308" s="6"/>
      <c r="WJ308" s="6"/>
      <c r="WK308" s="6"/>
      <c r="WL308" s="6"/>
      <c r="WM308" s="6"/>
      <c r="WN308" s="6"/>
      <c r="WO308" s="6"/>
      <c r="WP308" s="6"/>
      <c r="WQ308" s="6"/>
      <c r="WR308" s="6"/>
      <c r="WS308" s="6"/>
      <c r="WT308" s="6"/>
      <c r="WU308" s="6"/>
      <c r="WV308" s="6"/>
      <c r="WW308" s="6"/>
      <c r="WX308" s="6"/>
      <c r="WY308" s="6"/>
      <c r="WZ308" s="6"/>
      <c r="XA308" s="6"/>
      <c r="XB308" s="6"/>
      <c r="XC308" s="6"/>
      <c r="XD308" s="6"/>
      <c r="XE308" s="6"/>
      <c r="XF308" s="6"/>
      <c r="XG308" s="6"/>
      <c r="XH308" s="6"/>
      <c r="XI308" s="6"/>
      <c r="XJ308" s="6"/>
      <c r="XK308" s="6"/>
      <c r="XL308" s="6"/>
      <c r="XM308" s="6"/>
      <c r="XN308" s="6"/>
      <c r="XO308" s="6"/>
      <c r="XP308" s="6"/>
      <c r="XQ308" s="6"/>
      <c r="XR308" s="6"/>
      <c r="XS308" s="6"/>
      <c r="XT308" s="6"/>
      <c r="XU308" s="6"/>
      <c r="XV308" s="6"/>
      <c r="XW308" s="6"/>
      <c r="XX308" s="6"/>
      <c r="XY308" s="6"/>
      <c r="XZ308" s="6"/>
      <c r="YA308" s="6"/>
      <c r="YB308" s="6"/>
      <c r="YC308" s="6"/>
      <c r="YD308" s="6"/>
      <c r="YE308" s="6"/>
      <c r="YF308" s="6"/>
      <c r="YG308" s="6"/>
      <c r="YH308" s="6"/>
      <c r="YI308" s="6"/>
      <c r="YJ308" s="6"/>
      <c r="YK308" s="6"/>
      <c r="YL308" s="6"/>
      <c r="YM308" s="6"/>
      <c r="YN308" s="6"/>
      <c r="YO308" s="6"/>
      <c r="YP308" s="6"/>
      <c r="YQ308" s="6"/>
      <c r="YR308" s="6"/>
      <c r="YS308" s="6"/>
      <c r="YT308" s="6"/>
      <c r="YU308" s="6"/>
      <c r="YV308" s="6"/>
      <c r="YW308" s="6"/>
      <c r="YX308" s="6"/>
      <c r="YY308" s="6"/>
      <c r="YZ308" s="6"/>
      <c r="ZA308" s="6"/>
      <c r="ZB308" s="6"/>
      <c r="ZC308" s="6"/>
      <c r="ZD308" s="6"/>
      <c r="ZE308" s="6"/>
      <c r="ZF308" s="6"/>
      <c r="ZG308" s="6"/>
      <c r="ZH308" s="6"/>
      <c r="ZI308" s="6"/>
      <c r="ZJ308" s="6"/>
      <c r="ZK308" s="6"/>
      <c r="ZL308" s="6"/>
      <c r="ZM308" s="6"/>
      <c r="ZN308" s="6"/>
      <c r="ZO308" s="6"/>
      <c r="ZP308" s="6"/>
      <c r="ZQ308" s="6"/>
      <c r="ZR308" s="6"/>
      <c r="ZS308" s="6"/>
      <c r="ZT308" s="6"/>
      <c r="ZU308" s="6"/>
      <c r="ZV308" s="6"/>
      <c r="ZW308" s="6"/>
      <c r="ZX308" s="6"/>
      <c r="ZY308" s="6"/>
      <c r="ZZ308" s="6"/>
      <c r="AAA308" s="6"/>
      <c r="AAB308" s="6"/>
      <c r="AAC308" s="6"/>
      <c r="AAD308" s="6"/>
      <c r="AAE308" s="6"/>
      <c r="AAF308" s="6"/>
      <c r="AAG308" s="6"/>
      <c r="AAH308" s="6"/>
      <c r="AAI308" s="6"/>
      <c r="AAJ308" s="6"/>
      <c r="AAK308" s="6"/>
      <c r="AAL308" s="6"/>
      <c r="AAM308" s="6"/>
      <c r="AAN308" s="6"/>
      <c r="AAO308" s="6"/>
      <c r="AAP308" s="6"/>
      <c r="AAQ308" s="6"/>
      <c r="AAR308" s="6"/>
      <c r="AAS308" s="6"/>
      <c r="AAT308" s="6"/>
      <c r="AAU308" s="6"/>
      <c r="AAV308" s="6"/>
      <c r="AAW308" s="6"/>
      <c r="AAX308" s="6"/>
      <c r="AAY308" s="6"/>
      <c r="AAZ308" s="6"/>
      <c r="ABA308" s="6"/>
      <c r="ABB308" s="6"/>
      <c r="ABC308" s="6"/>
      <c r="ABD308" s="6"/>
      <c r="ABE308" s="6"/>
      <c r="ABF308" s="6"/>
      <c r="ABG308" s="6"/>
      <c r="ABH308" s="6"/>
      <c r="ABI308" s="6"/>
      <c r="ABJ308" s="6"/>
      <c r="ABK308" s="6"/>
      <c r="ABL308" s="6"/>
      <c r="ABM308" s="6"/>
      <c r="ABN308" s="6"/>
      <c r="ABO308" s="6"/>
      <c r="ABP308" s="6"/>
      <c r="ABQ308" s="6"/>
      <c r="ABR308" s="6"/>
      <c r="ABS308" s="6"/>
      <c r="ABT308" s="6"/>
      <c r="ABU308" s="6"/>
      <c r="ABV308" s="6"/>
      <c r="ABW308" s="6"/>
      <c r="ABX308" s="6"/>
      <c r="ABY308" s="6"/>
      <c r="ABZ308" s="6"/>
      <c r="ACA308" s="6"/>
      <c r="ACB308" s="6"/>
      <c r="ACC308" s="6"/>
      <c r="ACD308" s="6"/>
      <c r="ACE308" s="6"/>
      <c r="ACF308" s="6"/>
      <c r="ACG308" s="6"/>
      <c r="ACH308" s="6"/>
      <c r="ACI308" s="6"/>
      <c r="ACJ308" s="6"/>
      <c r="ACK308" s="6"/>
      <c r="ACL308" s="6"/>
      <c r="ACM308" s="6"/>
      <c r="ACN308" s="6"/>
      <c r="ACO308" s="6"/>
      <c r="ACP308" s="6"/>
      <c r="ACQ308" s="6"/>
      <c r="ACR308" s="6"/>
      <c r="ACS308" s="6"/>
      <c r="ACT308" s="6"/>
      <c r="ACU308" s="6"/>
      <c r="ACV308" s="6"/>
      <c r="ACW308" s="6"/>
      <c r="ACX308" s="6"/>
      <c r="ACY308" s="6"/>
      <c r="ACZ308" s="6"/>
      <c r="ADA308" s="6"/>
      <c r="ADB308" s="6"/>
      <c r="ADC308" s="6"/>
      <c r="ADD308" s="6"/>
      <c r="ADE308" s="6"/>
      <c r="ADF308" s="6"/>
      <c r="ADG308" s="6"/>
      <c r="ADH308" s="6"/>
      <c r="ADI308" s="6"/>
      <c r="ADJ308" s="6"/>
      <c r="ADK308" s="6"/>
      <c r="ADL308" s="6"/>
      <c r="ADM308" s="6"/>
      <c r="ADN308" s="6"/>
      <c r="ADO308" s="6"/>
      <c r="ADP308" s="6"/>
      <c r="ADQ308" s="6"/>
      <c r="ADR308" s="6"/>
      <c r="ADS308" s="6"/>
      <c r="ADT308" s="6"/>
      <c r="ADU308" s="6"/>
      <c r="ADV308" s="6"/>
      <c r="ADW308" s="6"/>
      <c r="ADX308" s="6"/>
      <c r="ADY308" s="6"/>
      <c r="ADZ308" s="6"/>
      <c r="AEA308" s="6"/>
      <c r="AEB308" s="6"/>
      <c r="AEC308" s="6"/>
      <c r="AED308" s="6"/>
      <c r="AEE308" s="6"/>
      <c r="AEF308" s="6"/>
      <c r="AEG308" s="6"/>
      <c r="AEH308" s="6"/>
      <c r="AEI308" s="6"/>
      <c r="AEJ308" s="6"/>
      <c r="AEK308" s="6"/>
      <c r="AEL308" s="6"/>
      <c r="AEM308" s="6"/>
      <c r="AEN308" s="6"/>
      <c r="AEO308" s="6"/>
      <c r="AEP308" s="6"/>
      <c r="AEQ308" s="6"/>
      <c r="AER308" s="6"/>
      <c r="AES308" s="6"/>
      <c r="AET308" s="6"/>
      <c r="AEU308" s="6"/>
      <c r="AEV308" s="6"/>
      <c r="AEW308" s="6"/>
      <c r="AEX308" s="6"/>
      <c r="AEY308" s="6"/>
      <c r="AEZ308" s="6"/>
      <c r="AFA308" s="6"/>
      <c r="AFB308" s="6"/>
      <c r="AFC308" s="6"/>
      <c r="AFD308" s="6"/>
      <c r="AFE308" s="6"/>
      <c r="AFF308" s="6"/>
      <c r="AFG308" s="6"/>
      <c r="AFH308" s="6"/>
      <c r="AFI308" s="6"/>
      <c r="AFJ308" s="6"/>
      <c r="AFK308" s="6"/>
      <c r="AFL308" s="6"/>
      <c r="AFM308" s="6"/>
      <c r="AFN308" s="6"/>
      <c r="AFO308" s="6"/>
      <c r="AFP308" s="6"/>
      <c r="AFQ308" s="6"/>
      <c r="AFR308" s="6"/>
      <c r="AFS308" s="6"/>
      <c r="AFT308" s="6"/>
      <c r="AFU308" s="6"/>
      <c r="AFV308" s="6"/>
      <c r="AFW308" s="6"/>
      <c r="AFX308" s="6"/>
      <c r="AFY308" s="6"/>
      <c r="AFZ308" s="6"/>
      <c r="AGA308" s="6"/>
      <c r="AGB308" s="6"/>
      <c r="AGC308" s="6"/>
      <c r="AGD308" s="6"/>
      <c r="AGE308" s="6"/>
      <c r="AGF308" s="6"/>
      <c r="AGG308" s="6"/>
      <c r="AGH308" s="6"/>
      <c r="AGI308" s="6"/>
      <c r="AGJ308" s="6"/>
      <c r="AGK308" s="6"/>
      <c r="AGL308" s="6"/>
      <c r="AGM308" s="6"/>
      <c r="AGN308" s="6"/>
      <c r="AGO308" s="6"/>
      <c r="AGP308" s="6"/>
      <c r="AGQ308" s="6"/>
      <c r="AGR308" s="6"/>
      <c r="AGS308" s="6"/>
      <c r="AGT308" s="6"/>
      <c r="AGU308" s="6"/>
      <c r="AGV308" s="6"/>
      <c r="AGW308" s="6"/>
      <c r="AGX308" s="6"/>
      <c r="AGY308" s="6"/>
      <c r="AGZ308" s="6"/>
      <c r="AHA308" s="6"/>
      <c r="AHB308" s="6"/>
      <c r="AHC308" s="6"/>
      <c r="AHD308" s="6"/>
      <c r="AHE308" s="6"/>
      <c r="AHF308" s="6"/>
      <c r="AHG308" s="6"/>
      <c r="AHH308" s="6"/>
      <c r="AHI308" s="6"/>
      <c r="AHJ308" s="6"/>
      <c r="AHK308" s="6"/>
      <c r="AHL308" s="6"/>
      <c r="AHM308" s="6"/>
      <c r="AHN308" s="6"/>
      <c r="AHO308" s="6"/>
      <c r="AHP308" s="6"/>
      <c r="AHQ308" s="6"/>
      <c r="AHR308" s="6"/>
      <c r="AHS308" s="6"/>
      <c r="AHT308" s="6"/>
      <c r="AHU308" s="6"/>
      <c r="AHV308" s="6"/>
      <c r="AHW308" s="6"/>
      <c r="AHX308" s="6"/>
      <c r="AHY308" s="6"/>
      <c r="AHZ308" s="6"/>
      <c r="AIA308" s="6"/>
      <c r="AIB308" s="6"/>
      <c r="AIC308" s="6"/>
      <c r="AID308" s="6"/>
      <c r="AIE308" s="6"/>
      <c r="AIF308" s="6"/>
      <c r="AIG308" s="6"/>
      <c r="AIH308" s="6"/>
      <c r="AII308" s="6"/>
      <c r="AIJ308" s="6"/>
      <c r="AIK308" s="6"/>
      <c r="AIL308" s="6"/>
      <c r="AIM308" s="6"/>
      <c r="AIN308" s="6"/>
      <c r="AIO308" s="6"/>
      <c r="AIP308" s="6"/>
      <c r="AIQ308" s="6"/>
      <c r="AIR308" s="6"/>
      <c r="AIS308" s="6"/>
      <c r="AIT308" s="6"/>
      <c r="AIU308" s="6"/>
      <c r="AIV308" s="6"/>
      <c r="AIW308" s="6"/>
      <c r="AIX308" s="6"/>
      <c r="AIY308" s="6"/>
      <c r="AIZ308" s="6"/>
      <c r="AJA308" s="6"/>
      <c r="AJB308" s="6"/>
      <c r="AJC308" s="6"/>
      <c r="AJD308" s="6"/>
      <c r="AJE308" s="6"/>
      <c r="AJF308" s="6"/>
      <c r="AJG308" s="6"/>
      <c r="AJH308" s="6"/>
      <c r="AJI308" s="6"/>
      <c r="AJJ308" s="6"/>
      <c r="AJK308" s="6"/>
      <c r="AJL308" s="6"/>
      <c r="AJM308" s="6"/>
      <c r="AJN308" s="6"/>
      <c r="AJO308" s="6"/>
      <c r="AJP308" s="6"/>
      <c r="AJQ308" s="6"/>
      <c r="AJR308" s="6"/>
      <c r="AJS308" s="6"/>
      <c r="AJT308" s="6"/>
      <c r="AJU308" s="6"/>
      <c r="AJV308" s="6"/>
      <c r="AJW308" s="6"/>
      <c r="AJX308" s="6"/>
      <c r="AJY308" s="6"/>
      <c r="AJZ308" s="6"/>
      <c r="AKA308" s="6"/>
      <c r="AKB308" s="6"/>
      <c r="AKC308" s="6"/>
      <c r="AKD308" s="6"/>
      <c r="AKE308" s="6"/>
      <c r="AKF308" s="6"/>
      <c r="AKG308" s="6"/>
      <c r="AKH308" s="6"/>
      <c r="AKI308" s="6"/>
      <c r="AKJ308" s="6"/>
      <c r="AKK308" s="6"/>
      <c r="AKL308" s="6"/>
      <c r="AKM308" s="6"/>
      <c r="AKN308" s="6"/>
      <c r="AKO308" s="6"/>
      <c r="AKP308" s="6"/>
      <c r="AKQ308" s="6"/>
      <c r="AKR308" s="6"/>
      <c r="AKS308" s="6"/>
      <c r="AKT308" s="6"/>
      <c r="AKU308" s="6"/>
      <c r="AKV308" s="6"/>
      <c r="AKW308" s="6"/>
      <c r="AKX308" s="6"/>
      <c r="AKY308" s="6"/>
      <c r="AKZ308" s="6"/>
      <c r="ALA308" s="6"/>
      <c r="ALB308" s="6"/>
      <c r="ALC308" s="6"/>
      <c r="ALD308" s="6"/>
      <c r="ALE308" s="6"/>
      <c r="ALF308" s="6"/>
      <c r="ALG308" s="6"/>
      <c r="ALH308" s="6"/>
      <c r="ALI308" s="6"/>
      <c r="ALJ308" s="6"/>
      <c r="ALK308" s="6"/>
      <c r="ALL308" s="6"/>
      <c r="ALM308" s="6"/>
      <c r="ALN308" s="6"/>
      <c r="ALO308" s="6"/>
      <c r="ALP308" s="6"/>
      <c r="ALQ308" s="6"/>
      <c r="ALR308" s="6"/>
      <c r="ALS308" s="6"/>
      <c r="ALT308" s="6"/>
      <c r="ALU308" s="6"/>
      <c r="ALV308" s="6"/>
      <c r="ALW308" s="6"/>
      <c r="ALX308" s="6"/>
      <c r="ALY308" s="6"/>
      <c r="ALZ308" s="6"/>
      <c r="AMA308" s="6"/>
      <c r="AMB308" s="6"/>
      <c r="AMC308" s="6"/>
      <c r="AMD308" s="6"/>
      <c r="AME308" s="6"/>
      <c r="AMF308" s="6"/>
      <c r="AMG308" s="6"/>
      <c r="AMH308" s="6"/>
      <c r="AMI308" s="6"/>
      <c r="AMJ308" s="6"/>
      <c r="AMK308" s="6"/>
      <c r="AML308" s="6"/>
      <c r="AMM308" s="6"/>
      <c r="AMN308" s="6"/>
      <c r="AMO308" s="6"/>
      <c r="AMP308" s="6"/>
    </row>
    <row r="309" spans="1:1030" x14ac:dyDescent="0.2">
      <c r="A309" s="9" t="str">
        <f t="shared" ref="A309:A319" si="1733">CONCATENATE(B309,"_",C309)</f>
        <v>q80km9_hcmv__wt</v>
      </c>
      <c r="B309" s="40" t="s">
        <v>1508</v>
      </c>
      <c r="C309" s="9" t="s">
        <v>100</v>
      </c>
      <c r="D309" s="9" t="str">
        <f>IFERROR(MID(VLOOKUP($B309,Seqs!$A:$B,2,0),E309,1),"")</f>
        <v>F</v>
      </c>
      <c r="E309" s="9">
        <v>25</v>
      </c>
      <c r="F309" s="9" t="str">
        <f>IFERROR(MID(VLOOKUP($B309,Seqs!$A:$B,2,0),G309,1),"")</f>
        <v>R</v>
      </c>
      <c r="G309" s="9">
        <v>61</v>
      </c>
      <c r="H309" s="9" t="str">
        <f>IFERROR(MID(VLOOKUP($B309,Seqs!$A:$B,2,0),I309,1),"")</f>
        <v>R</v>
      </c>
      <c r="I309" s="109">
        <v>62</v>
      </c>
      <c r="J309" s="9" t="str">
        <f>IFERROR(MID(VLOOKUP($B309,Seqs!$A:$B,2,0),K309,1),"")</f>
        <v>Q</v>
      </c>
      <c r="K309" s="109">
        <v>65</v>
      </c>
      <c r="L309" s="9" t="str">
        <f>IFERROR(MID(VLOOKUP($B309,Seqs!$A:$B,2,0),M309,1),"")</f>
        <v>C</v>
      </c>
      <c r="M309" s="9">
        <v>66</v>
      </c>
      <c r="N309" s="9" t="str">
        <f>IFERROR(MID(VLOOKUP($B309,Seqs!$A:$B,2,0),O309,1),"")</f>
        <v>D</v>
      </c>
      <c r="O309" s="9">
        <v>95</v>
      </c>
      <c r="P309" s="9" t="str">
        <f>IFERROR(MID(VLOOKUP($B309,Seqs!$A:$B,2,0),Q309,1),"")</f>
        <v/>
      </c>
      <c r="Q309" s="9" t="s">
        <v>23</v>
      </c>
      <c r="R309" s="9" t="str">
        <f>IFERROR(MID(VLOOKUP($B309,Seqs!$A:$B,2,0),S309,1),"")</f>
        <v/>
      </c>
      <c r="S309" s="9" t="s">
        <v>23</v>
      </c>
      <c r="T309" s="9" t="str">
        <f>IFERROR(MID(VLOOKUP($B309,Seqs!$A:$B,2,0),U309,1),"")</f>
        <v>A</v>
      </c>
      <c r="U309" s="9">
        <v>100</v>
      </c>
      <c r="V309" s="9" t="str">
        <f>IFERROR(MID(VLOOKUP($B309,Seqs!$A:$B,2,0),W309,1),"")</f>
        <v>V</v>
      </c>
      <c r="W309" s="9">
        <v>134</v>
      </c>
      <c r="X309" s="9" t="str">
        <f>IFERROR(MID(VLOOKUP($B309,Seqs!$A:$B,2,0),Y309,1),"")</f>
        <v/>
      </c>
      <c r="Y309" s="9" t="s">
        <v>23</v>
      </c>
      <c r="Z309" s="9" t="str">
        <f>IFERROR(MID(VLOOKUP($B309,Seqs!$A:$B,2,0),AA309,1),"")</f>
        <v/>
      </c>
      <c r="AA309" s="9" t="s">
        <v>23</v>
      </c>
      <c r="AB309" s="9" t="str">
        <f>IFERROR(MID(VLOOKUP($B309,Seqs!$A:$B,2,0),AC309,1),"")</f>
        <v>P</v>
      </c>
      <c r="AC309" s="9">
        <v>140</v>
      </c>
      <c r="AD309" s="9" t="str">
        <f>IFERROR(MID(VLOOKUP($B309,Seqs!$A:$B,2,0),AE309,1),"")</f>
        <v>M</v>
      </c>
      <c r="AE309" s="9">
        <v>164</v>
      </c>
      <c r="AF309" s="9" t="str">
        <f>IFERROR(MID(VLOOKUP($B309,Seqs!$A:$B,2,0),AG309,1),"")</f>
        <v>C</v>
      </c>
      <c r="AG309" s="9">
        <v>173</v>
      </c>
      <c r="AH309" s="9" t="str">
        <f>IFERROR(MID(VLOOKUP($B309,Seqs!$A:$B,2,0),AI309,1),"")</f>
        <v>T</v>
      </c>
      <c r="AI309" s="9">
        <v>175</v>
      </c>
      <c r="AJ309" s="9" t="str">
        <f>IFERROR(MID(VLOOKUP($B309,Seqs!$A:$B,2,0),AK309,1),"")</f>
        <v>S</v>
      </c>
      <c r="AK309" s="9">
        <v>183</v>
      </c>
      <c r="AL309" s="9" t="str">
        <f>IFERROR(MID(VLOOKUP($B309,Seqs!$A:$B,2,0),AM309,1),"")</f>
        <v>S</v>
      </c>
      <c r="AM309" s="9">
        <v>218</v>
      </c>
      <c r="AN309" s="9" t="str">
        <f>IFERROR(MID(VLOOKUP($B309,Seqs!$A:$B,2,0),AO309,1),"")</f>
        <v>H</v>
      </c>
      <c r="AO309" s="9">
        <v>222</v>
      </c>
      <c r="AP309" s="9" t="str">
        <f>IFERROR(MID(VLOOKUP($B309,Seqs!$A:$B,2,0),AQ309,1),"")</f>
        <v>K</v>
      </c>
      <c r="AQ309" s="9">
        <v>257</v>
      </c>
      <c r="AR309" s="9" t="str">
        <f>IFERROR(MID(VLOOKUP($B309,Seqs!$A:$B,2,0),AS309,1),"")</f>
        <v>S</v>
      </c>
      <c r="AS309" s="9">
        <v>262</v>
      </c>
      <c r="AT309" s="9" t="str">
        <f>IFERROR(MID(VLOOKUP($B309,Seqs!$A:$B,2,0),AU309,1),"")</f>
        <v>V</v>
      </c>
      <c r="AU309" s="9">
        <v>294</v>
      </c>
      <c r="AV309" s="9" t="str">
        <f>IFERROR(MID(VLOOKUP($B309,Seqs!$A:$B,2,0),AW309,1),"")</f>
        <v>G</v>
      </c>
      <c r="AW309" s="9">
        <v>295</v>
      </c>
      <c r="AX309" s="9" t="str">
        <f>IFERROR(MID(VLOOKUP($B309,Seqs!$A:$B,2,0),AY309,1),"")</f>
        <v>R</v>
      </c>
      <c r="AY309" s="9">
        <v>310</v>
      </c>
      <c r="AZ309" s="110" t="str">
        <f>VLOOKUP(B309,Classification!A:D,2,0)</f>
        <v>A</v>
      </c>
      <c r="BA309" s="98" t="str">
        <f>VLOOKUP(B309,Classification!A:D,4,0)</f>
        <v>Chemokine</v>
      </c>
      <c r="BB309" s="36" t="b">
        <f t="shared" si="1706"/>
        <v>1</v>
      </c>
      <c r="BC309" s="109">
        <f t="shared" si="1707"/>
        <v>257</v>
      </c>
      <c r="BD309" s="11" t="s">
        <v>23</v>
      </c>
      <c r="BE309" s="9" t="s">
        <v>23</v>
      </c>
      <c r="BF309" s="120" t="s">
        <v>23</v>
      </c>
      <c r="BG309" s="51" t="s">
        <v>1378</v>
      </c>
      <c r="BH309" s="51" t="s">
        <v>1378</v>
      </c>
      <c r="BI309" s="12"/>
      <c r="BJ309" s="111" t="s">
        <v>1288</v>
      </c>
      <c r="BK309" s="112" t="s">
        <v>1288</v>
      </c>
      <c r="BL309" s="112" t="s">
        <v>1288</v>
      </c>
      <c r="BM309" s="112" t="s">
        <v>1288</v>
      </c>
      <c r="BN309" s="112" t="s">
        <v>1288</v>
      </c>
      <c r="BO309" s="112" t="s">
        <v>1288</v>
      </c>
      <c r="BP309" s="112" t="s">
        <v>1288</v>
      </c>
      <c r="BQ309" s="112" t="s">
        <v>1288</v>
      </c>
      <c r="BR309" s="112" t="s">
        <v>1288</v>
      </c>
      <c r="BS309" s="112" t="s">
        <v>1288</v>
      </c>
      <c r="BT309" s="112" t="s">
        <v>1288</v>
      </c>
      <c r="BU309" s="112" t="s">
        <v>1288</v>
      </c>
      <c r="BV309" s="111">
        <f t="shared" si="1708"/>
        <v>25</v>
      </c>
      <c r="BW309" s="113">
        <f t="shared" si="1709"/>
        <v>62</v>
      </c>
      <c r="BX309" s="114">
        <f t="shared" si="1710"/>
        <v>66</v>
      </c>
      <c r="BY309" s="113" t="str">
        <f t="shared" si="1711"/>
        <v>-</v>
      </c>
      <c r="BZ309" s="114">
        <f t="shared" si="1712"/>
        <v>100</v>
      </c>
      <c r="CA309" s="113" t="str">
        <f t="shared" si="1713"/>
        <v>-</v>
      </c>
      <c r="CB309" s="114">
        <f t="shared" si="1714"/>
        <v>140</v>
      </c>
      <c r="CC309" s="113">
        <f t="shared" si="1715"/>
        <v>173</v>
      </c>
      <c r="CD309" s="114">
        <f t="shared" si="1716"/>
        <v>183</v>
      </c>
      <c r="CE309" s="113">
        <f t="shared" si="1717"/>
        <v>222</v>
      </c>
      <c r="CF309" s="114">
        <f t="shared" si="1718"/>
        <v>262</v>
      </c>
      <c r="CG309" s="113">
        <f t="shared" si="1719"/>
        <v>295</v>
      </c>
      <c r="CH309" s="111">
        <f t="shared" si="1720"/>
        <v>61</v>
      </c>
      <c r="CI309" s="113">
        <f t="shared" si="1721"/>
        <v>65</v>
      </c>
      <c r="CJ309" s="114">
        <f t="shared" si="1722"/>
        <v>95</v>
      </c>
      <c r="CK309" s="114" t="str">
        <f t="shared" si="1723"/>
        <v>-</v>
      </c>
      <c r="CL309" s="114">
        <f t="shared" si="1724"/>
        <v>134</v>
      </c>
      <c r="CM309" s="114" t="str">
        <f t="shared" si="1725"/>
        <v>-</v>
      </c>
      <c r="CN309" s="114">
        <f t="shared" si="1726"/>
        <v>164</v>
      </c>
      <c r="CO309" s="114">
        <f t="shared" si="1727"/>
        <v>175</v>
      </c>
      <c r="CP309" s="114">
        <f t="shared" si="1728"/>
        <v>218</v>
      </c>
      <c r="CQ309" s="114">
        <f t="shared" si="1729"/>
        <v>257</v>
      </c>
      <c r="CR309" s="114">
        <f t="shared" si="1730"/>
        <v>294</v>
      </c>
      <c r="CS309" s="114">
        <f t="shared" si="1731"/>
        <v>310</v>
      </c>
      <c r="CT309" s="109">
        <f t="shared" si="1732"/>
        <v>1</v>
      </c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  <c r="EA309" s="6"/>
      <c r="EB309" s="6"/>
      <c r="EC309" s="6"/>
      <c r="ED309" s="6"/>
      <c r="EE309" s="6"/>
      <c r="EF309" s="6"/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/>
      <c r="EV309" s="6"/>
      <c r="EW309" s="6"/>
      <c r="EX309" s="6"/>
      <c r="EY309" s="6"/>
      <c r="EZ309" s="6"/>
      <c r="FA309" s="6"/>
      <c r="FB309" s="6"/>
      <c r="FC309" s="6"/>
      <c r="FD309" s="6"/>
      <c r="FE309" s="6"/>
      <c r="FF309" s="6"/>
      <c r="FG309" s="6"/>
      <c r="FH309" s="6"/>
      <c r="FI309" s="6"/>
      <c r="FJ309" s="6"/>
      <c r="FK309" s="6"/>
      <c r="FL309" s="6"/>
      <c r="FM309" s="6"/>
      <c r="FN309" s="6"/>
      <c r="FO309" s="6"/>
      <c r="FP309" s="6"/>
      <c r="FQ309" s="6"/>
      <c r="FR309" s="6"/>
      <c r="FS309" s="6"/>
      <c r="FT309" s="6"/>
      <c r="FU309" s="6"/>
      <c r="FV309" s="6"/>
      <c r="FW309" s="6"/>
      <c r="FX309" s="6"/>
      <c r="FY309" s="6"/>
      <c r="FZ309" s="6"/>
      <c r="GA309" s="6"/>
      <c r="GB309" s="6"/>
      <c r="GC309" s="6"/>
      <c r="GD309" s="6"/>
      <c r="GE309" s="6"/>
      <c r="GF309" s="6"/>
      <c r="GG309" s="6"/>
      <c r="GH309" s="6"/>
      <c r="GI309" s="6"/>
      <c r="GJ309" s="6"/>
      <c r="GK309" s="6"/>
      <c r="GL309" s="6"/>
      <c r="GM309" s="6"/>
      <c r="GN309" s="6"/>
      <c r="GO309" s="6"/>
      <c r="GP309" s="6"/>
      <c r="GQ309" s="6"/>
      <c r="GR309" s="6"/>
      <c r="GS309" s="6"/>
      <c r="GT309" s="6"/>
      <c r="GU309" s="6"/>
      <c r="GV309" s="6"/>
      <c r="GW309" s="6"/>
      <c r="GX309" s="6"/>
      <c r="GY309" s="6"/>
      <c r="GZ309" s="6"/>
      <c r="HA309" s="6"/>
      <c r="HB309" s="6"/>
      <c r="HC309" s="6"/>
      <c r="HD309" s="6"/>
      <c r="HE309" s="6"/>
      <c r="HF309" s="6"/>
      <c r="HG309" s="6"/>
      <c r="HH309" s="6"/>
      <c r="HI309" s="6"/>
      <c r="HJ309" s="6"/>
      <c r="HK309" s="6"/>
      <c r="HL309" s="6"/>
      <c r="HM309" s="6"/>
      <c r="HN309" s="6"/>
      <c r="HO309" s="6"/>
      <c r="HP309" s="6"/>
      <c r="HQ309" s="6"/>
      <c r="HR309" s="6"/>
      <c r="HS309" s="6"/>
      <c r="HT309" s="6"/>
      <c r="HU309" s="6"/>
      <c r="HV309" s="6"/>
      <c r="HW309" s="6"/>
      <c r="HX309" s="6"/>
      <c r="HY309" s="6"/>
      <c r="HZ309" s="6"/>
      <c r="IA309" s="6"/>
      <c r="IB309" s="6"/>
      <c r="IC309" s="6"/>
      <c r="ID309" s="6"/>
      <c r="IE309" s="6"/>
      <c r="IF309" s="6"/>
      <c r="IG309" s="6"/>
      <c r="IH309" s="6"/>
      <c r="II309" s="6"/>
      <c r="IJ309" s="6"/>
      <c r="IK309" s="6"/>
      <c r="IL309" s="6"/>
      <c r="IM309" s="6"/>
      <c r="IN309" s="6"/>
      <c r="IO309" s="6"/>
      <c r="IP309" s="6"/>
      <c r="IQ309" s="6"/>
      <c r="IR309" s="6"/>
      <c r="IS309" s="6"/>
      <c r="IT309" s="6"/>
      <c r="IU309" s="6"/>
      <c r="IV309" s="6"/>
      <c r="IW309" s="6"/>
      <c r="IX309" s="6"/>
      <c r="IY309" s="6"/>
      <c r="IZ309" s="6"/>
      <c r="JA309" s="6"/>
      <c r="JB309" s="6"/>
      <c r="JC309" s="6"/>
      <c r="JD309" s="6"/>
      <c r="JE309" s="6"/>
      <c r="JF309" s="6"/>
      <c r="JG309" s="6"/>
      <c r="JH309" s="6"/>
      <c r="JI309" s="6"/>
      <c r="JJ309" s="6"/>
      <c r="JK309" s="6"/>
      <c r="JL309" s="6"/>
      <c r="JM309" s="6"/>
      <c r="JN309" s="6"/>
      <c r="JO309" s="6"/>
      <c r="JP309" s="6"/>
      <c r="JQ309" s="6"/>
      <c r="JR309" s="6"/>
      <c r="JS309" s="6"/>
      <c r="JT309" s="6"/>
      <c r="JU309" s="6"/>
      <c r="JV309" s="6"/>
      <c r="JW309" s="6"/>
      <c r="JX309" s="6"/>
      <c r="JY309" s="6"/>
      <c r="JZ309" s="6"/>
      <c r="KA309" s="6"/>
      <c r="KB309" s="6"/>
      <c r="KC309" s="6"/>
      <c r="KD309" s="6"/>
      <c r="KE309" s="6"/>
      <c r="KF309" s="6"/>
      <c r="KG309" s="6"/>
      <c r="KH309" s="6"/>
      <c r="KI309" s="6"/>
      <c r="KJ309" s="6"/>
      <c r="KK309" s="6"/>
      <c r="KL309" s="6"/>
      <c r="KM309" s="6"/>
      <c r="KN309" s="6"/>
      <c r="KO309" s="6"/>
      <c r="KP309" s="6"/>
      <c r="KQ309" s="6"/>
      <c r="KR309" s="6"/>
      <c r="KS309" s="6"/>
      <c r="KT309" s="6"/>
      <c r="KU309" s="6"/>
      <c r="KV309" s="6"/>
      <c r="KW309" s="6"/>
      <c r="KX309" s="6"/>
      <c r="KY309" s="6"/>
      <c r="KZ309" s="6"/>
      <c r="LA309" s="6"/>
      <c r="LB309" s="6"/>
      <c r="LC309" s="6"/>
      <c r="LD309" s="6"/>
      <c r="LE309" s="6"/>
      <c r="LF309" s="6"/>
      <c r="LG309" s="6"/>
      <c r="LH309" s="6"/>
      <c r="LI309" s="6"/>
      <c r="LJ309" s="6"/>
      <c r="LK309" s="6"/>
      <c r="LL309" s="6"/>
      <c r="LM309" s="6"/>
      <c r="LN309" s="6"/>
      <c r="LO309" s="6"/>
      <c r="LP309" s="6"/>
      <c r="LQ309" s="6"/>
      <c r="LR309" s="6"/>
      <c r="LS309" s="6"/>
      <c r="LT309" s="6"/>
      <c r="LU309" s="6"/>
      <c r="LV309" s="6"/>
      <c r="LW309" s="6"/>
      <c r="LX309" s="6"/>
      <c r="LY309" s="6"/>
      <c r="LZ309" s="6"/>
      <c r="MA309" s="6"/>
      <c r="MB309" s="6"/>
      <c r="MC309" s="6"/>
      <c r="MD309" s="6"/>
      <c r="ME309" s="6"/>
      <c r="MF309" s="6"/>
      <c r="MG309" s="6"/>
      <c r="MH309" s="6"/>
      <c r="MI309" s="6"/>
      <c r="MJ309" s="6"/>
      <c r="MK309" s="6"/>
      <c r="ML309" s="6"/>
      <c r="MM309" s="6"/>
      <c r="MN309" s="6"/>
      <c r="MO309" s="6"/>
      <c r="MP309" s="6"/>
      <c r="MQ309" s="6"/>
      <c r="MR309" s="6"/>
      <c r="MS309" s="6"/>
      <c r="MT309" s="6"/>
      <c r="MU309" s="6"/>
      <c r="MV309" s="6"/>
      <c r="MW309" s="6"/>
      <c r="MX309" s="6"/>
      <c r="MY309" s="6"/>
      <c r="MZ309" s="6"/>
      <c r="NA309" s="6"/>
      <c r="NB309" s="6"/>
      <c r="NC309" s="6"/>
      <c r="ND309" s="6"/>
      <c r="NE309" s="6"/>
      <c r="NF309" s="6"/>
      <c r="NG309" s="6"/>
      <c r="NH309" s="6"/>
      <c r="NI309" s="6"/>
      <c r="NJ309" s="6"/>
      <c r="NK309" s="6"/>
      <c r="NL309" s="6"/>
      <c r="NM309" s="6"/>
      <c r="NN309" s="6"/>
      <c r="NO309" s="6"/>
      <c r="NP309" s="6"/>
      <c r="NQ309" s="6"/>
      <c r="NR309" s="6"/>
      <c r="NS309" s="6"/>
      <c r="NT309" s="6"/>
      <c r="NU309" s="6"/>
      <c r="NV309" s="6"/>
      <c r="NW309" s="6"/>
      <c r="NX309" s="6"/>
      <c r="NY309" s="6"/>
      <c r="NZ309" s="6"/>
      <c r="OA309" s="6"/>
      <c r="OB309" s="6"/>
      <c r="OC309" s="6"/>
      <c r="OD309" s="6"/>
      <c r="OE309" s="6"/>
      <c r="OF309" s="6"/>
      <c r="OG309" s="6"/>
      <c r="OH309" s="6"/>
      <c r="OI309" s="6"/>
      <c r="OJ309" s="6"/>
      <c r="OK309" s="6"/>
      <c r="OL309" s="6"/>
      <c r="OM309" s="6"/>
      <c r="ON309" s="6"/>
      <c r="OO309" s="6"/>
      <c r="OP309" s="6"/>
      <c r="OQ309" s="6"/>
      <c r="OR309" s="6"/>
      <c r="OS309" s="6"/>
      <c r="OT309" s="6"/>
      <c r="OU309" s="6"/>
      <c r="OV309" s="6"/>
      <c r="OW309" s="6"/>
      <c r="OX309" s="6"/>
      <c r="OY309" s="6"/>
      <c r="OZ309" s="6"/>
      <c r="PA309" s="6"/>
      <c r="PB309" s="6"/>
      <c r="PC309" s="6"/>
      <c r="PD309" s="6"/>
      <c r="PE309" s="6"/>
      <c r="PF309" s="6"/>
      <c r="PG309" s="6"/>
      <c r="PH309" s="6"/>
      <c r="PI309" s="6"/>
      <c r="PJ309" s="6"/>
      <c r="PK309" s="6"/>
      <c r="PL309" s="6"/>
      <c r="PM309" s="6"/>
      <c r="PN309" s="6"/>
      <c r="PO309" s="6"/>
      <c r="PP309" s="6"/>
      <c r="PQ309" s="6"/>
      <c r="PR309" s="6"/>
      <c r="PS309" s="6"/>
      <c r="PT309" s="6"/>
      <c r="PU309" s="6"/>
      <c r="PV309" s="6"/>
      <c r="PW309" s="6"/>
      <c r="PX309" s="6"/>
      <c r="PY309" s="6"/>
      <c r="PZ309" s="6"/>
      <c r="QA309" s="6"/>
      <c r="QB309" s="6"/>
      <c r="QC309" s="6"/>
      <c r="QD309" s="6"/>
      <c r="QE309" s="6"/>
      <c r="QF309" s="6"/>
      <c r="QG309" s="6"/>
      <c r="QH309" s="6"/>
      <c r="QI309" s="6"/>
      <c r="QJ309" s="6"/>
      <c r="QK309" s="6"/>
      <c r="QL309" s="6"/>
      <c r="QM309" s="6"/>
      <c r="QN309" s="6"/>
      <c r="QO309" s="6"/>
      <c r="QP309" s="6"/>
      <c r="QQ309" s="6"/>
      <c r="QR309" s="6"/>
      <c r="QS309" s="6"/>
      <c r="QT309" s="6"/>
      <c r="QU309" s="6"/>
      <c r="QV309" s="6"/>
      <c r="QW309" s="6"/>
      <c r="QX309" s="6"/>
      <c r="QY309" s="6"/>
      <c r="QZ309" s="6"/>
      <c r="RA309" s="6"/>
      <c r="RB309" s="6"/>
      <c r="RC309" s="6"/>
      <c r="RD309" s="6"/>
      <c r="RE309" s="6"/>
      <c r="RF309" s="6"/>
      <c r="RG309" s="6"/>
      <c r="RH309" s="6"/>
      <c r="RI309" s="6"/>
      <c r="RJ309" s="6"/>
      <c r="RK309" s="6"/>
      <c r="RL309" s="6"/>
      <c r="RM309" s="6"/>
      <c r="RN309" s="6"/>
      <c r="RO309" s="6"/>
      <c r="RP309" s="6"/>
      <c r="RQ309" s="6"/>
      <c r="RR309" s="6"/>
      <c r="RS309" s="6"/>
      <c r="RT309" s="6"/>
      <c r="RU309" s="6"/>
      <c r="RV309" s="6"/>
      <c r="RW309" s="6"/>
      <c r="RX309" s="6"/>
      <c r="RY309" s="6"/>
      <c r="RZ309" s="6"/>
      <c r="SA309" s="6"/>
      <c r="SB309" s="6"/>
      <c r="SC309" s="6"/>
      <c r="SD309" s="6"/>
      <c r="SE309" s="6"/>
      <c r="SF309" s="6"/>
      <c r="SG309" s="6"/>
      <c r="SH309" s="6"/>
      <c r="SI309" s="6"/>
      <c r="SJ309" s="6"/>
      <c r="SK309" s="6"/>
      <c r="SL309" s="6"/>
      <c r="SM309" s="6"/>
      <c r="SN309" s="6"/>
      <c r="SO309" s="6"/>
      <c r="SP309" s="6"/>
      <c r="SQ309" s="6"/>
      <c r="SR309" s="6"/>
      <c r="SS309" s="6"/>
      <c r="ST309" s="6"/>
      <c r="SU309" s="6"/>
      <c r="SV309" s="6"/>
      <c r="SW309" s="6"/>
      <c r="SX309" s="6"/>
      <c r="SY309" s="6"/>
      <c r="SZ309" s="6"/>
      <c r="TA309" s="6"/>
      <c r="TB309" s="6"/>
      <c r="TC309" s="6"/>
      <c r="TD309" s="6"/>
      <c r="TE309" s="6"/>
      <c r="TF309" s="6"/>
      <c r="TG309" s="6"/>
      <c r="TH309" s="6"/>
      <c r="TI309" s="6"/>
      <c r="TJ309" s="6"/>
      <c r="TK309" s="6"/>
      <c r="TL309" s="6"/>
      <c r="TM309" s="6"/>
      <c r="TN309" s="6"/>
      <c r="TO309" s="6"/>
      <c r="TP309" s="6"/>
      <c r="TQ309" s="6"/>
      <c r="TR309" s="6"/>
      <c r="TS309" s="6"/>
      <c r="TT309" s="6"/>
      <c r="TU309" s="6"/>
      <c r="TV309" s="6"/>
      <c r="TW309" s="6"/>
      <c r="TX309" s="6"/>
      <c r="TY309" s="6"/>
      <c r="TZ309" s="6"/>
      <c r="UA309" s="6"/>
      <c r="UB309" s="6"/>
      <c r="UC309" s="6"/>
      <c r="UD309" s="6"/>
      <c r="UE309" s="6"/>
      <c r="UF309" s="6"/>
      <c r="UG309" s="6"/>
      <c r="UH309" s="6"/>
      <c r="UI309" s="6"/>
      <c r="UJ309" s="6"/>
      <c r="UK309" s="6"/>
      <c r="UL309" s="6"/>
      <c r="UM309" s="6"/>
      <c r="UN309" s="6"/>
      <c r="UO309" s="6"/>
      <c r="UP309" s="6"/>
      <c r="UQ309" s="6"/>
      <c r="UR309" s="6"/>
      <c r="US309" s="6"/>
      <c r="UT309" s="6"/>
      <c r="UU309" s="6"/>
      <c r="UV309" s="6"/>
      <c r="UW309" s="6"/>
      <c r="UX309" s="6"/>
      <c r="UY309" s="6"/>
      <c r="UZ309" s="6"/>
      <c r="VA309" s="6"/>
      <c r="VB309" s="6"/>
      <c r="VC309" s="6"/>
      <c r="VD309" s="6"/>
      <c r="VE309" s="6"/>
      <c r="VF309" s="6"/>
      <c r="VG309" s="6"/>
      <c r="VH309" s="6"/>
      <c r="VI309" s="6"/>
      <c r="VJ309" s="6"/>
      <c r="VK309" s="6"/>
      <c r="VL309" s="6"/>
      <c r="VM309" s="6"/>
      <c r="VN309" s="6"/>
      <c r="VO309" s="6"/>
      <c r="VP309" s="6"/>
      <c r="VQ309" s="6"/>
      <c r="VR309" s="6"/>
      <c r="VS309" s="6"/>
      <c r="VT309" s="6"/>
      <c r="VU309" s="6"/>
      <c r="VV309" s="6"/>
      <c r="VW309" s="6"/>
      <c r="VX309" s="6"/>
      <c r="VY309" s="6"/>
      <c r="VZ309" s="6"/>
      <c r="WA309" s="6"/>
      <c r="WB309" s="6"/>
      <c r="WC309" s="6"/>
      <c r="WD309" s="6"/>
      <c r="WE309" s="6"/>
      <c r="WF309" s="6"/>
      <c r="WG309" s="6"/>
      <c r="WH309" s="6"/>
      <c r="WI309" s="6"/>
      <c r="WJ309" s="6"/>
      <c r="WK309" s="6"/>
      <c r="WL309" s="6"/>
      <c r="WM309" s="6"/>
      <c r="WN309" s="6"/>
      <c r="WO309" s="6"/>
      <c r="WP309" s="6"/>
      <c r="WQ309" s="6"/>
      <c r="WR309" s="6"/>
      <c r="WS309" s="6"/>
      <c r="WT309" s="6"/>
      <c r="WU309" s="6"/>
      <c r="WV309" s="6"/>
      <c r="WW309" s="6"/>
      <c r="WX309" s="6"/>
      <c r="WY309" s="6"/>
      <c r="WZ309" s="6"/>
      <c r="XA309" s="6"/>
      <c r="XB309" s="6"/>
      <c r="XC309" s="6"/>
      <c r="XD309" s="6"/>
      <c r="XE309" s="6"/>
      <c r="XF309" s="6"/>
      <c r="XG309" s="6"/>
      <c r="XH309" s="6"/>
      <c r="XI309" s="6"/>
      <c r="XJ309" s="6"/>
      <c r="XK309" s="6"/>
      <c r="XL309" s="6"/>
      <c r="XM309" s="6"/>
      <c r="XN309" s="6"/>
      <c r="XO309" s="6"/>
      <c r="XP309" s="6"/>
      <c r="XQ309" s="6"/>
      <c r="XR309" s="6"/>
      <c r="XS309" s="6"/>
      <c r="XT309" s="6"/>
      <c r="XU309" s="6"/>
      <c r="XV309" s="6"/>
      <c r="XW309" s="6"/>
      <c r="XX309" s="6"/>
      <c r="XY309" s="6"/>
      <c r="XZ309" s="6"/>
      <c r="YA309" s="6"/>
      <c r="YB309" s="6"/>
      <c r="YC309" s="6"/>
      <c r="YD309" s="6"/>
      <c r="YE309" s="6"/>
      <c r="YF309" s="6"/>
      <c r="YG309" s="6"/>
      <c r="YH309" s="6"/>
      <c r="YI309" s="6"/>
      <c r="YJ309" s="6"/>
      <c r="YK309" s="6"/>
      <c r="YL309" s="6"/>
      <c r="YM309" s="6"/>
      <c r="YN309" s="6"/>
      <c r="YO309" s="6"/>
      <c r="YP309" s="6"/>
      <c r="YQ309" s="6"/>
      <c r="YR309" s="6"/>
      <c r="YS309" s="6"/>
      <c r="YT309" s="6"/>
      <c r="YU309" s="6"/>
      <c r="YV309" s="6"/>
      <c r="YW309" s="6"/>
      <c r="YX309" s="6"/>
      <c r="YY309" s="6"/>
      <c r="YZ309" s="6"/>
      <c r="ZA309" s="6"/>
      <c r="ZB309" s="6"/>
      <c r="ZC309" s="6"/>
      <c r="ZD309" s="6"/>
      <c r="ZE309" s="6"/>
      <c r="ZF309" s="6"/>
      <c r="ZG309" s="6"/>
      <c r="ZH309" s="6"/>
      <c r="ZI309" s="6"/>
      <c r="ZJ309" s="6"/>
      <c r="ZK309" s="6"/>
      <c r="ZL309" s="6"/>
      <c r="ZM309" s="6"/>
      <c r="ZN309" s="6"/>
      <c r="ZO309" s="6"/>
      <c r="ZP309" s="6"/>
      <c r="ZQ309" s="6"/>
      <c r="ZR309" s="6"/>
      <c r="ZS309" s="6"/>
      <c r="ZT309" s="6"/>
      <c r="ZU309" s="6"/>
      <c r="ZV309" s="6"/>
      <c r="ZW309" s="6"/>
      <c r="ZX309" s="6"/>
      <c r="ZY309" s="6"/>
      <c r="ZZ309" s="6"/>
      <c r="AAA309" s="6"/>
      <c r="AAB309" s="6"/>
      <c r="AAC309" s="6"/>
      <c r="AAD309" s="6"/>
      <c r="AAE309" s="6"/>
      <c r="AAF309" s="6"/>
      <c r="AAG309" s="6"/>
      <c r="AAH309" s="6"/>
      <c r="AAI309" s="6"/>
      <c r="AAJ309" s="6"/>
      <c r="AAK309" s="6"/>
      <c r="AAL309" s="6"/>
      <c r="AAM309" s="6"/>
      <c r="AAN309" s="6"/>
      <c r="AAO309" s="6"/>
      <c r="AAP309" s="6"/>
      <c r="AAQ309" s="6"/>
      <c r="AAR309" s="6"/>
      <c r="AAS309" s="6"/>
      <c r="AAT309" s="6"/>
      <c r="AAU309" s="6"/>
      <c r="AAV309" s="6"/>
      <c r="AAW309" s="6"/>
      <c r="AAX309" s="6"/>
      <c r="AAY309" s="6"/>
      <c r="AAZ309" s="6"/>
      <c r="ABA309" s="6"/>
      <c r="ABB309" s="6"/>
      <c r="ABC309" s="6"/>
      <c r="ABD309" s="6"/>
      <c r="ABE309" s="6"/>
      <c r="ABF309" s="6"/>
      <c r="ABG309" s="6"/>
      <c r="ABH309" s="6"/>
      <c r="ABI309" s="6"/>
      <c r="ABJ309" s="6"/>
      <c r="ABK309" s="6"/>
      <c r="ABL309" s="6"/>
      <c r="ABM309" s="6"/>
      <c r="ABN309" s="6"/>
      <c r="ABO309" s="6"/>
      <c r="ABP309" s="6"/>
      <c r="ABQ309" s="6"/>
      <c r="ABR309" s="6"/>
      <c r="ABS309" s="6"/>
      <c r="ABT309" s="6"/>
      <c r="ABU309" s="6"/>
      <c r="ABV309" s="6"/>
      <c r="ABW309" s="6"/>
      <c r="ABX309" s="6"/>
      <c r="ABY309" s="6"/>
      <c r="ABZ309" s="6"/>
      <c r="ACA309" s="6"/>
      <c r="ACB309" s="6"/>
      <c r="ACC309" s="6"/>
      <c r="ACD309" s="6"/>
      <c r="ACE309" s="6"/>
      <c r="ACF309" s="6"/>
      <c r="ACG309" s="6"/>
      <c r="ACH309" s="6"/>
      <c r="ACI309" s="6"/>
      <c r="ACJ309" s="6"/>
      <c r="ACK309" s="6"/>
      <c r="ACL309" s="6"/>
      <c r="ACM309" s="6"/>
      <c r="ACN309" s="6"/>
      <c r="ACO309" s="6"/>
      <c r="ACP309" s="6"/>
      <c r="ACQ309" s="6"/>
      <c r="ACR309" s="6"/>
      <c r="ACS309" s="6"/>
      <c r="ACT309" s="6"/>
      <c r="ACU309" s="6"/>
      <c r="ACV309" s="6"/>
      <c r="ACW309" s="6"/>
      <c r="ACX309" s="6"/>
      <c r="ACY309" s="6"/>
      <c r="ACZ309" s="6"/>
      <c r="ADA309" s="6"/>
      <c r="ADB309" s="6"/>
      <c r="ADC309" s="6"/>
      <c r="ADD309" s="6"/>
      <c r="ADE309" s="6"/>
      <c r="ADF309" s="6"/>
      <c r="ADG309" s="6"/>
      <c r="ADH309" s="6"/>
      <c r="ADI309" s="6"/>
      <c r="ADJ309" s="6"/>
      <c r="ADK309" s="6"/>
      <c r="ADL309" s="6"/>
      <c r="ADM309" s="6"/>
      <c r="ADN309" s="6"/>
      <c r="ADO309" s="6"/>
      <c r="ADP309" s="6"/>
      <c r="ADQ309" s="6"/>
      <c r="ADR309" s="6"/>
      <c r="ADS309" s="6"/>
      <c r="ADT309" s="6"/>
      <c r="ADU309" s="6"/>
      <c r="ADV309" s="6"/>
      <c r="ADW309" s="6"/>
      <c r="ADX309" s="6"/>
      <c r="ADY309" s="6"/>
      <c r="ADZ309" s="6"/>
      <c r="AEA309" s="6"/>
      <c r="AEB309" s="6"/>
      <c r="AEC309" s="6"/>
      <c r="AED309" s="6"/>
      <c r="AEE309" s="6"/>
      <c r="AEF309" s="6"/>
      <c r="AEG309" s="6"/>
      <c r="AEH309" s="6"/>
      <c r="AEI309" s="6"/>
      <c r="AEJ309" s="6"/>
      <c r="AEK309" s="6"/>
      <c r="AEL309" s="6"/>
      <c r="AEM309" s="6"/>
      <c r="AEN309" s="6"/>
      <c r="AEO309" s="6"/>
      <c r="AEP309" s="6"/>
      <c r="AEQ309" s="6"/>
      <c r="AER309" s="6"/>
      <c r="AES309" s="6"/>
      <c r="AET309" s="6"/>
      <c r="AEU309" s="6"/>
      <c r="AEV309" s="6"/>
      <c r="AEW309" s="6"/>
      <c r="AEX309" s="6"/>
      <c r="AEY309" s="6"/>
      <c r="AEZ309" s="6"/>
      <c r="AFA309" s="6"/>
      <c r="AFB309" s="6"/>
      <c r="AFC309" s="6"/>
      <c r="AFD309" s="6"/>
      <c r="AFE309" s="6"/>
      <c r="AFF309" s="6"/>
      <c r="AFG309" s="6"/>
      <c r="AFH309" s="6"/>
      <c r="AFI309" s="6"/>
      <c r="AFJ309" s="6"/>
      <c r="AFK309" s="6"/>
      <c r="AFL309" s="6"/>
      <c r="AFM309" s="6"/>
      <c r="AFN309" s="6"/>
      <c r="AFO309" s="6"/>
      <c r="AFP309" s="6"/>
      <c r="AFQ309" s="6"/>
      <c r="AFR309" s="6"/>
      <c r="AFS309" s="6"/>
      <c r="AFT309" s="6"/>
      <c r="AFU309" s="6"/>
      <c r="AFV309" s="6"/>
      <c r="AFW309" s="6"/>
      <c r="AFX309" s="6"/>
      <c r="AFY309" s="6"/>
      <c r="AFZ309" s="6"/>
      <c r="AGA309" s="6"/>
      <c r="AGB309" s="6"/>
      <c r="AGC309" s="6"/>
      <c r="AGD309" s="6"/>
      <c r="AGE309" s="6"/>
      <c r="AGF309" s="6"/>
      <c r="AGG309" s="6"/>
      <c r="AGH309" s="6"/>
      <c r="AGI309" s="6"/>
      <c r="AGJ309" s="6"/>
      <c r="AGK309" s="6"/>
      <c r="AGL309" s="6"/>
      <c r="AGM309" s="6"/>
      <c r="AGN309" s="6"/>
      <c r="AGO309" s="6"/>
      <c r="AGP309" s="6"/>
      <c r="AGQ309" s="6"/>
      <c r="AGR309" s="6"/>
      <c r="AGS309" s="6"/>
      <c r="AGT309" s="6"/>
      <c r="AGU309" s="6"/>
      <c r="AGV309" s="6"/>
      <c r="AGW309" s="6"/>
      <c r="AGX309" s="6"/>
      <c r="AGY309" s="6"/>
      <c r="AGZ309" s="6"/>
      <c r="AHA309" s="6"/>
      <c r="AHB309" s="6"/>
      <c r="AHC309" s="6"/>
      <c r="AHD309" s="6"/>
      <c r="AHE309" s="6"/>
      <c r="AHF309" s="6"/>
      <c r="AHG309" s="6"/>
      <c r="AHH309" s="6"/>
      <c r="AHI309" s="6"/>
      <c r="AHJ309" s="6"/>
      <c r="AHK309" s="6"/>
      <c r="AHL309" s="6"/>
      <c r="AHM309" s="6"/>
      <c r="AHN309" s="6"/>
      <c r="AHO309" s="6"/>
      <c r="AHP309" s="6"/>
      <c r="AHQ309" s="6"/>
      <c r="AHR309" s="6"/>
      <c r="AHS309" s="6"/>
      <c r="AHT309" s="6"/>
      <c r="AHU309" s="6"/>
      <c r="AHV309" s="6"/>
      <c r="AHW309" s="6"/>
      <c r="AHX309" s="6"/>
      <c r="AHY309" s="6"/>
      <c r="AHZ309" s="6"/>
      <c r="AIA309" s="6"/>
      <c r="AIB309" s="6"/>
      <c r="AIC309" s="6"/>
      <c r="AID309" s="6"/>
      <c r="AIE309" s="6"/>
      <c r="AIF309" s="6"/>
      <c r="AIG309" s="6"/>
      <c r="AIH309" s="6"/>
      <c r="AII309" s="6"/>
      <c r="AIJ309" s="6"/>
      <c r="AIK309" s="6"/>
      <c r="AIL309" s="6"/>
      <c r="AIM309" s="6"/>
      <c r="AIN309" s="6"/>
      <c r="AIO309" s="6"/>
      <c r="AIP309" s="6"/>
      <c r="AIQ309" s="6"/>
      <c r="AIR309" s="6"/>
      <c r="AIS309" s="6"/>
      <c r="AIT309" s="6"/>
      <c r="AIU309" s="6"/>
      <c r="AIV309" s="6"/>
      <c r="AIW309" s="6"/>
      <c r="AIX309" s="6"/>
      <c r="AIY309" s="6"/>
      <c r="AIZ309" s="6"/>
      <c r="AJA309" s="6"/>
      <c r="AJB309" s="6"/>
      <c r="AJC309" s="6"/>
      <c r="AJD309" s="6"/>
      <c r="AJE309" s="6"/>
      <c r="AJF309" s="6"/>
      <c r="AJG309" s="6"/>
      <c r="AJH309" s="6"/>
      <c r="AJI309" s="6"/>
      <c r="AJJ309" s="6"/>
      <c r="AJK309" s="6"/>
      <c r="AJL309" s="6"/>
      <c r="AJM309" s="6"/>
      <c r="AJN309" s="6"/>
      <c r="AJO309" s="6"/>
      <c r="AJP309" s="6"/>
      <c r="AJQ309" s="6"/>
      <c r="AJR309" s="6"/>
      <c r="AJS309" s="6"/>
      <c r="AJT309" s="6"/>
      <c r="AJU309" s="6"/>
      <c r="AJV309" s="6"/>
      <c r="AJW309" s="6"/>
      <c r="AJX309" s="6"/>
      <c r="AJY309" s="6"/>
      <c r="AJZ309" s="6"/>
      <c r="AKA309" s="6"/>
      <c r="AKB309" s="6"/>
      <c r="AKC309" s="6"/>
      <c r="AKD309" s="6"/>
      <c r="AKE309" s="6"/>
      <c r="AKF309" s="6"/>
      <c r="AKG309" s="6"/>
      <c r="AKH309" s="6"/>
      <c r="AKI309" s="6"/>
      <c r="AKJ309" s="6"/>
      <c r="AKK309" s="6"/>
      <c r="AKL309" s="6"/>
      <c r="AKM309" s="6"/>
      <c r="AKN309" s="6"/>
      <c r="AKO309" s="6"/>
      <c r="AKP309" s="6"/>
      <c r="AKQ309" s="6"/>
      <c r="AKR309" s="6"/>
      <c r="AKS309" s="6"/>
      <c r="AKT309" s="6"/>
      <c r="AKU309" s="6"/>
      <c r="AKV309" s="6"/>
      <c r="AKW309" s="6"/>
      <c r="AKX309" s="6"/>
      <c r="AKY309" s="6"/>
      <c r="AKZ309" s="6"/>
      <c r="ALA309" s="6"/>
      <c r="ALB309" s="6"/>
      <c r="ALC309" s="6"/>
      <c r="ALD309" s="6"/>
      <c r="ALE309" s="6"/>
      <c r="ALF309" s="6"/>
      <c r="ALG309" s="6"/>
      <c r="ALH309" s="6"/>
      <c r="ALI309" s="6"/>
      <c r="ALJ309" s="6"/>
      <c r="ALK309" s="6"/>
      <c r="ALL309" s="6"/>
      <c r="ALM309" s="6"/>
      <c r="ALN309" s="6"/>
      <c r="ALO309" s="6"/>
      <c r="ALP309" s="6"/>
      <c r="ALQ309" s="6"/>
      <c r="ALR309" s="6"/>
      <c r="ALS309" s="6"/>
      <c r="ALT309" s="6"/>
      <c r="ALU309" s="6"/>
      <c r="ALV309" s="6"/>
      <c r="ALW309" s="6"/>
      <c r="ALX309" s="6"/>
      <c r="ALY309" s="6"/>
      <c r="ALZ309" s="6"/>
      <c r="AMA309" s="6"/>
      <c r="AMB309" s="6"/>
      <c r="AMC309" s="6"/>
      <c r="AMD309" s="6"/>
      <c r="AME309" s="6"/>
      <c r="AMF309" s="6"/>
      <c r="AMG309" s="6"/>
      <c r="AMH309" s="6"/>
      <c r="AMI309" s="6"/>
      <c r="AMJ309" s="6"/>
      <c r="AMK309" s="6"/>
      <c r="AML309" s="6"/>
      <c r="AMM309" s="6"/>
      <c r="AMN309" s="6"/>
      <c r="AMO309" s="6"/>
      <c r="AMP309" s="6"/>
    </row>
    <row r="310" spans="1:1030" x14ac:dyDescent="0.2">
      <c r="A310" s="9" t="str">
        <f t="shared" si="1733"/>
        <v>q80km9_hcmv_5WB1</v>
      </c>
      <c r="B310" s="40" t="s">
        <v>1508</v>
      </c>
      <c r="C310" s="9" t="s">
        <v>1510</v>
      </c>
      <c r="D310" s="9" t="str">
        <f>IFERROR(MID(VLOOKUP($B310,Seqs!$A:$B,2,0),E310,1),"")</f>
        <v>F</v>
      </c>
      <c r="E310" s="9">
        <v>25</v>
      </c>
      <c r="F310" s="9" t="str">
        <f>IFERROR(MID(VLOOKUP($B310,Seqs!$A:$B,2,0),G310,1),"")</f>
        <v>W</v>
      </c>
      <c r="G310" s="9">
        <v>60</v>
      </c>
      <c r="H310" s="9" t="str">
        <f>IFERROR(MID(VLOOKUP($B310,Seqs!$A:$B,2,0),I310,1),"")</f>
        <v/>
      </c>
      <c r="I310" s="109" t="s">
        <v>23</v>
      </c>
      <c r="J310" s="9" t="str">
        <f>IFERROR(MID(VLOOKUP($B310,Seqs!$A:$B,2,0),K310,1),"")</f>
        <v/>
      </c>
      <c r="K310" s="109" t="s">
        <v>23</v>
      </c>
      <c r="L310" s="9" t="str">
        <f>IFERROR(MID(VLOOKUP($B310,Seqs!$A:$B,2,0),M310,1),"")</f>
        <v>C</v>
      </c>
      <c r="M310" s="9">
        <v>66</v>
      </c>
      <c r="N310" s="9" t="str">
        <f>IFERROR(MID(VLOOKUP($B310,Seqs!$A:$B,2,0),O310,1),"")</f>
        <v>D</v>
      </c>
      <c r="O310" s="9">
        <v>95</v>
      </c>
      <c r="P310" s="9" t="str">
        <f>IFERROR(MID(VLOOKUP($B310,Seqs!$A:$B,2,0),Q310,1),"")</f>
        <v/>
      </c>
      <c r="Q310" s="9" t="s">
        <v>23</v>
      </c>
      <c r="R310" s="9" t="str">
        <f>IFERROR(MID(VLOOKUP($B310,Seqs!$A:$B,2,0),S310,1),"")</f>
        <v/>
      </c>
      <c r="S310" s="9" t="s">
        <v>23</v>
      </c>
      <c r="T310" s="9" t="str">
        <f>IFERROR(MID(VLOOKUP($B310,Seqs!$A:$B,2,0),U310,1),"")</f>
        <v>A</v>
      </c>
      <c r="U310" s="9">
        <v>100</v>
      </c>
      <c r="V310" s="9" t="str">
        <f>IFERROR(MID(VLOOKUP($B310,Seqs!$A:$B,2,0),W310,1),"")</f>
        <v>V</v>
      </c>
      <c r="W310" s="9">
        <v>134</v>
      </c>
      <c r="X310" s="9" t="str">
        <f>IFERROR(MID(VLOOKUP($B310,Seqs!$A:$B,2,0),Y310,1),"")</f>
        <v/>
      </c>
      <c r="Y310" s="9" t="s">
        <v>23</v>
      </c>
      <c r="Z310" s="9" t="str">
        <f>IFERROR(MID(VLOOKUP($B310,Seqs!$A:$B,2,0),AA310,1),"")</f>
        <v/>
      </c>
      <c r="AA310" s="9" t="s">
        <v>23</v>
      </c>
      <c r="AB310" s="9" t="str">
        <f>IFERROR(MID(VLOOKUP($B310,Seqs!$A:$B,2,0),AC310,1),"")</f>
        <v>P</v>
      </c>
      <c r="AC310" s="9">
        <v>140</v>
      </c>
      <c r="AD310" s="9" t="str">
        <f>IFERROR(MID(VLOOKUP($B310,Seqs!$A:$B,2,0),AE310,1),"")</f>
        <v>M</v>
      </c>
      <c r="AE310" s="9">
        <v>164</v>
      </c>
      <c r="AF310" s="9" t="str">
        <f>IFERROR(MID(VLOOKUP($B310,Seqs!$A:$B,2,0),AG310,1),"")</f>
        <v>C</v>
      </c>
      <c r="AG310" s="9">
        <v>173</v>
      </c>
      <c r="AH310" s="9" t="str">
        <f>IFERROR(MID(VLOOKUP($B310,Seqs!$A:$B,2,0),AI310,1),"")</f>
        <v>T</v>
      </c>
      <c r="AI310" s="9">
        <v>175</v>
      </c>
      <c r="AJ310" s="9" t="str">
        <f>IFERROR(MID(VLOOKUP($B310,Seqs!$A:$B,2,0),AK310,1),"")</f>
        <v>S</v>
      </c>
      <c r="AK310" s="9">
        <v>183</v>
      </c>
      <c r="AL310" s="9" t="str">
        <f>IFERROR(MID(VLOOKUP($B310,Seqs!$A:$B,2,0),AM310,1),"")</f>
        <v>S</v>
      </c>
      <c r="AM310" s="9">
        <v>218</v>
      </c>
      <c r="AN310" s="9" t="str">
        <f>IFERROR(MID(VLOOKUP($B310,Seqs!$A:$B,2,0),AO310,1),"")</f>
        <v>H</v>
      </c>
      <c r="AO310" s="9">
        <v>222</v>
      </c>
      <c r="AP310" s="9" t="str">
        <f>IFERROR(MID(VLOOKUP($B310,Seqs!$A:$B,2,0),AQ310,1),"")</f>
        <v>K</v>
      </c>
      <c r="AQ310" s="9">
        <v>257</v>
      </c>
      <c r="AR310" s="9" t="str">
        <f>IFERROR(MID(VLOOKUP($B310,Seqs!$A:$B,2,0),AS310,1),"")</f>
        <v>S</v>
      </c>
      <c r="AS310" s="9">
        <v>262</v>
      </c>
      <c r="AT310" s="9" t="str">
        <f>IFERROR(MID(VLOOKUP($B310,Seqs!$A:$B,2,0),AU310,1),"")</f>
        <v>V</v>
      </c>
      <c r="AU310" s="9">
        <v>294</v>
      </c>
      <c r="AV310" s="9" t="str">
        <f>IFERROR(MID(VLOOKUP($B310,Seqs!$A:$B,2,0),AW310,1),"")</f>
        <v>G</v>
      </c>
      <c r="AW310" s="9">
        <v>295</v>
      </c>
      <c r="AX310" s="9" t="str">
        <f>IFERROR(MID(VLOOKUP($B310,Seqs!$A:$B,2,0),AY310,1),"")</f>
        <v>R</v>
      </c>
      <c r="AY310" s="9">
        <v>310</v>
      </c>
      <c r="AZ310" s="110" t="str">
        <f>VLOOKUP(B310,Classification!A:D,2,0)</f>
        <v>A</v>
      </c>
      <c r="BA310" s="98" t="str">
        <f>VLOOKUP(B310,Classification!A:D,4,0)</f>
        <v>Chemokine</v>
      </c>
      <c r="BB310" s="36" t="b">
        <f t="shared" si="1706"/>
        <v>1</v>
      </c>
      <c r="BC310" s="109">
        <f t="shared" si="1707"/>
        <v>253</v>
      </c>
      <c r="BD310" s="11" t="s">
        <v>1376</v>
      </c>
      <c r="BE310" s="9" t="s">
        <v>1292</v>
      </c>
      <c r="BF310" s="120">
        <v>3.51</v>
      </c>
      <c r="BG310" s="51" t="s">
        <v>1</v>
      </c>
      <c r="BH310" s="51" t="s">
        <v>1</v>
      </c>
      <c r="BI310" s="12"/>
      <c r="BJ310" s="111" t="s">
        <v>1288</v>
      </c>
      <c r="BK310" s="112" t="s">
        <v>1288</v>
      </c>
      <c r="BL310" s="112" t="s">
        <v>1288</v>
      </c>
      <c r="BM310" s="112" t="s">
        <v>1288</v>
      </c>
      <c r="BN310" s="112" t="s">
        <v>1288</v>
      </c>
      <c r="BO310" s="112" t="s">
        <v>1288</v>
      </c>
      <c r="BP310" s="112" t="s">
        <v>1288</v>
      </c>
      <c r="BQ310" s="112" t="s">
        <v>1288</v>
      </c>
      <c r="BR310" s="112" t="s">
        <v>1288</v>
      </c>
      <c r="BS310" s="112" t="s">
        <v>1288</v>
      </c>
      <c r="BT310" s="112" t="s">
        <v>1288</v>
      </c>
      <c r="BU310" s="112" t="s">
        <v>1288</v>
      </c>
      <c r="BV310" s="111">
        <f t="shared" si="1708"/>
        <v>25</v>
      </c>
      <c r="BW310" s="113" t="str">
        <f t="shared" si="1709"/>
        <v>-</v>
      </c>
      <c r="BX310" s="114">
        <f t="shared" si="1710"/>
        <v>66</v>
      </c>
      <c r="BY310" s="113" t="str">
        <f t="shared" si="1711"/>
        <v>-</v>
      </c>
      <c r="BZ310" s="114">
        <f t="shared" si="1712"/>
        <v>100</v>
      </c>
      <c r="CA310" s="113" t="str">
        <f t="shared" si="1713"/>
        <v>-</v>
      </c>
      <c r="CB310" s="114">
        <f t="shared" si="1714"/>
        <v>140</v>
      </c>
      <c r="CC310" s="113">
        <f t="shared" si="1715"/>
        <v>173</v>
      </c>
      <c r="CD310" s="114">
        <f t="shared" si="1716"/>
        <v>183</v>
      </c>
      <c r="CE310" s="113">
        <f t="shared" si="1717"/>
        <v>222</v>
      </c>
      <c r="CF310" s="114">
        <f t="shared" si="1718"/>
        <v>262</v>
      </c>
      <c r="CG310" s="113">
        <f t="shared" si="1719"/>
        <v>295</v>
      </c>
      <c r="CH310" s="111">
        <f t="shared" si="1720"/>
        <v>60</v>
      </c>
      <c r="CI310" s="113" t="str">
        <f t="shared" si="1721"/>
        <v>-</v>
      </c>
      <c r="CJ310" s="114">
        <f t="shared" si="1722"/>
        <v>95</v>
      </c>
      <c r="CK310" s="114" t="str">
        <f t="shared" si="1723"/>
        <v>-</v>
      </c>
      <c r="CL310" s="114">
        <f t="shared" si="1724"/>
        <v>134</v>
      </c>
      <c r="CM310" s="114" t="str">
        <f t="shared" si="1725"/>
        <v>-</v>
      </c>
      <c r="CN310" s="114">
        <f t="shared" si="1726"/>
        <v>164</v>
      </c>
      <c r="CO310" s="114">
        <f t="shared" si="1727"/>
        <v>175</v>
      </c>
      <c r="CP310" s="114">
        <f t="shared" si="1728"/>
        <v>218</v>
      </c>
      <c r="CQ310" s="114">
        <f t="shared" si="1729"/>
        <v>257</v>
      </c>
      <c r="CR310" s="114">
        <f t="shared" si="1730"/>
        <v>294</v>
      </c>
      <c r="CS310" s="114">
        <f t="shared" si="1731"/>
        <v>310</v>
      </c>
      <c r="CT310" s="109" t="e">
        <f t="shared" si="1732"/>
        <v>#VALUE!</v>
      </c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/>
      <c r="EY310" s="6"/>
      <c r="EZ310" s="6"/>
      <c r="FA310" s="6"/>
      <c r="FB310" s="6"/>
      <c r="FC310" s="6"/>
      <c r="FD310" s="6"/>
      <c r="FE310" s="6"/>
      <c r="FF310" s="6"/>
      <c r="FG310" s="6"/>
      <c r="FH310" s="6"/>
      <c r="FI310" s="6"/>
      <c r="FJ310" s="6"/>
      <c r="FK310" s="6"/>
      <c r="FL310" s="6"/>
      <c r="FM310" s="6"/>
      <c r="FN310" s="6"/>
      <c r="FO310" s="6"/>
      <c r="FP310" s="6"/>
      <c r="FQ310" s="6"/>
      <c r="FR310" s="6"/>
      <c r="FS310" s="6"/>
      <c r="FT310" s="6"/>
      <c r="FU310" s="6"/>
      <c r="FV310" s="6"/>
      <c r="FW310" s="6"/>
      <c r="FX310" s="6"/>
      <c r="FY310" s="6"/>
      <c r="FZ310" s="6"/>
      <c r="GA310" s="6"/>
      <c r="GB310" s="6"/>
      <c r="GC310" s="6"/>
      <c r="GD310" s="6"/>
      <c r="GE310" s="6"/>
      <c r="GF310" s="6"/>
      <c r="GG310" s="6"/>
      <c r="GH310" s="6"/>
      <c r="GI310" s="6"/>
      <c r="GJ310" s="6"/>
      <c r="GK310" s="6"/>
      <c r="GL310" s="6"/>
      <c r="GM310" s="6"/>
      <c r="GN310" s="6"/>
      <c r="GO310" s="6"/>
      <c r="GP310" s="6"/>
      <c r="GQ310" s="6"/>
      <c r="GR310" s="6"/>
      <c r="GS310" s="6"/>
      <c r="GT310" s="6"/>
      <c r="GU310" s="6"/>
      <c r="GV310" s="6"/>
      <c r="GW310" s="6"/>
      <c r="GX310" s="6"/>
      <c r="GY310" s="6"/>
      <c r="GZ310" s="6"/>
      <c r="HA310" s="6"/>
      <c r="HB310" s="6"/>
      <c r="HC310" s="6"/>
      <c r="HD310" s="6"/>
      <c r="HE310" s="6"/>
      <c r="HF310" s="6"/>
      <c r="HG310" s="6"/>
      <c r="HH310" s="6"/>
      <c r="HI310" s="6"/>
      <c r="HJ310" s="6"/>
      <c r="HK310" s="6"/>
      <c r="HL310" s="6"/>
      <c r="HM310" s="6"/>
      <c r="HN310" s="6"/>
      <c r="HO310" s="6"/>
      <c r="HP310" s="6"/>
      <c r="HQ310" s="6"/>
      <c r="HR310" s="6"/>
      <c r="HS310" s="6"/>
      <c r="HT310" s="6"/>
      <c r="HU310" s="6"/>
      <c r="HV310" s="6"/>
      <c r="HW310" s="6"/>
      <c r="HX310" s="6"/>
      <c r="HY310" s="6"/>
      <c r="HZ310" s="6"/>
      <c r="IA310" s="6"/>
      <c r="IB310" s="6"/>
      <c r="IC310" s="6"/>
      <c r="ID310" s="6"/>
      <c r="IE310" s="6"/>
      <c r="IF310" s="6"/>
      <c r="IG310" s="6"/>
      <c r="IH310" s="6"/>
      <c r="II310" s="6"/>
      <c r="IJ310" s="6"/>
      <c r="IK310" s="6"/>
      <c r="IL310" s="6"/>
      <c r="IM310" s="6"/>
      <c r="IN310" s="6"/>
      <c r="IO310" s="6"/>
      <c r="IP310" s="6"/>
      <c r="IQ310" s="6"/>
      <c r="IR310" s="6"/>
      <c r="IS310" s="6"/>
      <c r="IT310" s="6"/>
      <c r="IU310" s="6"/>
      <c r="IV310" s="6"/>
      <c r="IW310" s="6"/>
      <c r="IX310" s="6"/>
      <c r="IY310" s="6"/>
      <c r="IZ310" s="6"/>
      <c r="JA310" s="6"/>
      <c r="JB310" s="6"/>
      <c r="JC310" s="6"/>
      <c r="JD310" s="6"/>
      <c r="JE310" s="6"/>
      <c r="JF310" s="6"/>
      <c r="JG310" s="6"/>
      <c r="JH310" s="6"/>
      <c r="JI310" s="6"/>
      <c r="JJ310" s="6"/>
      <c r="JK310" s="6"/>
      <c r="JL310" s="6"/>
      <c r="JM310" s="6"/>
      <c r="JN310" s="6"/>
      <c r="JO310" s="6"/>
      <c r="JP310" s="6"/>
      <c r="JQ310" s="6"/>
      <c r="JR310" s="6"/>
      <c r="JS310" s="6"/>
      <c r="JT310" s="6"/>
      <c r="JU310" s="6"/>
      <c r="JV310" s="6"/>
      <c r="JW310" s="6"/>
      <c r="JX310" s="6"/>
      <c r="JY310" s="6"/>
      <c r="JZ310" s="6"/>
      <c r="KA310" s="6"/>
      <c r="KB310" s="6"/>
      <c r="KC310" s="6"/>
      <c r="KD310" s="6"/>
      <c r="KE310" s="6"/>
      <c r="KF310" s="6"/>
      <c r="KG310" s="6"/>
      <c r="KH310" s="6"/>
      <c r="KI310" s="6"/>
      <c r="KJ310" s="6"/>
      <c r="KK310" s="6"/>
      <c r="KL310" s="6"/>
      <c r="KM310" s="6"/>
      <c r="KN310" s="6"/>
      <c r="KO310" s="6"/>
      <c r="KP310" s="6"/>
      <c r="KQ310" s="6"/>
      <c r="KR310" s="6"/>
      <c r="KS310" s="6"/>
      <c r="KT310" s="6"/>
      <c r="KU310" s="6"/>
      <c r="KV310" s="6"/>
      <c r="KW310" s="6"/>
      <c r="KX310" s="6"/>
      <c r="KY310" s="6"/>
      <c r="KZ310" s="6"/>
      <c r="LA310" s="6"/>
      <c r="LB310" s="6"/>
      <c r="LC310" s="6"/>
      <c r="LD310" s="6"/>
      <c r="LE310" s="6"/>
      <c r="LF310" s="6"/>
      <c r="LG310" s="6"/>
      <c r="LH310" s="6"/>
      <c r="LI310" s="6"/>
      <c r="LJ310" s="6"/>
      <c r="LK310" s="6"/>
      <c r="LL310" s="6"/>
      <c r="LM310" s="6"/>
      <c r="LN310" s="6"/>
      <c r="LO310" s="6"/>
      <c r="LP310" s="6"/>
      <c r="LQ310" s="6"/>
      <c r="LR310" s="6"/>
      <c r="LS310" s="6"/>
      <c r="LT310" s="6"/>
      <c r="LU310" s="6"/>
      <c r="LV310" s="6"/>
      <c r="LW310" s="6"/>
      <c r="LX310" s="6"/>
      <c r="LY310" s="6"/>
      <c r="LZ310" s="6"/>
      <c r="MA310" s="6"/>
      <c r="MB310" s="6"/>
      <c r="MC310" s="6"/>
      <c r="MD310" s="6"/>
      <c r="ME310" s="6"/>
      <c r="MF310" s="6"/>
      <c r="MG310" s="6"/>
      <c r="MH310" s="6"/>
      <c r="MI310" s="6"/>
      <c r="MJ310" s="6"/>
      <c r="MK310" s="6"/>
      <c r="ML310" s="6"/>
      <c r="MM310" s="6"/>
      <c r="MN310" s="6"/>
      <c r="MO310" s="6"/>
      <c r="MP310" s="6"/>
      <c r="MQ310" s="6"/>
      <c r="MR310" s="6"/>
      <c r="MS310" s="6"/>
      <c r="MT310" s="6"/>
      <c r="MU310" s="6"/>
      <c r="MV310" s="6"/>
      <c r="MW310" s="6"/>
      <c r="MX310" s="6"/>
      <c r="MY310" s="6"/>
      <c r="MZ310" s="6"/>
      <c r="NA310" s="6"/>
      <c r="NB310" s="6"/>
      <c r="NC310" s="6"/>
      <c r="ND310" s="6"/>
      <c r="NE310" s="6"/>
      <c r="NF310" s="6"/>
      <c r="NG310" s="6"/>
      <c r="NH310" s="6"/>
      <c r="NI310" s="6"/>
      <c r="NJ310" s="6"/>
      <c r="NK310" s="6"/>
      <c r="NL310" s="6"/>
      <c r="NM310" s="6"/>
      <c r="NN310" s="6"/>
      <c r="NO310" s="6"/>
      <c r="NP310" s="6"/>
      <c r="NQ310" s="6"/>
      <c r="NR310" s="6"/>
      <c r="NS310" s="6"/>
      <c r="NT310" s="6"/>
      <c r="NU310" s="6"/>
      <c r="NV310" s="6"/>
      <c r="NW310" s="6"/>
      <c r="NX310" s="6"/>
      <c r="NY310" s="6"/>
      <c r="NZ310" s="6"/>
      <c r="OA310" s="6"/>
      <c r="OB310" s="6"/>
      <c r="OC310" s="6"/>
      <c r="OD310" s="6"/>
      <c r="OE310" s="6"/>
      <c r="OF310" s="6"/>
      <c r="OG310" s="6"/>
      <c r="OH310" s="6"/>
      <c r="OI310" s="6"/>
      <c r="OJ310" s="6"/>
      <c r="OK310" s="6"/>
      <c r="OL310" s="6"/>
      <c r="OM310" s="6"/>
      <c r="ON310" s="6"/>
      <c r="OO310" s="6"/>
      <c r="OP310" s="6"/>
      <c r="OQ310" s="6"/>
      <c r="OR310" s="6"/>
      <c r="OS310" s="6"/>
      <c r="OT310" s="6"/>
      <c r="OU310" s="6"/>
      <c r="OV310" s="6"/>
      <c r="OW310" s="6"/>
      <c r="OX310" s="6"/>
      <c r="OY310" s="6"/>
      <c r="OZ310" s="6"/>
      <c r="PA310" s="6"/>
      <c r="PB310" s="6"/>
      <c r="PC310" s="6"/>
      <c r="PD310" s="6"/>
      <c r="PE310" s="6"/>
      <c r="PF310" s="6"/>
      <c r="PG310" s="6"/>
      <c r="PH310" s="6"/>
      <c r="PI310" s="6"/>
      <c r="PJ310" s="6"/>
      <c r="PK310" s="6"/>
      <c r="PL310" s="6"/>
      <c r="PM310" s="6"/>
      <c r="PN310" s="6"/>
      <c r="PO310" s="6"/>
      <c r="PP310" s="6"/>
      <c r="PQ310" s="6"/>
      <c r="PR310" s="6"/>
      <c r="PS310" s="6"/>
      <c r="PT310" s="6"/>
      <c r="PU310" s="6"/>
      <c r="PV310" s="6"/>
      <c r="PW310" s="6"/>
      <c r="PX310" s="6"/>
      <c r="PY310" s="6"/>
      <c r="PZ310" s="6"/>
      <c r="QA310" s="6"/>
      <c r="QB310" s="6"/>
      <c r="QC310" s="6"/>
      <c r="QD310" s="6"/>
      <c r="QE310" s="6"/>
      <c r="QF310" s="6"/>
      <c r="QG310" s="6"/>
      <c r="QH310" s="6"/>
      <c r="QI310" s="6"/>
      <c r="QJ310" s="6"/>
      <c r="QK310" s="6"/>
      <c r="QL310" s="6"/>
      <c r="QM310" s="6"/>
      <c r="QN310" s="6"/>
      <c r="QO310" s="6"/>
      <c r="QP310" s="6"/>
      <c r="QQ310" s="6"/>
      <c r="QR310" s="6"/>
      <c r="QS310" s="6"/>
      <c r="QT310" s="6"/>
      <c r="QU310" s="6"/>
      <c r="QV310" s="6"/>
      <c r="QW310" s="6"/>
      <c r="QX310" s="6"/>
      <c r="QY310" s="6"/>
      <c r="QZ310" s="6"/>
      <c r="RA310" s="6"/>
      <c r="RB310" s="6"/>
      <c r="RC310" s="6"/>
      <c r="RD310" s="6"/>
      <c r="RE310" s="6"/>
      <c r="RF310" s="6"/>
      <c r="RG310" s="6"/>
      <c r="RH310" s="6"/>
      <c r="RI310" s="6"/>
      <c r="RJ310" s="6"/>
      <c r="RK310" s="6"/>
      <c r="RL310" s="6"/>
      <c r="RM310" s="6"/>
      <c r="RN310" s="6"/>
      <c r="RO310" s="6"/>
      <c r="RP310" s="6"/>
      <c r="RQ310" s="6"/>
      <c r="RR310" s="6"/>
      <c r="RS310" s="6"/>
      <c r="RT310" s="6"/>
      <c r="RU310" s="6"/>
      <c r="RV310" s="6"/>
      <c r="RW310" s="6"/>
      <c r="RX310" s="6"/>
      <c r="RY310" s="6"/>
      <c r="RZ310" s="6"/>
      <c r="SA310" s="6"/>
      <c r="SB310" s="6"/>
      <c r="SC310" s="6"/>
      <c r="SD310" s="6"/>
      <c r="SE310" s="6"/>
      <c r="SF310" s="6"/>
      <c r="SG310" s="6"/>
      <c r="SH310" s="6"/>
      <c r="SI310" s="6"/>
      <c r="SJ310" s="6"/>
      <c r="SK310" s="6"/>
      <c r="SL310" s="6"/>
      <c r="SM310" s="6"/>
      <c r="SN310" s="6"/>
      <c r="SO310" s="6"/>
      <c r="SP310" s="6"/>
      <c r="SQ310" s="6"/>
      <c r="SR310" s="6"/>
      <c r="SS310" s="6"/>
      <c r="ST310" s="6"/>
      <c r="SU310" s="6"/>
      <c r="SV310" s="6"/>
      <c r="SW310" s="6"/>
      <c r="SX310" s="6"/>
      <c r="SY310" s="6"/>
      <c r="SZ310" s="6"/>
      <c r="TA310" s="6"/>
      <c r="TB310" s="6"/>
      <c r="TC310" s="6"/>
      <c r="TD310" s="6"/>
      <c r="TE310" s="6"/>
      <c r="TF310" s="6"/>
      <c r="TG310" s="6"/>
      <c r="TH310" s="6"/>
      <c r="TI310" s="6"/>
      <c r="TJ310" s="6"/>
      <c r="TK310" s="6"/>
      <c r="TL310" s="6"/>
      <c r="TM310" s="6"/>
      <c r="TN310" s="6"/>
      <c r="TO310" s="6"/>
      <c r="TP310" s="6"/>
      <c r="TQ310" s="6"/>
      <c r="TR310" s="6"/>
      <c r="TS310" s="6"/>
      <c r="TT310" s="6"/>
      <c r="TU310" s="6"/>
      <c r="TV310" s="6"/>
      <c r="TW310" s="6"/>
      <c r="TX310" s="6"/>
      <c r="TY310" s="6"/>
      <c r="TZ310" s="6"/>
      <c r="UA310" s="6"/>
      <c r="UB310" s="6"/>
      <c r="UC310" s="6"/>
      <c r="UD310" s="6"/>
      <c r="UE310" s="6"/>
      <c r="UF310" s="6"/>
      <c r="UG310" s="6"/>
      <c r="UH310" s="6"/>
      <c r="UI310" s="6"/>
      <c r="UJ310" s="6"/>
      <c r="UK310" s="6"/>
      <c r="UL310" s="6"/>
      <c r="UM310" s="6"/>
      <c r="UN310" s="6"/>
      <c r="UO310" s="6"/>
      <c r="UP310" s="6"/>
      <c r="UQ310" s="6"/>
      <c r="UR310" s="6"/>
      <c r="US310" s="6"/>
      <c r="UT310" s="6"/>
      <c r="UU310" s="6"/>
      <c r="UV310" s="6"/>
      <c r="UW310" s="6"/>
      <c r="UX310" s="6"/>
      <c r="UY310" s="6"/>
      <c r="UZ310" s="6"/>
      <c r="VA310" s="6"/>
      <c r="VB310" s="6"/>
      <c r="VC310" s="6"/>
      <c r="VD310" s="6"/>
      <c r="VE310" s="6"/>
      <c r="VF310" s="6"/>
      <c r="VG310" s="6"/>
      <c r="VH310" s="6"/>
      <c r="VI310" s="6"/>
      <c r="VJ310" s="6"/>
      <c r="VK310" s="6"/>
      <c r="VL310" s="6"/>
      <c r="VM310" s="6"/>
      <c r="VN310" s="6"/>
      <c r="VO310" s="6"/>
      <c r="VP310" s="6"/>
      <c r="VQ310" s="6"/>
      <c r="VR310" s="6"/>
      <c r="VS310" s="6"/>
      <c r="VT310" s="6"/>
      <c r="VU310" s="6"/>
      <c r="VV310" s="6"/>
      <c r="VW310" s="6"/>
      <c r="VX310" s="6"/>
      <c r="VY310" s="6"/>
      <c r="VZ310" s="6"/>
      <c r="WA310" s="6"/>
      <c r="WB310" s="6"/>
      <c r="WC310" s="6"/>
      <c r="WD310" s="6"/>
      <c r="WE310" s="6"/>
      <c r="WF310" s="6"/>
      <c r="WG310" s="6"/>
      <c r="WH310" s="6"/>
      <c r="WI310" s="6"/>
      <c r="WJ310" s="6"/>
      <c r="WK310" s="6"/>
      <c r="WL310" s="6"/>
      <c r="WM310" s="6"/>
      <c r="WN310" s="6"/>
      <c r="WO310" s="6"/>
      <c r="WP310" s="6"/>
      <c r="WQ310" s="6"/>
      <c r="WR310" s="6"/>
      <c r="WS310" s="6"/>
      <c r="WT310" s="6"/>
      <c r="WU310" s="6"/>
      <c r="WV310" s="6"/>
      <c r="WW310" s="6"/>
      <c r="WX310" s="6"/>
      <c r="WY310" s="6"/>
      <c r="WZ310" s="6"/>
      <c r="XA310" s="6"/>
      <c r="XB310" s="6"/>
      <c r="XC310" s="6"/>
      <c r="XD310" s="6"/>
      <c r="XE310" s="6"/>
      <c r="XF310" s="6"/>
      <c r="XG310" s="6"/>
      <c r="XH310" s="6"/>
      <c r="XI310" s="6"/>
      <c r="XJ310" s="6"/>
      <c r="XK310" s="6"/>
      <c r="XL310" s="6"/>
      <c r="XM310" s="6"/>
      <c r="XN310" s="6"/>
      <c r="XO310" s="6"/>
      <c r="XP310" s="6"/>
      <c r="XQ310" s="6"/>
      <c r="XR310" s="6"/>
      <c r="XS310" s="6"/>
      <c r="XT310" s="6"/>
      <c r="XU310" s="6"/>
      <c r="XV310" s="6"/>
      <c r="XW310" s="6"/>
      <c r="XX310" s="6"/>
      <c r="XY310" s="6"/>
      <c r="XZ310" s="6"/>
      <c r="YA310" s="6"/>
      <c r="YB310" s="6"/>
      <c r="YC310" s="6"/>
      <c r="YD310" s="6"/>
      <c r="YE310" s="6"/>
      <c r="YF310" s="6"/>
      <c r="YG310" s="6"/>
      <c r="YH310" s="6"/>
      <c r="YI310" s="6"/>
      <c r="YJ310" s="6"/>
      <c r="YK310" s="6"/>
      <c r="YL310" s="6"/>
      <c r="YM310" s="6"/>
      <c r="YN310" s="6"/>
      <c r="YO310" s="6"/>
      <c r="YP310" s="6"/>
      <c r="YQ310" s="6"/>
      <c r="YR310" s="6"/>
      <c r="YS310" s="6"/>
      <c r="YT310" s="6"/>
      <c r="YU310" s="6"/>
      <c r="YV310" s="6"/>
      <c r="YW310" s="6"/>
      <c r="YX310" s="6"/>
      <c r="YY310" s="6"/>
      <c r="YZ310" s="6"/>
      <c r="ZA310" s="6"/>
      <c r="ZB310" s="6"/>
      <c r="ZC310" s="6"/>
      <c r="ZD310" s="6"/>
      <c r="ZE310" s="6"/>
      <c r="ZF310" s="6"/>
      <c r="ZG310" s="6"/>
      <c r="ZH310" s="6"/>
      <c r="ZI310" s="6"/>
      <c r="ZJ310" s="6"/>
      <c r="ZK310" s="6"/>
      <c r="ZL310" s="6"/>
      <c r="ZM310" s="6"/>
      <c r="ZN310" s="6"/>
      <c r="ZO310" s="6"/>
      <c r="ZP310" s="6"/>
      <c r="ZQ310" s="6"/>
      <c r="ZR310" s="6"/>
      <c r="ZS310" s="6"/>
      <c r="ZT310" s="6"/>
      <c r="ZU310" s="6"/>
      <c r="ZV310" s="6"/>
      <c r="ZW310" s="6"/>
      <c r="ZX310" s="6"/>
      <c r="ZY310" s="6"/>
      <c r="ZZ310" s="6"/>
      <c r="AAA310" s="6"/>
      <c r="AAB310" s="6"/>
      <c r="AAC310" s="6"/>
      <c r="AAD310" s="6"/>
      <c r="AAE310" s="6"/>
      <c r="AAF310" s="6"/>
      <c r="AAG310" s="6"/>
      <c r="AAH310" s="6"/>
      <c r="AAI310" s="6"/>
      <c r="AAJ310" s="6"/>
      <c r="AAK310" s="6"/>
      <c r="AAL310" s="6"/>
      <c r="AAM310" s="6"/>
      <c r="AAN310" s="6"/>
      <c r="AAO310" s="6"/>
      <c r="AAP310" s="6"/>
      <c r="AAQ310" s="6"/>
      <c r="AAR310" s="6"/>
      <c r="AAS310" s="6"/>
      <c r="AAT310" s="6"/>
      <c r="AAU310" s="6"/>
      <c r="AAV310" s="6"/>
      <c r="AAW310" s="6"/>
      <c r="AAX310" s="6"/>
      <c r="AAY310" s="6"/>
      <c r="AAZ310" s="6"/>
      <c r="ABA310" s="6"/>
      <c r="ABB310" s="6"/>
      <c r="ABC310" s="6"/>
      <c r="ABD310" s="6"/>
      <c r="ABE310" s="6"/>
      <c r="ABF310" s="6"/>
      <c r="ABG310" s="6"/>
      <c r="ABH310" s="6"/>
      <c r="ABI310" s="6"/>
      <c r="ABJ310" s="6"/>
      <c r="ABK310" s="6"/>
      <c r="ABL310" s="6"/>
      <c r="ABM310" s="6"/>
      <c r="ABN310" s="6"/>
      <c r="ABO310" s="6"/>
      <c r="ABP310" s="6"/>
      <c r="ABQ310" s="6"/>
      <c r="ABR310" s="6"/>
      <c r="ABS310" s="6"/>
      <c r="ABT310" s="6"/>
      <c r="ABU310" s="6"/>
      <c r="ABV310" s="6"/>
      <c r="ABW310" s="6"/>
      <c r="ABX310" s="6"/>
      <c r="ABY310" s="6"/>
      <c r="ABZ310" s="6"/>
      <c r="ACA310" s="6"/>
      <c r="ACB310" s="6"/>
      <c r="ACC310" s="6"/>
      <c r="ACD310" s="6"/>
      <c r="ACE310" s="6"/>
      <c r="ACF310" s="6"/>
      <c r="ACG310" s="6"/>
      <c r="ACH310" s="6"/>
      <c r="ACI310" s="6"/>
      <c r="ACJ310" s="6"/>
      <c r="ACK310" s="6"/>
      <c r="ACL310" s="6"/>
      <c r="ACM310" s="6"/>
      <c r="ACN310" s="6"/>
      <c r="ACO310" s="6"/>
      <c r="ACP310" s="6"/>
      <c r="ACQ310" s="6"/>
      <c r="ACR310" s="6"/>
      <c r="ACS310" s="6"/>
      <c r="ACT310" s="6"/>
      <c r="ACU310" s="6"/>
      <c r="ACV310" s="6"/>
      <c r="ACW310" s="6"/>
      <c r="ACX310" s="6"/>
      <c r="ACY310" s="6"/>
      <c r="ACZ310" s="6"/>
      <c r="ADA310" s="6"/>
      <c r="ADB310" s="6"/>
      <c r="ADC310" s="6"/>
      <c r="ADD310" s="6"/>
      <c r="ADE310" s="6"/>
      <c r="ADF310" s="6"/>
      <c r="ADG310" s="6"/>
      <c r="ADH310" s="6"/>
      <c r="ADI310" s="6"/>
      <c r="ADJ310" s="6"/>
      <c r="ADK310" s="6"/>
      <c r="ADL310" s="6"/>
      <c r="ADM310" s="6"/>
      <c r="ADN310" s="6"/>
      <c r="ADO310" s="6"/>
      <c r="ADP310" s="6"/>
      <c r="ADQ310" s="6"/>
      <c r="ADR310" s="6"/>
      <c r="ADS310" s="6"/>
      <c r="ADT310" s="6"/>
      <c r="ADU310" s="6"/>
      <c r="ADV310" s="6"/>
      <c r="ADW310" s="6"/>
      <c r="ADX310" s="6"/>
      <c r="ADY310" s="6"/>
      <c r="ADZ310" s="6"/>
      <c r="AEA310" s="6"/>
      <c r="AEB310" s="6"/>
      <c r="AEC310" s="6"/>
      <c r="AED310" s="6"/>
      <c r="AEE310" s="6"/>
      <c r="AEF310" s="6"/>
      <c r="AEG310" s="6"/>
      <c r="AEH310" s="6"/>
      <c r="AEI310" s="6"/>
      <c r="AEJ310" s="6"/>
      <c r="AEK310" s="6"/>
      <c r="AEL310" s="6"/>
      <c r="AEM310" s="6"/>
      <c r="AEN310" s="6"/>
      <c r="AEO310" s="6"/>
      <c r="AEP310" s="6"/>
      <c r="AEQ310" s="6"/>
      <c r="AER310" s="6"/>
      <c r="AES310" s="6"/>
      <c r="AET310" s="6"/>
      <c r="AEU310" s="6"/>
      <c r="AEV310" s="6"/>
      <c r="AEW310" s="6"/>
      <c r="AEX310" s="6"/>
      <c r="AEY310" s="6"/>
      <c r="AEZ310" s="6"/>
      <c r="AFA310" s="6"/>
      <c r="AFB310" s="6"/>
      <c r="AFC310" s="6"/>
      <c r="AFD310" s="6"/>
      <c r="AFE310" s="6"/>
      <c r="AFF310" s="6"/>
      <c r="AFG310" s="6"/>
      <c r="AFH310" s="6"/>
      <c r="AFI310" s="6"/>
      <c r="AFJ310" s="6"/>
      <c r="AFK310" s="6"/>
      <c r="AFL310" s="6"/>
      <c r="AFM310" s="6"/>
      <c r="AFN310" s="6"/>
      <c r="AFO310" s="6"/>
      <c r="AFP310" s="6"/>
      <c r="AFQ310" s="6"/>
      <c r="AFR310" s="6"/>
      <c r="AFS310" s="6"/>
      <c r="AFT310" s="6"/>
      <c r="AFU310" s="6"/>
      <c r="AFV310" s="6"/>
      <c r="AFW310" s="6"/>
      <c r="AFX310" s="6"/>
      <c r="AFY310" s="6"/>
      <c r="AFZ310" s="6"/>
      <c r="AGA310" s="6"/>
      <c r="AGB310" s="6"/>
      <c r="AGC310" s="6"/>
      <c r="AGD310" s="6"/>
      <c r="AGE310" s="6"/>
      <c r="AGF310" s="6"/>
      <c r="AGG310" s="6"/>
      <c r="AGH310" s="6"/>
      <c r="AGI310" s="6"/>
      <c r="AGJ310" s="6"/>
      <c r="AGK310" s="6"/>
      <c r="AGL310" s="6"/>
      <c r="AGM310" s="6"/>
      <c r="AGN310" s="6"/>
      <c r="AGO310" s="6"/>
      <c r="AGP310" s="6"/>
      <c r="AGQ310" s="6"/>
      <c r="AGR310" s="6"/>
      <c r="AGS310" s="6"/>
      <c r="AGT310" s="6"/>
      <c r="AGU310" s="6"/>
      <c r="AGV310" s="6"/>
      <c r="AGW310" s="6"/>
      <c r="AGX310" s="6"/>
      <c r="AGY310" s="6"/>
      <c r="AGZ310" s="6"/>
      <c r="AHA310" s="6"/>
      <c r="AHB310" s="6"/>
      <c r="AHC310" s="6"/>
      <c r="AHD310" s="6"/>
      <c r="AHE310" s="6"/>
      <c r="AHF310" s="6"/>
      <c r="AHG310" s="6"/>
      <c r="AHH310" s="6"/>
      <c r="AHI310" s="6"/>
      <c r="AHJ310" s="6"/>
      <c r="AHK310" s="6"/>
      <c r="AHL310" s="6"/>
      <c r="AHM310" s="6"/>
      <c r="AHN310" s="6"/>
      <c r="AHO310" s="6"/>
      <c r="AHP310" s="6"/>
      <c r="AHQ310" s="6"/>
      <c r="AHR310" s="6"/>
      <c r="AHS310" s="6"/>
      <c r="AHT310" s="6"/>
      <c r="AHU310" s="6"/>
      <c r="AHV310" s="6"/>
      <c r="AHW310" s="6"/>
      <c r="AHX310" s="6"/>
      <c r="AHY310" s="6"/>
      <c r="AHZ310" s="6"/>
      <c r="AIA310" s="6"/>
      <c r="AIB310" s="6"/>
      <c r="AIC310" s="6"/>
      <c r="AID310" s="6"/>
      <c r="AIE310" s="6"/>
      <c r="AIF310" s="6"/>
      <c r="AIG310" s="6"/>
      <c r="AIH310" s="6"/>
      <c r="AII310" s="6"/>
      <c r="AIJ310" s="6"/>
      <c r="AIK310" s="6"/>
      <c r="AIL310" s="6"/>
      <c r="AIM310" s="6"/>
      <c r="AIN310" s="6"/>
      <c r="AIO310" s="6"/>
      <c r="AIP310" s="6"/>
      <c r="AIQ310" s="6"/>
      <c r="AIR310" s="6"/>
      <c r="AIS310" s="6"/>
      <c r="AIT310" s="6"/>
      <c r="AIU310" s="6"/>
      <c r="AIV310" s="6"/>
      <c r="AIW310" s="6"/>
      <c r="AIX310" s="6"/>
      <c r="AIY310" s="6"/>
      <c r="AIZ310" s="6"/>
      <c r="AJA310" s="6"/>
      <c r="AJB310" s="6"/>
      <c r="AJC310" s="6"/>
      <c r="AJD310" s="6"/>
      <c r="AJE310" s="6"/>
      <c r="AJF310" s="6"/>
      <c r="AJG310" s="6"/>
      <c r="AJH310" s="6"/>
      <c r="AJI310" s="6"/>
      <c r="AJJ310" s="6"/>
      <c r="AJK310" s="6"/>
      <c r="AJL310" s="6"/>
      <c r="AJM310" s="6"/>
      <c r="AJN310" s="6"/>
      <c r="AJO310" s="6"/>
      <c r="AJP310" s="6"/>
      <c r="AJQ310" s="6"/>
      <c r="AJR310" s="6"/>
      <c r="AJS310" s="6"/>
      <c r="AJT310" s="6"/>
      <c r="AJU310" s="6"/>
      <c r="AJV310" s="6"/>
      <c r="AJW310" s="6"/>
      <c r="AJX310" s="6"/>
      <c r="AJY310" s="6"/>
      <c r="AJZ310" s="6"/>
      <c r="AKA310" s="6"/>
      <c r="AKB310" s="6"/>
      <c r="AKC310" s="6"/>
      <c r="AKD310" s="6"/>
      <c r="AKE310" s="6"/>
      <c r="AKF310" s="6"/>
      <c r="AKG310" s="6"/>
      <c r="AKH310" s="6"/>
      <c r="AKI310" s="6"/>
      <c r="AKJ310" s="6"/>
      <c r="AKK310" s="6"/>
      <c r="AKL310" s="6"/>
      <c r="AKM310" s="6"/>
      <c r="AKN310" s="6"/>
      <c r="AKO310" s="6"/>
      <c r="AKP310" s="6"/>
      <c r="AKQ310" s="6"/>
      <c r="AKR310" s="6"/>
      <c r="AKS310" s="6"/>
      <c r="AKT310" s="6"/>
      <c r="AKU310" s="6"/>
      <c r="AKV310" s="6"/>
      <c r="AKW310" s="6"/>
      <c r="AKX310" s="6"/>
      <c r="AKY310" s="6"/>
      <c r="AKZ310" s="6"/>
      <c r="ALA310" s="6"/>
      <c r="ALB310" s="6"/>
      <c r="ALC310" s="6"/>
      <c r="ALD310" s="6"/>
      <c r="ALE310" s="6"/>
      <c r="ALF310" s="6"/>
      <c r="ALG310" s="6"/>
      <c r="ALH310" s="6"/>
      <c r="ALI310" s="6"/>
      <c r="ALJ310" s="6"/>
      <c r="ALK310" s="6"/>
      <c r="ALL310" s="6"/>
      <c r="ALM310" s="6"/>
      <c r="ALN310" s="6"/>
      <c r="ALO310" s="6"/>
      <c r="ALP310" s="6"/>
      <c r="ALQ310" s="6"/>
      <c r="ALR310" s="6"/>
      <c r="ALS310" s="6"/>
      <c r="ALT310" s="6"/>
      <c r="ALU310" s="6"/>
      <c r="ALV310" s="6"/>
      <c r="ALW310" s="6"/>
      <c r="ALX310" s="6"/>
      <c r="ALY310" s="6"/>
      <c r="ALZ310" s="6"/>
      <c r="AMA310" s="6"/>
      <c r="AMB310" s="6"/>
      <c r="AMC310" s="6"/>
      <c r="AMD310" s="6"/>
      <c r="AME310" s="6"/>
      <c r="AMF310" s="6"/>
      <c r="AMG310" s="6"/>
      <c r="AMH310" s="6"/>
      <c r="AMI310" s="6"/>
      <c r="AMJ310" s="6"/>
      <c r="AMK310" s="6"/>
      <c r="AML310" s="6"/>
      <c r="AMM310" s="6"/>
      <c r="AMN310" s="6"/>
      <c r="AMO310" s="6"/>
      <c r="AMP310" s="6"/>
    </row>
    <row r="311" spans="1:1030" x14ac:dyDescent="0.2">
      <c r="A311" s="9" t="str">
        <f t="shared" si="1733"/>
        <v>q80km9_hcmv_5WB2</v>
      </c>
      <c r="B311" s="40" t="s">
        <v>1508</v>
      </c>
      <c r="C311" s="9" t="s">
        <v>1511</v>
      </c>
      <c r="D311" s="9" t="str">
        <f>IFERROR(MID(VLOOKUP($B311,Seqs!$A:$B,2,0),E311,1),"")</f>
        <v>F</v>
      </c>
      <c r="E311" s="9">
        <v>25</v>
      </c>
      <c r="F311" s="9" t="str">
        <f>IFERROR(MID(VLOOKUP($B311,Seqs!$A:$B,2,0),G311,1),"")</f>
        <v>W</v>
      </c>
      <c r="G311" s="9">
        <v>60</v>
      </c>
      <c r="H311" s="9" t="str">
        <f>IFERROR(MID(VLOOKUP($B311,Seqs!$A:$B,2,0),I311,1),"")</f>
        <v/>
      </c>
      <c r="I311" s="109" t="s">
        <v>23</v>
      </c>
      <c r="J311" s="9" t="str">
        <f>IFERROR(MID(VLOOKUP($B311,Seqs!$A:$B,2,0),K311,1),"")</f>
        <v/>
      </c>
      <c r="K311" s="109" t="s">
        <v>23</v>
      </c>
      <c r="L311" s="9" t="str">
        <f>IFERROR(MID(VLOOKUP($B311,Seqs!$A:$B,2,0),M311,1),"")</f>
        <v>C</v>
      </c>
      <c r="M311" s="9">
        <v>66</v>
      </c>
      <c r="N311" s="9" t="str">
        <f>IFERROR(MID(VLOOKUP($B311,Seqs!$A:$B,2,0),O311,1),"")</f>
        <v>D</v>
      </c>
      <c r="O311" s="9">
        <v>95</v>
      </c>
      <c r="P311" s="9" t="str">
        <f>IFERROR(MID(VLOOKUP($B311,Seqs!$A:$B,2,0),Q311,1),"")</f>
        <v/>
      </c>
      <c r="Q311" s="9" t="s">
        <v>23</v>
      </c>
      <c r="R311" s="9" t="str">
        <f>IFERROR(MID(VLOOKUP($B311,Seqs!$A:$B,2,0),S311,1),"")</f>
        <v/>
      </c>
      <c r="S311" s="9" t="s">
        <v>23</v>
      </c>
      <c r="T311" s="9" t="str">
        <f>IFERROR(MID(VLOOKUP($B311,Seqs!$A:$B,2,0),U311,1),"")</f>
        <v>A</v>
      </c>
      <c r="U311" s="9">
        <v>100</v>
      </c>
      <c r="V311" s="9" t="str">
        <f>IFERROR(MID(VLOOKUP($B311,Seqs!$A:$B,2,0),W311,1),"")</f>
        <v>V</v>
      </c>
      <c r="W311" s="9">
        <v>134</v>
      </c>
      <c r="X311" s="9" t="str">
        <f>IFERROR(MID(VLOOKUP($B311,Seqs!$A:$B,2,0),Y311,1),"")</f>
        <v/>
      </c>
      <c r="Y311" s="9" t="s">
        <v>23</v>
      </c>
      <c r="Z311" s="9" t="str">
        <f>IFERROR(MID(VLOOKUP($B311,Seqs!$A:$B,2,0),AA311,1),"")</f>
        <v/>
      </c>
      <c r="AA311" s="9" t="s">
        <v>23</v>
      </c>
      <c r="AB311" s="9" t="str">
        <f>IFERROR(MID(VLOOKUP($B311,Seqs!$A:$B,2,0),AC311,1),"")</f>
        <v>P</v>
      </c>
      <c r="AC311" s="9">
        <v>140</v>
      </c>
      <c r="AD311" s="9" t="str">
        <f>IFERROR(MID(VLOOKUP($B311,Seqs!$A:$B,2,0),AE311,1),"")</f>
        <v>M</v>
      </c>
      <c r="AE311" s="9">
        <v>164</v>
      </c>
      <c r="AF311" s="9" t="str">
        <f>IFERROR(MID(VLOOKUP($B311,Seqs!$A:$B,2,0),AG311,1),"")</f>
        <v>C</v>
      </c>
      <c r="AG311" s="9">
        <v>173</v>
      </c>
      <c r="AH311" s="9" t="str">
        <f>IFERROR(MID(VLOOKUP($B311,Seqs!$A:$B,2,0),AI311,1),"")</f>
        <v>T</v>
      </c>
      <c r="AI311" s="9">
        <v>175</v>
      </c>
      <c r="AJ311" s="9" t="str">
        <f>IFERROR(MID(VLOOKUP($B311,Seqs!$A:$B,2,0),AK311,1),"")</f>
        <v>S</v>
      </c>
      <c r="AK311" s="9">
        <v>183</v>
      </c>
      <c r="AL311" s="9" t="str">
        <f>IFERROR(MID(VLOOKUP($B311,Seqs!$A:$B,2,0),AM311,1),"")</f>
        <v>S</v>
      </c>
      <c r="AM311" s="9">
        <v>218</v>
      </c>
      <c r="AN311" s="9" t="str">
        <f>IFERROR(MID(VLOOKUP($B311,Seqs!$A:$B,2,0),AO311,1),"")</f>
        <v>H</v>
      </c>
      <c r="AO311" s="9">
        <v>222</v>
      </c>
      <c r="AP311" s="9" t="str">
        <f>IFERROR(MID(VLOOKUP($B311,Seqs!$A:$B,2,0),AQ311,1),"")</f>
        <v>K</v>
      </c>
      <c r="AQ311" s="9">
        <v>257</v>
      </c>
      <c r="AR311" s="9" t="str">
        <f>IFERROR(MID(VLOOKUP($B311,Seqs!$A:$B,2,0),AS311,1),"")</f>
        <v>S</v>
      </c>
      <c r="AS311" s="9">
        <v>262</v>
      </c>
      <c r="AT311" s="9" t="str">
        <f>IFERROR(MID(VLOOKUP($B311,Seqs!$A:$B,2,0),AU311,1),"")</f>
        <v>V</v>
      </c>
      <c r="AU311" s="9">
        <v>294</v>
      </c>
      <c r="AV311" s="9" t="str">
        <f>IFERROR(MID(VLOOKUP($B311,Seqs!$A:$B,2,0),AW311,1),"")</f>
        <v>G</v>
      </c>
      <c r="AW311" s="9">
        <v>295</v>
      </c>
      <c r="AX311" s="9" t="str">
        <f>IFERROR(MID(VLOOKUP($B311,Seqs!$A:$B,2,0),AY311,1),"")</f>
        <v>A</v>
      </c>
      <c r="AY311" s="9">
        <v>307</v>
      </c>
      <c r="AZ311" s="110" t="str">
        <f>VLOOKUP(B311,Classification!A:D,2,0)</f>
        <v>A</v>
      </c>
      <c r="BA311" s="98" t="str">
        <f>VLOOKUP(B311,Classification!A:D,4,0)</f>
        <v>Chemokine</v>
      </c>
      <c r="BB311" s="36" t="b">
        <f t="shared" si="1706"/>
        <v>1</v>
      </c>
      <c r="BC311" s="109">
        <f t="shared" si="1707"/>
        <v>250</v>
      </c>
      <c r="BD311" s="11" t="s">
        <v>23</v>
      </c>
      <c r="BE311" s="9" t="s">
        <v>1292</v>
      </c>
      <c r="BF311" s="120">
        <v>3.5</v>
      </c>
      <c r="BG311" s="51" t="s">
        <v>1</v>
      </c>
      <c r="BH311" s="51" t="s">
        <v>1</v>
      </c>
      <c r="BI311" s="12"/>
      <c r="BJ311" s="111" t="s">
        <v>1288</v>
      </c>
      <c r="BK311" s="112" t="s">
        <v>1288</v>
      </c>
      <c r="BL311" s="112" t="s">
        <v>1288</v>
      </c>
      <c r="BM311" s="112" t="s">
        <v>1288</v>
      </c>
      <c r="BN311" s="112" t="s">
        <v>1288</v>
      </c>
      <c r="BO311" s="112" t="s">
        <v>1288</v>
      </c>
      <c r="BP311" s="112" t="s">
        <v>1288</v>
      </c>
      <c r="BQ311" s="112" t="s">
        <v>1288</v>
      </c>
      <c r="BR311" s="112" t="s">
        <v>1288</v>
      </c>
      <c r="BS311" s="112" t="s">
        <v>1288</v>
      </c>
      <c r="BT311" s="112" t="s">
        <v>1288</v>
      </c>
      <c r="BU311" s="112" t="s">
        <v>1288</v>
      </c>
      <c r="BV311" s="111">
        <f t="shared" si="1708"/>
        <v>25</v>
      </c>
      <c r="BW311" s="113" t="str">
        <f t="shared" si="1709"/>
        <v>-</v>
      </c>
      <c r="BX311" s="114">
        <f t="shared" si="1710"/>
        <v>66</v>
      </c>
      <c r="BY311" s="113" t="str">
        <f t="shared" si="1711"/>
        <v>-</v>
      </c>
      <c r="BZ311" s="114">
        <f t="shared" si="1712"/>
        <v>100</v>
      </c>
      <c r="CA311" s="113" t="str">
        <f t="shared" si="1713"/>
        <v>-</v>
      </c>
      <c r="CB311" s="114">
        <f t="shared" si="1714"/>
        <v>140</v>
      </c>
      <c r="CC311" s="113">
        <f t="shared" si="1715"/>
        <v>173</v>
      </c>
      <c r="CD311" s="114">
        <f t="shared" si="1716"/>
        <v>183</v>
      </c>
      <c r="CE311" s="113">
        <f t="shared" si="1717"/>
        <v>222</v>
      </c>
      <c r="CF311" s="114">
        <f t="shared" si="1718"/>
        <v>262</v>
      </c>
      <c r="CG311" s="113">
        <f t="shared" si="1719"/>
        <v>295</v>
      </c>
      <c r="CH311" s="111">
        <f t="shared" si="1720"/>
        <v>60</v>
      </c>
      <c r="CI311" s="113" t="str">
        <f t="shared" si="1721"/>
        <v>-</v>
      </c>
      <c r="CJ311" s="114">
        <f t="shared" si="1722"/>
        <v>95</v>
      </c>
      <c r="CK311" s="114" t="str">
        <f t="shared" si="1723"/>
        <v>-</v>
      </c>
      <c r="CL311" s="114">
        <f t="shared" si="1724"/>
        <v>134</v>
      </c>
      <c r="CM311" s="114" t="str">
        <f t="shared" si="1725"/>
        <v>-</v>
      </c>
      <c r="CN311" s="114">
        <f t="shared" si="1726"/>
        <v>164</v>
      </c>
      <c r="CO311" s="114">
        <f t="shared" si="1727"/>
        <v>175</v>
      </c>
      <c r="CP311" s="114">
        <f t="shared" si="1728"/>
        <v>218</v>
      </c>
      <c r="CQ311" s="114">
        <f t="shared" si="1729"/>
        <v>257</v>
      </c>
      <c r="CR311" s="114">
        <f t="shared" si="1730"/>
        <v>294</v>
      </c>
      <c r="CS311" s="114">
        <f t="shared" si="1731"/>
        <v>307</v>
      </c>
      <c r="CT311" s="109" t="e">
        <f t="shared" si="1732"/>
        <v>#VALUE!</v>
      </c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  <c r="DS311" s="6"/>
      <c r="DT311" s="6"/>
      <c r="DU311" s="6"/>
      <c r="DV311" s="6"/>
      <c r="DW311" s="6"/>
      <c r="DX311" s="6"/>
      <c r="DY311" s="6"/>
      <c r="DZ311" s="6"/>
      <c r="EA311" s="6"/>
      <c r="EB311" s="6"/>
      <c r="EC311" s="6"/>
      <c r="ED311" s="6"/>
      <c r="EE311" s="6"/>
      <c r="EF311" s="6"/>
      <c r="EG311" s="6"/>
      <c r="EH311" s="6"/>
      <c r="EI311" s="6"/>
      <c r="EJ311" s="6"/>
      <c r="EK311" s="6"/>
      <c r="EL311" s="6"/>
      <c r="EM311" s="6"/>
      <c r="EN311" s="6"/>
      <c r="EO311" s="6"/>
      <c r="EP311" s="6"/>
      <c r="EQ311" s="6"/>
      <c r="ER311" s="6"/>
      <c r="ES311" s="6"/>
      <c r="ET311" s="6"/>
      <c r="EU311" s="6"/>
      <c r="EV311" s="6"/>
      <c r="EW311" s="6"/>
      <c r="EX311" s="6"/>
      <c r="EY311" s="6"/>
      <c r="EZ311" s="6"/>
      <c r="FA311" s="6"/>
      <c r="FB311" s="6"/>
      <c r="FC311" s="6"/>
      <c r="FD311" s="6"/>
      <c r="FE311" s="6"/>
      <c r="FF311" s="6"/>
      <c r="FG311" s="6"/>
      <c r="FH311" s="6"/>
      <c r="FI311" s="6"/>
      <c r="FJ311" s="6"/>
      <c r="FK311" s="6"/>
      <c r="FL311" s="6"/>
      <c r="FM311" s="6"/>
      <c r="FN311" s="6"/>
      <c r="FO311" s="6"/>
      <c r="FP311" s="6"/>
      <c r="FQ311" s="6"/>
      <c r="FR311" s="6"/>
      <c r="FS311" s="6"/>
      <c r="FT311" s="6"/>
      <c r="FU311" s="6"/>
      <c r="FV311" s="6"/>
      <c r="FW311" s="6"/>
      <c r="FX311" s="6"/>
      <c r="FY311" s="6"/>
      <c r="FZ311" s="6"/>
      <c r="GA311" s="6"/>
      <c r="GB311" s="6"/>
      <c r="GC311" s="6"/>
      <c r="GD311" s="6"/>
      <c r="GE311" s="6"/>
      <c r="GF311" s="6"/>
      <c r="GG311" s="6"/>
      <c r="GH311" s="6"/>
      <c r="GI311" s="6"/>
      <c r="GJ311" s="6"/>
      <c r="GK311" s="6"/>
      <c r="GL311" s="6"/>
      <c r="GM311" s="6"/>
      <c r="GN311" s="6"/>
      <c r="GO311" s="6"/>
      <c r="GP311" s="6"/>
      <c r="GQ311" s="6"/>
      <c r="GR311" s="6"/>
      <c r="GS311" s="6"/>
      <c r="GT311" s="6"/>
      <c r="GU311" s="6"/>
      <c r="GV311" s="6"/>
      <c r="GW311" s="6"/>
      <c r="GX311" s="6"/>
      <c r="GY311" s="6"/>
      <c r="GZ311" s="6"/>
      <c r="HA311" s="6"/>
      <c r="HB311" s="6"/>
      <c r="HC311" s="6"/>
      <c r="HD311" s="6"/>
      <c r="HE311" s="6"/>
      <c r="HF311" s="6"/>
      <c r="HG311" s="6"/>
      <c r="HH311" s="6"/>
      <c r="HI311" s="6"/>
      <c r="HJ311" s="6"/>
      <c r="HK311" s="6"/>
      <c r="HL311" s="6"/>
      <c r="HM311" s="6"/>
      <c r="HN311" s="6"/>
      <c r="HO311" s="6"/>
      <c r="HP311" s="6"/>
      <c r="HQ311" s="6"/>
      <c r="HR311" s="6"/>
      <c r="HS311" s="6"/>
      <c r="HT311" s="6"/>
      <c r="HU311" s="6"/>
      <c r="HV311" s="6"/>
      <c r="HW311" s="6"/>
      <c r="HX311" s="6"/>
      <c r="HY311" s="6"/>
      <c r="HZ311" s="6"/>
      <c r="IA311" s="6"/>
      <c r="IB311" s="6"/>
      <c r="IC311" s="6"/>
      <c r="ID311" s="6"/>
      <c r="IE311" s="6"/>
      <c r="IF311" s="6"/>
      <c r="IG311" s="6"/>
      <c r="IH311" s="6"/>
      <c r="II311" s="6"/>
      <c r="IJ311" s="6"/>
      <c r="IK311" s="6"/>
      <c r="IL311" s="6"/>
      <c r="IM311" s="6"/>
      <c r="IN311" s="6"/>
      <c r="IO311" s="6"/>
      <c r="IP311" s="6"/>
      <c r="IQ311" s="6"/>
      <c r="IR311" s="6"/>
      <c r="IS311" s="6"/>
      <c r="IT311" s="6"/>
      <c r="IU311" s="6"/>
      <c r="IV311" s="6"/>
      <c r="IW311" s="6"/>
      <c r="IX311" s="6"/>
      <c r="IY311" s="6"/>
      <c r="IZ311" s="6"/>
      <c r="JA311" s="6"/>
      <c r="JB311" s="6"/>
      <c r="JC311" s="6"/>
      <c r="JD311" s="6"/>
      <c r="JE311" s="6"/>
      <c r="JF311" s="6"/>
      <c r="JG311" s="6"/>
      <c r="JH311" s="6"/>
      <c r="JI311" s="6"/>
      <c r="JJ311" s="6"/>
      <c r="JK311" s="6"/>
      <c r="JL311" s="6"/>
      <c r="JM311" s="6"/>
      <c r="JN311" s="6"/>
      <c r="JO311" s="6"/>
      <c r="JP311" s="6"/>
      <c r="JQ311" s="6"/>
      <c r="JR311" s="6"/>
      <c r="JS311" s="6"/>
      <c r="JT311" s="6"/>
      <c r="JU311" s="6"/>
      <c r="JV311" s="6"/>
      <c r="JW311" s="6"/>
      <c r="JX311" s="6"/>
      <c r="JY311" s="6"/>
      <c r="JZ311" s="6"/>
      <c r="KA311" s="6"/>
      <c r="KB311" s="6"/>
      <c r="KC311" s="6"/>
      <c r="KD311" s="6"/>
      <c r="KE311" s="6"/>
      <c r="KF311" s="6"/>
      <c r="KG311" s="6"/>
      <c r="KH311" s="6"/>
      <c r="KI311" s="6"/>
      <c r="KJ311" s="6"/>
      <c r="KK311" s="6"/>
      <c r="KL311" s="6"/>
      <c r="KM311" s="6"/>
      <c r="KN311" s="6"/>
      <c r="KO311" s="6"/>
      <c r="KP311" s="6"/>
      <c r="KQ311" s="6"/>
      <c r="KR311" s="6"/>
      <c r="KS311" s="6"/>
      <c r="KT311" s="6"/>
      <c r="KU311" s="6"/>
      <c r="KV311" s="6"/>
      <c r="KW311" s="6"/>
      <c r="KX311" s="6"/>
      <c r="KY311" s="6"/>
      <c r="KZ311" s="6"/>
      <c r="LA311" s="6"/>
      <c r="LB311" s="6"/>
      <c r="LC311" s="6"/>
      <c r="LD311" s="6"/>
      <c r="LE311" s="6"/>
      <c r="LF311" s="6"/>
      <c r="LG311" s="6"/>
      <c r="LH311" s="6"/>
      <c r="LI311" s="6"/>
      <c r="LJ311" s="6"/>
      <c r="LK311" s="6"/>
      <c r="LL311" s="6"/>
      <c r="LM311" s="6"/>
      <c r="LN311" s="6"/>
      <c r="LO311" s="6"/>
      <c r="LP311" s="6"/>
      <c r="LQ311" s="6"/>
      <c r="LR311" s="6"/>
      <c r="LS311" s="6"/>
      <c r="LT311" s="6"/>
      <c r="LU311" s="6"/>
      <c r="LV311" s="6"/>
      <c r="LW311" s="6"/>
      <c r="LX311" s="6"/>
      <c r="LY311" s="6"/>
      <c r="LZ311" s="6"/>
      <c r="MA311" s="6"/>
      <c r="MB311" s="6"/>
      <c r="MC311" s="6"/>
      <c r="MD311" s="6"/>
      <c r="ME311" s="6"/>
      <c r="MF311" s="6"/>
      <c r="MG311" s="6"/>
      <c r="MH311" s="6"/>
      <c r="MI311" s="6"/>
      <c r="MJ311" s="6"/>
      <c r="MK311" s="6"/>
      <c r="ML311" s="6"/>
      <c r="MM311" s="6"/>
      <c r="MN311" s="6"/>
      <c r="MO311" s="6"/>
      <c r="MP311" s="6"/>
      <c r="MQ311" s="6"/>
      <c r="MR311" s="6"/>
      <c r="MS311" s="6"/>
      <c r="MT311" s="6"/>
      <c r="MU311" s="6"/>
      <c r="MV311" s="6"/>
      <c r="MW311" s="6"/>
      <c r="MX311" s="6"/>
      <c r="MY311" s="6"/>
      <c r="MZ311" s="6"/>
      <c r="NA311" s="6"/>
      <c r="NB311" s="6"/>
      <c r="NC311" s="6"/>
      <c r="ND311" s="6"/>
      <c r="NE311" s="6"/>
      <c r="NF311" s="6"/>
      <c r="NG311" s="6"/>
      <c r="NH311" s="6"/>
      <c r="NI311" s="6"/>
      <c r="NJ311" s="6"/>
      <c r="NK311" s="6"/>
      <c r="NL311" s="6"/>
      <c r="NM311" s="6"/>
      <c r="NN311" s="6"/>
      <c r="NO311" s="6"/>
      <c r="NP311" s="6"/>
      <c r="NQ311" s="6"/>
      <c r="NR311" s="6"/>
      <c r="NS311" s="6"/>
      <c r="NT311" s="6"/>
      <c r="NU311" s="6"/>
      <c r="NV311" s="6"/>
      <c r="NW311" s="6"/>
      <c r="NX311" s="6"/>
      <c r="NY311" s="6"/>
      <c r="NZ311" s="6"/>
      <c r="OA311" s="6"/>
      <c r="OB311" s="6"/>
      <c r="OC311" s="6"/>
      <c r="OD311" s="6"/>
      <c r="OE311" s="6"/>
      <c r="OF311" s="6"/>
      <c r="OG311" s="6"/>
      <c r="OH311" s="6"/>
      <c r="OI311" s="6"/>
      <c r="OJ311" s="6"/>
      <c r="OK311" s="6"/>
      <c r="OL311" s="6"/>
      <c r="OM311" s="6"/>
      <c r="ON311" s="6"/>
      <c r="OO311" s="6"/>
      <c r="OP311" s="6"/>
      <c r="OQ311" s="6"/>
      <c r="OR311" s="6"/>
      <c r="OS311" s="6"/>
      <c r="OT311" s="6"/>
      <c r="OU311" s="6"/>
      <c r="OV311" s="6"/>
      <c r="OW311" s="6"/>
      <c r="OX311" s="6"/>
      <c r="OY311" s="6"/>
      <c r="OZ311" s="6"/>
      <c r="PA311" s="6"/>
      <c r="PB311" s="6"/>
      <c r="PC311" s="6"/>
      <c r="PD311" s="6"/>
      <c r="PE311" s="6"/>
      <c r="PF311" s="6"/>
      <c r="PG311" s="6"/>
      <c r="PH311" s="6"/>
      <c r="PI311" s="6"/>
      <c r="PJ311" s="6"/>
      <c r="PK311" s="6"/>
      <c r="PL311" s="6"/>
      <c r="PM311" s="6"/>
      <c r="PN311" s="6"/>
      <c r="PO311" s="6"/>
      <c r="PP311" s="6"/>
      <c r="PQ311" s="6"/>
      <c r="PR311" s="6"/>
      <c r="PS311" s="6"/>
      <c r="PT311" s="6"/>
      <c r="PU311" s="6"/>
      <c r="PV311" s="6"/>
      <c r="PW311" s="6"/>
      <c r="PX311" s="6"/>
      <c r="PY311" s="6"/>
      <c r="PZ311" s="6"/>
      <c r="QA311" s="6"/>
      <c r="QB311" s="6"/>
      <c r="QC311" s="6"/>
      <c r="QD311" s="6"/>
      <c r="QE311" s="6"/>
      <c r="QF311" s="6"/>
      <c r="QG311" s="6"/>
      <c r="QH311" s="6"/>
      <c r="QI311" s="6"/>
      <c r="QJ311" s="6"/>
      <c r="QK311" s="6"/>
      <c r="QL311" s="6"/>
      <c r="QM311" s="6"/>
      <c r="QN311" s="6"/>
      <c r="QO311" s="6"/>
      <c r="QP311" s="6"/>
      <c r="QQ311" s="6"/>
      <c r="QR311" s="6"/>
      <c r="QS311" s="6"/>
      <c r="QT311" s="6"/>
      <c r="QU311" s="6"/>
      <c r="QV311" s="6"/>
      <c r="QW311" s="6"/>
      <c r="QX311" s="6"/>
      <c r="QY311" s="6"/>
      <c r="QZ311" s="6"/>
      <c r="RA311" s="6"/>
      <c r="RB311" s="6"/>
      <c r="RC311" s="6"/>
      <c r="RD311" s="6"/>
      <c r="RE311" s="6"/>
      <c r="RF311" s="6"/>
      <c r="RG311" s="6"/>
      <c r="RH311" s="6"/>
      <c r="RI311" s="6"/>
      <c r="RJ311" s="6"/>
      <c r="RK311" s="6"/>
      <c r="RL311" s="6"/>
      <c r="RM311" s="6"/>
      <c r="RN311" s="6"/>
      <c r="RO311" s="6"/>
      <c r="RP311" s="6"/>
      <c r="RQ311" s="6"/>
      <c r="RR311" s="6"/>
      <c r="RS311" s="6"/>
      <c r="RT311" s="6"/>
      <c r="RU311" s="6"/>
      <c r="RV311" s="6"/>
      <c r="RW311" s="6"/>
      <c r="RX311" s="6"/>
      <c r="RY311" s="6"/>
      <c r="RZ311" s="6"/>
      <c r="SA311" s="6"/>
      <c r="SB311" s="6"/>
      <c r="SC311" s="6"/>
      <c r="SD311" s="6"/>
      <c r="SE311" s="6"/>
      <c r="SF311" s="6"/>
      <c r="SG311" s="6"/>
      <c r="SH311" s="6"/>
      <c r="SI311" s="6"/>
      <c r="SJ311" s="6"/>
      <c r="SK311" s="6"/>
      <c r="SL311" s="6"/>
      <c r="SM311" s="6"/>
      <c r="SN311" s="6"/>
      <c r="SO311" s="6"/>
      <c r="SP311" s="6"/>
      <c r="SQ311" s="6"/>
      <c r="SR311" s="6"/>
      <c r="SS311" s="6"/>
      <c r="ST311" s="6"/>
      <c r="SU311" s="6"/>
      <c r="SV311" s="6"/>
      <c r="SW311" s="6"/>
      <c r="SX311" s="6"/>
      <c r="SY311" s="6"/>
      <c r="SZ311" s="6"/>
      <c r="TA311" s="6"/>
      <c r="TB311" s="6"/>
      <c r="TC311" s="6"/>
      <c r="TD311" s="6"/>
      <c r="TE311" s="6"/>
      <c r="TF311" s="6"/>
      <c r="TG311" s="6"/>
      <c r="TH311" s="6"/>
      <c r="TI311" s="6"/>
      <c r="TJ311" s="6"/>
      <c r="TK311" s="6"/>
      <c r="TL311" s="6"/>
      <c r="TM311" s="6"/>
      <c r="TN311" s="6"/>
      <c r="TO311" s="6"/>
      <c r="TP311" s="6"/>
      <c r="TQ311" s="6"/>
      <c r="TR311" s="6"/>
      <c r="TS311" s="6"/>
      <c r="TT311" s="6"/>
      <c r="TU311" s="6"/>
      <c r="TV311" s="6"/>
      <c r="TW311" s="6"/>
      <c r="TX311" s="6"/>
      <c r="TY311" s="6"/>
      <c r="TZ311" s="6"/>
      <c r="UA311" s="6"/>
      <c r="UB311" s="6"/>
      <c r="UC311" s="6"/>
      <c r="UD311" s="6"/>
      <c r="UE311" s="6"/>
      <c r="UF311" s="6"/>
      <c r="UG311" s="6"/>
      <c r="UH311" s="6"/>
      <c r="UI311" s="6"/>
      <c r="UJ311" s="6"/>
      <c r="UK311" s="6"/>
      <c r="UL311" s="6"/>
      <c r="UM311" s="6"/>
      <c r="UN311" s="6"/>
      <c r="UO311" s="6"/>
      <c r="UP311" s="6"/>
      <c r="UQ311" s="6"/>
      <c r="UR311" s="6"/>
      <c r="US311" s="6"/>
      <c r="UT311" s="6"/>
      <c r="UU311" s="6"/>
      <c r="UV311" s="6"/>
      <c r="UW311" s="6"/>
      <c r="UX311" s="6"/>
      <c r="UY311" s="6"/>
      <c r="UZ311" s="6"/>
      <c r="VA311" s="6"/>
      <c r="VB311" s="6"/>
      <c r="VC311" s="6"/>
      <c r="VD311" s="6"/>
      <c r="VE311" s="6"/>
      <c r="VF311" s="6"/>
      <c r="VG311" s="6"/>
      <c r="VH311" s="6"/>
      <c r="VI311" s="6"/>
      <c r="VJ311" s="6"/>
      <c r="VK311" s="6"/>
      <c r="VL311" s="6"/>
      <c r="VM311" s="6"/>
      <c r="VN311" s="6"/>
      <c r="VO311" s="6"/>
      <c r="VP311" s="6"/>
      <c r="VQ311" s="6"/>
      <c r="VR311" s="6"/>
      <c r="VS311" s="6"/>
      <c r="VT311" s="6"/>
      <c r="VU311" s="6"/>
      <c r="VV311" s="6"/>
      <c r="VW311" s="6"/>
      <c r="VX311" s="6"/>
      <c r="VY311" s="6"/>
      <c r="VZ311" s="6"/>
      <c r="WA311" s="6"/>
      <c r="WB311" s="6"/>
      <c r="WC311" s="6"/>
      <c r="WD311" s="6"/>
      <c r="WE311" s="6"/>
      <c r="WF311" s="6"/>
      <c r="WG311" s="6"/>
      <c r="WH311" s="6"/>
      <c r="WI311" s="6"/>
      <c r="WJ311" s="6"/>
      <c r="WK311" s="6"/>
      <c r="WL311" s="6"/>
      <c r="WM311" s="6"/>
      <c r="WN311" s="6"/>
      <c r="WO311" s="6"/>
      <c r="WP311" s="6"/>
      <c r="WQ311" s="6"/>
      <c r="WR311" s="6"/>
      <c r="WS311" s="6"/>
      <c r="WT311" s="6"/>
      <c r="WU311" s="6"/>
      <c r="WV311" s="6"/>
      <c r="WW311" s="6"/>
      <c r="WX311" s="6"/>
      <c r="WY311" s="6"/>
      <c r="WZ311" s="6"/>
      <c r="XA311" s="6"/>
      <c r="XB311" s="6"/>
      <c r="XC311" s="6"/>
      <c r="XD311" s="6"/>
      <c r="XE311" s="6"/>
      <c r="XF311" s="6"/>
      <c r="XG311" s="6"/>
      <c r="XH311" s="6"/>
      <c r="XI311" s="6"/>
      <c r="XJ311" s="6"/>
      <c r="XK311" s="6"/>
      <c r="XL311" s="6"/>
      <c r="XM311" s="6"/>
      <c r="XN311" s="6"/>
      <c r="XO311" s="6"/>
      <c r="XP311" s="6"/>
      <c r="XQ311" s="6"/>
      <c r="XR311" s="6"/>
      <c r="XS311" s="6"/>
      <c r="XT311" s="6"/>
      <c r="XU311" s="6"/>
      <c r="XV311" s="6"/>
      <c r="XW311" s="6"/>
      <c r="XX311" s="6"/>
      <c r="XY311" s="6"/>
      <c r="XZ311" s="6"/>
      <c r="YA311" s="6"/>
      <c r="YB311" s="6"/>
      <c r="YC311" s="6"/>
      <c r="YD311" s="6"/>
      <c r="YE311" s="6"/>
      <c r="YF311" s="6"/>
      <c r="YG311" s="6"/>
      <c r="YH311" s="6"/>
      <c r="YI311" s="6"/>
      <c r="YJ311" s="6"/>
      <c r="YK311" s="6"/>
      <c r="YL311" s="6"/>
      <c r="YM311" s="6"/>
      <c r="YN311" s="6"/>
      <c r="YO311" s="6"/>
      <c r="YP311" s="6"/>
      <c r="YQ311" s="6"/>
      <c r="YR311" s="6"/>
      <c r="YS311" s="6"/>
      <c r="YT311" s="6"/>
      <c r="YU311" s="6"/>
      <c r="YV311" s="6"/>
      <c r="YW311" s="6"/>
      <c r="YX311" s="6"/>
      <c r="YY311" s="6"/>
      <c r="YZ311" s="6"/>
      <c r="ZA311" s="6"/>
      <c r="ZB311" s="6"/>
      <c r="ZC311" s="6"/>
      <c r="ZD311" s="6"/>
      <c r="ZE311" s="6"/>
      <c r="ZF311" s="6"/>
      <c r="ZG311" s="6"/>
      <c r="ZH311" s="6"/>
      <c r="ZI311" s="6"/>
      <c r="ZJ311" s="6"/>
      <c r="ZK311" s="6"/>
      <c r="ZL311" s="6"/>
      <c r="ZM311" s="6"/>
      <c r="ZN311" s="6"/>
      <c r="ZO311" s="6"/>
      <c r="ZP311" s="6"/>
      <c r="ZQ311" s="6"/>
      <c r="ZR311" s="6"/>
      <c r="ZS311" s="6"/>
      <c r="ZT311" s="6"/>
      <c r="ZU311" s="6"/>
      <c r="ZV311" s="6"/>
      <c r="ZW311" s="6"/>
      <c r="ZX311" s="6"/>
      <c r="ZY311" s="6"/>
      <c r="ZZ311" s="6"/>
      <c r="AAA311" s="6"/>
      <c r="AAB311" s="6"/>
      <c r="AAC311" s="6"/>
      <c r="AAD311" s="6"/>
      <c r="AAE311" s="6"/>
      <c r="AAF311" s="6"/>
      <c r="AAG311" s="6"/>
      <c r="AAH311" s="6"/>
      <c r="AAI311" s="6"/>
      <c r="AAJ311" s="6"/>
      <c r="AAK311" s="6"/>
      <c r="AAL311" s="6"/>
      <c r="AAM311" s="6"/>
      <c r="AAN311" s="6"/>
      <c r="AAO311" s="6"/>
      <c r="AAP311" s="6"/>
      <c r="AAQ311" s="6"/>
      <c r="AAR311" s="6"/>
      <c r="AAS311" s="6"/>
      <c r="AAT311" s="6"/>
      <c r="AAU311" s="6"/>
      <c r="AAV311" s="6"/>
      <c r="AAW311" s="6"/>
      <c r="AAX311" s="6"/>
      <c r="AAY311" s="6"/>
      <c r="AAZ311" s="6"/>
      <c r="ABA311" s="6"/>
      <c r="ABB311" s="6"/>
      <c r="ABC311" s="6"/>
      <c r="ABD311" s="6"/>
      <c r="ABE311" s="6"/>
      <c r="ABF311" s="6"/>
      <c r="ABG311" s="6"/>
      <c r="ABH311" s="6"/>
      <c r="ABI311" s="6"/>
      <c r="ABJ311" s="6"/>
      <c r="ABK311" s="6"/>
      <c r="ABL311" s="6"/>
      <c r="ABM311" s="6"/>
      <c r="ABN311" s="6"/>
      <c r="ABO311" s="6"/>
      <c r="ABP311" s="6"/>
      <c r="ABQ311" s="6"/>
      <c r="ABR311" s="6"/>
      <c r="ABS311" s="6"/>
      <c r="ABT311" s="6"/>
      <c r="ABU311" s="6"/>
      <c r="ABV311" s="6"/>
      <c r="ABW311" s="6"/>
      <c r="ABX311" s="6"/>
      <c r="ABY311" s="6"/>
      <c r="ABZ311" s="6"/>
      <c r="ACA311" s="6"/>
      <c r="ACB311" s="6"/>
      <c r="ACC311" s="6"/>
      <c r="ACD311" s="6"/>
      <c r="ACE311" s="6"/>
      <c r="ACF311" s="6"/>
      <c r="ACG311" s="6"/>
      <c r="ACH311" s="6"/>
      <c r="ACI311" s="6"/>
      <c r="ACJ311" s="6"/>
      <c r="ACK311" s="6"/>
      <c r="ACL311" s="6"/>
      <c r="ACM311" s="6"/>
      <c r="ACN311" s="6"/>
      <c r="ACO311" s="6"/>
      <c r="ACP311" s="6"/>
      <c r="ACQ311" s="6"/>
      <c r="ACR311" s="6"/>
      <c r="ACS311" s="6"/>
      <c r="ACT311" s="6"/>
      <c r="ACU311" s="6"/>
      <c r="ACV311" s="6"/>
      <c r="ACW311" s="6"/>
      <c r="ACX311" s="6"/>
      <c r="ACY311" s="6"/>
      <c r="ACZ311" s="6"/>
      <c r="ADA311" s="6"/>
      <c r="ADB311" s="6"/>
      <c r="ADC311" s="6"/>
      <c r="ADD311" s="6"/>
      <c r="ADE311" s="6"/>
      <c r="ADF311" s="6"/>
      <c r="ADG311" s="6"/>
      <c r="ADH311" s="6"/>
      <c r="ADI311" s="6"/>
      <c r="ADJ311" s="6"/>
      <c r="ADK311" s="6"/>
      <c r="ADL311" s="6"/>
      <c r="ADM311" s="6"/>
      <c r="ADN311" s="6"/>
      <c r="ADO311" s="6"/>
      <c r="ADP311" s="6"/>
      <c r="ADQ311" s="6"/>
      <c r="ADR311" s="6"/>
      <c r="ADS311" s="6"/>
      <c r="ADT311" s="6"/>
      <c r="ADU311" s="6"/>
      <c r="ADV311" s="6"/>
      <c r="ADW311" s="6"/>
      <c r="ADX311" s="6"/>
      <c r="ADY311" s="6"/>
      <c r="ADZ311" s="6"/>
      <c r="AEA311" s="6"/>
      <c r="AEB311" s="6"/>
      <c r="AEC311" s="6"/>
      <c r="AED311" s="6"/>
      <c r="AEE311" s="6"/>
      <c r="AEF311" s="6"/>
      <c r="AEG311" s="6"/>
      <c r="AEH311" s="6"/>
      <c r="AEI311" s="6"/>
      <c r="AEJ311" s="6"/>
      <c r="AEK311" s="6"/>
      <c r="AEL311" s="6"/>
      <c r="AEM311" s="6"/>
      <c r="AEN311" s="6"/>
      <c r="AEO311" s="6"/>
      <c r="AEP311" s="6"/>
      <c r="AEQ311" s="6"/>
      <c r="AER311" s="6"/>
      <c r="AES311" s="6"/>
      <c r="AET311" s="6"/>
      <c r="AEU311" s="6"/>
      <c r="AEV311" s="6"/>
      <c r="AEW311" s="6"/>
      <c r="AEX311" s="6"/>
      <c r="AEY311" s="6"/>
      <c r="AEZ311" s="6"/>
      <c r="AFA311" s="6"/>
      <c r="AFB311" s="6"/>
      <c r="AFC311" s="6"/>
      <c r="AFD311" s="6"/>
      <c r="AFE311" s="6"/>
      <c r="AFF311" s="6"/>
      <c r="AFG311" s="6"/>
      <c r="AFH311" s="6"/>
      <c r="AFI311" s="6"/>
      <c r="AFJ311" s="6"/>
      <c r="AFK311" s="6"/>
      <c r="AFL311" s="6"/>
      <c r="AFM311" s="6"/>
      <c r="AFN311" s="6"/>
      <c r="AFO311" s="6"/>
      <c r="AFP311" s="6"/>
      <c r="AFQ311" s="6"/>
      <c r="AFR311" s="6"/>
      <c r="AFS311" s="6"/>
      <c r="AFT311" s="6"/>
      <c r="AFU311" s="6"/>
      <c r="AFV311" s="6"/>
      <c r="AFW311" s="6"/>
      <c r="AFX311" s="6"/>
      <c r="AFY311" s="6"/>
      <c r="AFZ311" s="6"/>
      <c r="AGA311" s="6"/>
      <c r="AGB311" s="6"/>
      <c r="AGC311" s="6"/>
      <c r="AGD311" s="6"/>
      <c r="AGE311" s="6"/>
      <c r="AGF311" s="6"/>
      <c r="AGG311" s="6"/>
      <c r="AGH311" s="6"/>
      <c r="AGI311" s="6"/>
      <c r="AGJ311" s="6"/>
      <c r="AGK311" s="6"/>
      <c r="AGL311" s="6"/>
      <c r="AGM311" s="6"/>
      <c r="AGN311" s="6"/>
      <c r="AGO311" s="6"/>
      <c r="AGP311" s="6"/>
      <c r="AGQ311" s="6"/>
      <c r="AGR311" s="6"/>
      <c r="AGS311" s="6"/>
      <c r="AGT311" s="6"/>
      <c r="AGU311" s="6"/>
      <c r="AGV311" s="6"/>
      <c r="AGW311" s="6"/>
      <c r="AGX311" s="6"/>
      <c r="AGY311" s="6"/>
      <c r="AGZ311" s="6"/>
      <c r="AHA311" s="6"/>
      <c r="AHB311" s="6"/>
      <c r="AHC311" s="6"/>
      <c r="AHD311" s="6"/>
      <c r="AHE311" s="6"/>
      <c r="AHF311" s="6"/>
      <c r="AHG311" s="6"/>
      <c r="AHH311" s="6"/>
      <c r="AHI311" s="6"/>
      <c r="AHJ311" s="6"/>
      <c r="AHK311" s="6"/>
      <c r="AHL311" s="6"/>
      <c r="AHM311" s="6"/>
      <c r="AHN311" s="6"/>
      <c r="AHO311" s="6"/>
      <c r="AHP311" s="6"/>
      <c r="AHQ311" s="6"/>
      <c r="AHR311" s="6"/>
      <c r="AHS311" s="6"/>
      <c r="AHT311" s="6"/>
      <c r="AHU311" s="6"/>
      <c r="AHV311" s="6"/>
      <c r="AHW311" s="6"/>
      <c r="AHX311" s="6"/>
      <c r="AHY311" s="6"/>
      <c r="AHZ311" s="6"/>
      <c r="AIA311" s="6"/>
      <c r="AIB311" s="6"/>
      <c r="AIC311" s="6"/>
      <c r="AID311" s="6"/>
      <c r="AIE311" s="6"/>
      <c r="AIF311" s="6"/>
      <c r="AIG311" s="6"/>
      <c r="AIH311" s="6"/>
      <c r="AII311" s="6"/>
      <c r="AIJ311" s="6"/>
      <c r="AIK311" s="6"/>
      <c r="AIL311" s="6"/>
      <c r="AIM311" s="6"/>
      <c r="AIN311" s="6"/>
      <c r="AIO311" s="6"/>
      <c r="AIP311" s="6"/>
      <c r="AIQ311" s="6"/>
      <c r="AIR311" s="6"/>
      <c r="AIS311" s="6"/>
      <c r="AIT311" s="6"/>
      <c r="AIU311" s="6"/>
      <c r="AIV311" s="6"/>
      <c r="AIW311" s="6"/>
      <c r="AIX311" s="6"/>
      <c r="AIY311" s="6"/>
      <c r="AIZ311" s="6"/>
      <c r="AJA311" s="6"/>
      <c r="AJB311" s="6"/>
      <c r="AJC311" s="6"/>
      <c r="AJD311" s="6"/>
      <c r="AJE311" s="6"/>
      <c r="AJF311" s="6"/>
      <c r="AJG311" s="6"/>
      <c r="AJH311" s="6"/>
      <c r="AJI311" s="6"/>
      <c r="AJJ311" s="6"/>
      <c r="AJK311" s="6"/>
      <c r="AJL311" s="6"/>
      <c r="AJM311" s="6"/>
      <c r="AJN311" s="6"/>
      <c r="AJO311" s="6"/>
      <c r="AJP311" s="6"/>
      <c r="AJQ311" s="6"/>
      <c r="AJR311" s="6"/>
      <c r="AJS311" s="6"/>
      <c r="AJT311" s="6"/>
      <c r="AJU311" s="6"/>
      <c r="AJV311" s="6"/>
      <c r="AJW311" s="6"/>
      <c r="AJX311" s="6"/>
      <c r="AJY311" s="6"/>
      <c r="AJZ311" s="6"/>
      <c r="AKA311" s="6"/>
      <c r="AKB311" s="6"/>
      <c r="AKC311" s="6"/>
      <c r="AKD311" s="6"/>
      <c r="AKE311" s="6"/>
      <c r="AKF311" s="6"/>
      <c r="AKG311" s="6"/>
      <c r="AKH311" s="6"/>
      <c r="AKI311" s="6"/>
      <c r="AKJ311" s="6"/>
      <c r="AKK311" s="6"/>
      <c r="AKL311" s="6"/>
      <c r="AKM311" s="6"/>
      <c r="AKN311" s="6"/>
      <c r="AKO311" s="6"/>
      <c r="AKP311" s="6"/>
      <c r="AKQ311" s="6"/>
      <c r="AKR311" s="6"/>
      <c r="AKS311" s="6"/>
      <c r="AKT311" s="6"/>
      <c r="AKU311" s="6"/>
      <c r="AKV311" s="6"/>
      <c r="AKW311" s="6"/>
      <c r="AKX311" s="6"/>
      <c r="AKY311" s="6"/>
      <c r="AKZ311" s="6"/>
      <c r="ALA311" s="6"/>
      <c r="ALB311" s="6"/>
      <c r="ALC311" s="6"/>
      <c r="ALD311" s="6"/>
      <c r="ALE311" s="6"/>
      <c r="ALF311" s="6"/>
      <c r="ALG311" s="6"/>
      <c r="ALH311" s="6"/>
      <c r="ALI311" s="6"/>
      <c r="ALJ311" s="6"/>
      <c r="ALK311" s="6"/>
      <c r="ALL311" s="6"/>
      <c r="ALM311" s="6"/>
      <c r="ALN311" s="6"/>
      <c r="ALO311" s="6"/>
      <c r="ALP311" s="6"/>
      <c r="ALQ311" s="6"/>
      <c r="ALR311" s="6"/>
      <c r="ALS311" s="6"/>
      <c r="ALT311" s="6"/>
      <c r="ALU311" s="6"/>
      <c r="ALV311" s="6"/>
      <c r="ALW311" s="6"/>
      <c r="ALX311" s="6"/>
      <c r="ALY311" s="6"/>
      <c r="ALZ311" s="6"/>
      <c r="AMA311" s="6"/>
      <c r="AMB311" s="6"/>
      <c r="AMC311" s="6"/>
      <c r="AMD311" s="6"/>
      <c r="AME311" s="6"/>
      <c r="AMF311" s="6"/>
      <c r="AMG311" s="6"/>
      <c r="AMH311" s="6"/>
      <c r="AMI311" s="6"/>
      <c r="AMJ311" s="6"/>
      <c r="AMK311" s="6"/>
      <c r="AML311" s="6"/>
      <c r="AMM311" s="6"/>
      <c r="AMN311" s="6"/>
      <c r="AMO311" s="6"/>
      <c r="AMP311" s="6"/>
    </row>
    <row r="312" spans="1:1030" x14ac:dyDescent="0.2">
      <c r="A312" s="9" t="str">
        <f t="shared" ref="A312:A313" si="1734">CONCATENATE(B312,"_",C312)</f>
        <v>ta2r_human__wt</v>
      </c>
      <c r="B312" s="40" t="s">
        <v>473</v>
      </c>
      <c r="C312" s="9" t="s">
        <v>100</v>
      </c>
      <c r="D312" s="9" t="str">
        <f>IFERROR(MID(VLOOKUP($B312,Seqs!$A:$B,2,0),E312,1),"")</f>
        <v>S</v>
      </c>
      <c r="E312" s="9">
        <v>27</v>
      </c>
      <c r="F312" s="9" t="str">
        <f>IFERROR(MID(VLOOKUP($B312,Seqs!$A:$B,2,0),G312,1),"")</f>
        <v>Q</v>
      </c>
      <c r="G312" s="9">
        <v>54</v>
      </c>
      <c r="H312" s="9" t="str">
        <f>IFERROR(MID(VLOOKUP($B312,Seqs!$A:$B,2,0),I312,1),"")</f>
        <v/>
      </c>
      <c r="I312" s="109" t="s">
        <v>23</v>
      </c>
      <c r="J312" s="9" t="str">
        <f>IFERROR(MID(VLOOKUP($B312,Seqs!$A:$B,2,0),K312,1),"")</f>
        <v/>
      </c>
      <c r="K312" s="109" t="s">
        <v>23</v>
      </c>
      <c r="L312" s="9" t="str">
        <f>IFERROR(MID(VLOOKUP($B312,Seqs!$A:$B,2,0),M312,1),"")</f>
        <v>S</v>
      </c>
      <c r="M312" s="9">
        <v>61</v>
      </c>
      <c r="N312" s="9" t="str">
        <f>IFERROR(MID(VLOOKUP($B312,Seqs!$A:$B,2,0),O312,1),"")</f>
        <v>A</v>
      </c>
      <c r="O312" s="9">
        <v>91</v>
      </c>
      <c r="P312" s="9" t="str">
        <f>IFERROR(MID(VLOOKUP($B312,Seqs!$A:$B,2,0),Q312,1),"")</f>
        <v>E</v>
      </c>
      <c r="Q312" s="9">
        <v>94</v>
      </c>
      <c r="R312" s="9" t="str">
        <f>IFERROR(MID(VLOOKUP($B312,Seqs!$A:$B,2,0),S312,1),"")</f>
        <v>V</v>
      </c>
      <c r="S312" s="9">
        <v>98</v>
      </c>
      <c r="T312" s="9" t="str">
        <f>IFERROR(MID(VLOOKUP($B312,Seqs!$A:$B,2,0),U312,1),"")</f>
        <v>C</v>
      </c>
      <c r="U312" s="9">
        <v>102</v>
      </c>
      <c r="V312" s="9" t="str">
        <f>IFERROR(MID(VLOOKUP($B312,Seqs!$A:$B,2,0),W312,1),"")</f>
        <v>R</v>
      </c>
      <c r="W312" s="9">
        <v>136</v>
      </c>
      <c r="X312" s="9" t="str">
        <f>IFERROR(MID(VLOOKUP($B312,Seqs!$A:$B,2,0),Y312,1),"")</f>
        <v>P</v>
      </c>
      <c r="Y312" s="9">
        <v>137</v>
      </c>
      <c r="Z312" s="9" t="str">
        <f>IFERROR(MID(VLOOKUP($B312,Seqs!$A:$B,2,0),AA312,1),"")</f>
        <v>A</v>
      </c>
      <c r="AA312" s="9">
        <v>144</v>
      </c>
      <c r="AB312" s="9" t="str">
        <f>IFERROR(MID(VLOOKUP($B312,Seqs!$A:$B,2,0),AC312,1),"")</f>
        <v>S</v>
      </c>
      <c r="AC312" s="9">
        <v>145</v>
      </c>
      <c r="AD312" s="9" t="str">
        <f>IFERROR(MID(VLOOKUP($B312,Seqs!$A:$B,2,0),AE312,1),"")</f>
        <v>G</v>
      </c>
      <c r="AE312" s="9">
        <v>170</v>
      </c>
      <c r="AF312" s="9" t="str">
        <f>IFERROR(MID(VLOOKUP($B312,Seqs!$A:$B,2,0),AG312,1),"")</f>
        <v>C</v>
      </c>
      <c r="AG312" s="9">
        <v>183</v>
      </c>
      <c r="AH312" s="9" t="str">
        <f>IFERROR(MID(VLOOKUP($B312,Seqs!$A:$B,2,0),AI312,1),"")</f>
        <v>L</v>
      </c>
      <c r="AI312" s="9">
        <v>185</v>
      </c>
      <c r="AJ312" s="9" t="str">
        <f>IFERROR(MID(VLOOKUP($B312,Seqs!$A:$B,2,0),AK312,1),"")</f>
        <v>E</v>
      </c>
      <c r="AK312" s="9">
        <v>190</v>
      </c>
      <c r="AL312" s="9" t="str">
        <f>IFERROR(MID(VLOOKUP($B312,Seqs!$A:$B,2,0),AM312,1),"")</f>
        <v>P</v>
      </c>
      <c r="AM312" s="9">
        <v>236</v>
      </c>
      <c r="AN312" s="9" t="str">
        <f>IFERROR(MID(VLOOKUP($B312,Seqs!$A:$B,2,0),AO312,1),"")</f>
        <v>E</v>
      </c>
      <c r="AO312" s="9">
        <v>240</v>
      </c>
      <c r="AP312" s="9" t="str">
        <f>IFERROR(MID(VLOOKUP($B312,Seqs!$A:$B,2,0),AQ312,1),"")</f>
        <v>R</v>
      </c>
      <c r="AQ312" s="9">
        <v>271</v>
      </c>
      <c r="AR312" s="9" t="str">
        <f>IFERROR(MID(VLOOKUP($B312,Seqs!$A:$B,2,0),AS312,1),"")</f>
        <v>S</v>
      </c>
      <c r="AS312" s="9">
        <v>283</v>
      </c>
      <c r="AT312" s="9" t="str">
        <f>IFERROR(MID(VLOOKUP($B312,Seqs!$A:$B,2,0),AU312,1),"")</f>
        <v>F</v>
      </c>
      <c r="AU312" s="9">
        <v>311</v>
      </c>
      <c r="AV312" s="9" t="str">
        <f>IFERROR(MID(VLOOKUP($B312,Seqs!$A:$B,2,0),AW312,1),"")</f>
        <v>R</v>
      </c>
      <c r="AW312" s="9">
        <v>312</v>
      </c>
      <c r="AX312" s="9" t="str">
        <f>IFERROR(MID(VLOOKUP($B312,Seqs!$A:$B,2,0),AY312,1),"")</f>
        <v>S</v>
      </c>
      <c r="AY312" s="9">
        <v>331</v>
      </c>
      <c r="AZ312" s="110" t="str">
        <f>VLOOKUP(B312,Classification!A:D,2,0)</f>
        <v>A</v>
      </c>
      <c r="BA312" s="98" t="str">
        <f>VLOOKUP(B312,Classification!A:D,4,0)</f>
        <v>Prostanoid</v>
      </c>
      <c r="BB312" s="36" t="b">
        <f t="shared" ref="BB312:BB313" si="1735">AND(E312&lt;G312,OR(G312&lt;I312,I312="-"),OR(I312&lt;K312,I312="-"),OR(K312&lt;M312,K312="-"),M312&lt;O312,OR(O312&lt;Q312,Q312="-"),OR(Q312&lt;S312,Q312="-"),OR(S312&lt;U312,S312="-"),U312&lt;W312,OR(W312&lt;Y312,Y312="-"),OR(Y312&lt;AA312,Y312="-"),OR(AA312&lt;AC312,AA312="-"),AC312&lt;AE312,OR(AE312&lt;AG312,AG312="-"),OR(AG312&lt;AI312,AG312="-"),OR(AI312&lt;AK312,AI312="-"),AK312&lt;AM312,AM312&lt;AO312,AO312&lt;AQ312,AQ312&lt;AS312,AS312&lt;AU312,OR(AU312&lt;AW312,AW312="-"),OR(AW312&lt;AY312,AW312="-"))</f>
        <v>1</v>
      </c>
      <c r="BC312" s="109">
        <f t="shared" ref="BC312:BC313" si="1736">_xlfn.AGGREGATE(9,6,CH312:CS312)-_xlfn.AGGREGATE(9,6,BV312:CG312)+12</f>
        <v>265</v>
      </c>
      <c r="BD312" s="11" t="s">
        <v>23</v>
      </c>
      <c r="BE312" s="9" t="s">
        <v>23</v>
      </c>
      <c r="BF312" s="120" t="s">
        <v>23</v>
      </c>
      <c r="BG312" s="51" t="s">
        <v>1</v>
      </c>
      <c r="BH312" s="51" t="s">
        <v>1</v>
      </c>
      <c r="BI312" s="12"/>
      <c r="BJ312" s="111" t="s">
        <v>1288</v>
      </c>
      <c r="BK312" s="112" t="s">
        <v>1288</v>
      </c>
      <c r="BL312" s="112" t="s">
        <v>1288</v>
      </c>
      <c r="BM312" s="112" t="s">
        <v>1288</v>
      </c>
      <c r="BN312" s="112" t="s">
        <v>1288</v>
      </c>
      <c r="BO312" s="112" t="s">
        <v>1288</v>
      </c>
      <c r="BP312" s="112" t="s">
        <v>1288</v>
      </c>
      <c r="BQ312" s="112" t="s">
        <v>1288</v>
      </c>
      <c r="BR312" s="112" t="s">
        <v>1288</v>
      </c>
      <c r="BS312" s="112" t="s">
        <v>1288</v>
      </c>
      <c r="BT312" s="112" t="s">
        <v>1288</v>
      </c>
      <c r="BU312" s="112" t="s">
        <v>1288</v>
      </c>
      <c r="BV312" s="111">
        <f t="shared" ref="BV312:BV313" si="1737">E312</f>
        <v>27</v>
      </c>
      <c r="BW312" s="113" t="str">
        <f t="shared" ref="BW312:BW313" si="1738">I312</f>
        <v>-</v>
      </c>
      <c r="BX312" s="114">
        <f t="shared" ref="BX312:BX313" si="1739">M312</f>
        <v>61</v>
      </c>
      <c r="BY312" s="113">
        <f t="shared" ref="BY312:BY313" si="1740">Q312</f>
        <v>94</v>
      </c>
      <c r="BZ312" s="114">
        <f t="shared" ref="BZ312:BZ313" si="1741">U312</f>
        <v>102</v>
      </c>
      <c r="CA312" s="113">
        <f t="shared" ref="CA312:CA313" si="1742">Y312</f>
        <v>137</v>
      </c>
      <c r="CB312" s="114">
        <f t="shared" ref="CB312:CB313" si="1743">AC312</f>
        <v>145</v>
      </c>
      <c r="CC312" s="113">
        <f t="shared" ref="CC312:CC313" si="1744">AG312</f>
        <v>183</v>
      </c>
      <c r="CD312" s="114">
        <f t="shared" ref="CD312:CD313" si="1745">AK312</f>
        <v>190</v>
      </c>
      <c r="CE312" s="113">
        <f t="shared" ref="CE312:CE313" si="1746">AO312</f>
        <v>240</v>
      </c>
      <c r="CF312" s="114">
        <f t="shared" ref="CF312:CF313" si="1747">AS312</f>
        <v>283</v>
      </c>
      <c r="CG312" s="113">
        <f t="shared" ref="CG312:CG313" si="1748">AW312</f>
        <v>312</v>
      </c>
      <c r="CH312" s="111">
        <f t="shared" ref="CH312:CH313" si="1749">G312</f>
        <v>54</v>
      </c>
      <c r="CI312" s="113" t="str">
        <f t="shared" ref="CI312:CI313" si="1750">K312</f>
        <v>-</v>
      </c>
      <c r="CJ312" s="114">
        <f t="shared" ref="CJ312:CJ313" si="1751">O312</f>
        <v>91</v>
      </c>
      <c r="CK312" s="114">
        <f t="shared" ref="CK312:CK313" si="1752">S312</f>
        <v>98</v>
      </c>
      <c r="CL312" s="114">
        <f t="shared" ref="CL312:CL313" si="1753">W312</f>
        <v>136</v>
      </c>
      <c r="CM312" s="114">
        <f t="shared" ref="CM312:CM313" si="1754">AA312</f>
        <v>144</v>
      </c>
      <c r="CN312" s="114">
        <f t="shared" ref="CN312:CN313" si="1755">AE312</f>
        <v>170</v>
      </c>
      <c r="CO312" s="114">
        <f t="shared" ref="CO312:CO313" si="1756">AI312</f>
        <v>185</v>
      </c>
      <c r="CP312" s="114">
        <f t="shared" ref="CP312:CP313" si="1757">AM312</f>
        <v>236</v>
      </c>
      <c r="CQ312" s="114">
        <f t="shared" ref="CQ312:CQ313" si="1758">AQ312</f>
        <v>271</v>
      </c>
      <c r="CR312" s="114">
        <f t="shared" ref="CR312:CR313" si="1759">AU312</f>
        <v>311</v>
      </c>
      <c r="CS312" s="114">
        <f t="shared" ref="CS312:CS313" si="1760">AY312</f>
        <v>331</v>
      </c>
      <c r="CT312" s="109" t="e">
        <f t="shared" ref="CT312:CT313" si="1761">M312-K312</f>
        <v>#VALUE!</v>
      </c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  <c r="DX312" s="6"/>
      <c r="DY312" s="6"/>
      <c r="DZ312" s="6"/>
      <c r="EA312" s="6"/>
      <c r="EB312" s="6"/>
      <c r="EC312" s="6"/>
      <c r="ED312" s="6"/>
      <c r="EE312" s="6"/>
      <c r="EF312" s="6"/>
      <c r="EG312" s="6"/>
      <c r="EH312" s="6"/>
      <c r="EI312" s="6"/>
      <c r="EJ312" s="6"/>
      <c r="EK312" s="6"/>
      <c r="EL312" s="6"/>
      <c r="EM312" s="6"/>
      <c r="EN312" s="6"/>
      <c r="EO312" s="6"/>
      <c r="EP312" s="6"/>
      <c r="EQ312" s="6"/>
      <c r="ER312" s="6"/>
      <c r="ES312" s="6"/>
      <c r="ET312" s="6"/>
      <c r="EU312" s="6"/>
      <c r="EV312" s="6"/>
      <c r="EW312" s="6"/>
      <c r="EX312" s="6"/>
      <c r="EY312" s="6"/>
      <c r="EZ312" s="6"/>
      <c r="FA312" s="6"/>
      <c r="FB312" s="6"/>
      <c r="FC312" s="6"/>
      <c r="FD312" s="6"/>
      <c r="FE312" s="6"/>
      <c r="FF312" s="6"/>
      <c r="FG312" s="6"/>
      <c r="FH312" s="6"/>
      <c r="FI312" s="6"/>
      <c r="FJ312" s="6"/>
      <c r="FK312" s="6"/>
      <c r="FL312" s="6"/>
      <c r="FM312" s="6"/>
      <c r="FN312" s="6"/>
      <c r="FO312" s="6"/>
      <c r="FP312" s="6"/>
      <c r="FQ312" s="6"/>
      <c r="FR312" s="6"/>
      <c r="FS312" s="6"/>
      <c r="FT312" s="6"/>
      <c r="FU312" s="6"/>
      <c r="FV312" s="6"/>
      <c r="FW312" s="6"/>
      <c r="FX312" s="6"/>
      <c r="FY312" s="6"/>
      <c r="FZ312" s="6"/>
      <c r="GA312" s="6"/>
      <c r="GB312" s="6"/>
      <c r="GC312" s="6"/>
      <c r="GD312" s="6"/>
      <c r="GE312" s="6"/>
      <c r="GF312" s="6"/>
      <c r="GG312" s="6"/>
      <c r="GH312" s="6"/>
      <c r="GI312" s="6"/>
      <c r="GJ312" s="6"/>
      <c r="GK312" s="6"/>
      <c r="GL312" s="6"/>
      <c r="GM312" s="6"/>
      <c r="GN312" s="6"/>
      <c r="GO312" s="6"/>
      <c r="GP312" s="6"/>
      <c r="GQ312" s="6"/>
      <c r="GR312" s="6"/>
      <c r="GS312" s="6"/>
      <c r="GT312" s="6"/>
      <c r="GU312" s="6"/>
      <c r="GV312" s="6"/>
      <c r="GW312" s="6"/>
      <c r="GX312" s="6"/>
      <c r="GY312" s="6"/>
      <c r="GZ312" s="6"/>
      <c r="HA312" s="6"/>
      <c r="HB312" s="6"/>
      <c r="HC312" s="6"/>
      <c r="HD312" s="6"/>
      <c r="HE312" s="6"/>
      <c r="HF312" s="6"/>
      <c r="HG312" s="6"/>
      <c r="HH312" s="6"/>
      <c r="HI312" s="6"/>
      <c r="HJ312" s="6"/>
      <c r="HK312" s="6"/>
      <c r="HL312" s="6"/>
      <c r="HM312" s="6"/>
      <c r="HN312" s="6"/>
      <c r="HO312" s="6"/>
      <c r="HP312" s="6"/>
      <c r="HQ312" s="6"/>
      <c r="HR312" s="6"/>
      <c r="HS312" s="6"/>
      <c r="HT312" s="6"/>
      <c r="HU312" s="6"/>
      <c r="HV312" s="6"/>
      <c r="HW312" s="6"/>
      <c r="HX312" s="6"/>
      <c r="HY312" s="6"/>
      <c r="HZ312" s="6"/>
      <c r="IA312" s="6"/>
      <c r="IB312" s="6"/>
      <c r="IC312" s="6"/>
      <c r="ID312" s="6"/>
      <c r="IE312" s="6"/>
      <c r="IF312" s="6"/>
      <c r="IG312" s="6"/>
      <c r="IH312" s="6"/>
      <c r="II312" s="6"/>
      <c r="IJ312" s="6"/>
      <c r="IK312" s="6"/>
      <c r="IL312" s="6"/>
      <c r="IM312" s="6"/>
      <c r="IN312" s="6"/>
      <c r="IO312" s="6"/>
      <c r="IP312" s="6"/>
      <c r="IQ312" s="6"/>
      <c r="IR312" s="6"/>
      <c r="IS312" s="6"/>
      <c r="IT312" s="6"/>
      <c r="IU312" s="6"/>
      <c r="IV312" s="6"/>
      <c r="IW312" s="6"/>
      <c r="IX312" s="6"/>
      <c r="IY312" s="6"/>
      <c r="IZ312" s="6"/>
      <c r="JA312" s="6"/>
      <c r="JB312" s="6"/>
      <c r="JC312" s="6"/>
      <c r="JD312" s="6"/>
      <c r="JE312" s="6"/>
      <c r="JF312" s="6"/>
      <c r="JG312" s="6"/>
      <c r="JH312" s="6"/>
      <c r="JI312" s="6"/>
      <c r="JJ312" s="6"/>
      <c r="JK312" s="6"/>
      <c r="JL312" s="6"/>
      <c r="JM312" s="6"/>
      <c r="JN312" s="6"/>
      <c r="JO312" s="6"/>
      <c r="JP312" s="6"/>
      <c r="JQ312" s="6"/>
      <c r="JR312" s="6"/>
      <c r="JS312" s="6"/>
      <c r="JT312" s="6"/>
      <c r="JU312" s="6"/>
      <c r="JV312" s="6"/>
      <c r="JW312" s="6"/>
      <c r="JX312" s="6"/>
      <c r="JY312" s="6"/>
      <c r="JZ312" s="6"/>
      <c r="KA312" s="6"/>
      <c r="KB312" s="6"/>
      <c r="KC312" s="6"/>
      <c r="KD312" s="6"/>
      <c r="KE312" s="6"/>
      <c r="KF312" s="6"/>
      <c r="KG312" s="6"/>
      <c r="KH312" s="6"/>
      <c r="KI312" s="6"/>
      <c r="KJ312" s="6"/>
      <c r="KK312" s="6"/>
      <c r="KL312" s="6"/>
      <c r="KM312" s="6"/>
      <c r="KN312" s="6"/>
      <c r="KO312" s="6"/>
      <c r="KP312" s="6"/>
      <c r="KQ312" s="6"/>
      <c r="KR312" s="6"/>
      <c r="KS312" s="6"/>
      <c r="KT312" s="6"/>
      <c r="KU312" s="6"/>
      <c r="KV312" s="6"/>
      <c r="KW312" s="6"/>
      <c r="KX312" s="6"/>
      <c r="KY312" s="6"/>
      <c r="KZ312" s="6"/>
      <c r="LA312" s="6"/>
      <c r="LB312" s="6"/>
      <c r="LC312" s="6"/>
      <c r="LD312" s="6"/>
      <c r="LE312" s="6"/>
      <c r="LF312" s="6"/>
      <c r="LG312" s="6"/>
      <c r="LH312" s="6"/>
      <c r="LI312" s="6"/>
      <c r="LJ312" s="6"/>
      <c r="LK312" s="6"/>
      <c r="LL312" s="6"/>
      <c r="LM312" s="6"/>
      <c r="LN312" s="6"/>
      <c r="LO312" s="6"/>
      <c r="LP312" s="6"/>
      <c r="LQ312" s="6"/>
      <c r="LR312" s="6"/>
      <c r="LS312" s="6"/>
      <c r="LT312" s="6"/>
      <c r="LU312" s="6"/>
      <c r="LV312" s="6"/>
      <c r="LW312" s="6"/>
      <c r="LX312" s="6"/>
      <c r="LY312" s="6"/>
      <c r="LZ312" s="6"/>
      <c r="MA312" s="6"/>
      <c r="MB312" s="6"/>
      <c r="MC312" s="6"/>
      <c r="MD312" s="6"/>
      <c r="ME312" s="6"/>
      <c r="MF312" s="6"/>
      <c r="MG312" s="6"/>
      <c r="MH312" s="6"/>
      <c r="MI312" s="6"/>
      <c r="MJ312" s="6"/>
      <c r="MK312" s="6"/>
      <c r="ML312" s="6"/>
      <c r="MM312" s="6"/>
      <c r="MN312" s="6"/>
      <c r="MO312" s="6"/>
      <c r="MP312" s="6"/>
      <c r="MQ312" s="6"/>
      <c r="MR312" s="6"/>
      <c r="MS312" s="6"/>
      <c r="MT312" s="6"/>
      <c r="MU312" s="6"/>
      <c r="MV312" s="6"/>
      <c r="MW312" s="6"/>
      <c r="MX312" s="6"/>
      <c r="MY312" s="6"/>
      <c r="MZ312" s="6"/>
      <c r="NA312" s="6"/>
      <c r="NB312" s="6"/>
      <c r="NC312" s="6"/>
      <c r="ND312" s="6"/>
      <c r="NE312" s="6"/>
      <c r="NF312" s="6"/>
      <c r="NG312" s="6"/>
      <c r="NH312" s="6"/>
      <c r="NI312" s="6"/>
      <c r="NJ312" s="6"/>
      <c r="NK312" s="6"/>
      <c r="NL312" s="6"/>
      <c r="NM312" s="6"/>
      <c r="NN312" s="6"/>
      <c r="NO312" s="6"/>
      <c r="NP312" s="6"/>
      <c r="NQ312" s="6"/>
      <c r="NR312" s="6"/>
      <c r="NS312" s="6"/>
      <c r="NT312" s="6"/>
      <c r="NU312" s="6"/>
      <c r="NV312" s="6"/>
      <c r="NW312" s="6"/>
      <c r="NX312" s="6"/>
      <c r="NY312" s="6"/>
      <c r="NZ312" s="6"/>
      <c r="OA312" s="6"/>
      <c r="OB312" s="6"/>
      <c r="OC312" s="6"/>
      <c r="OD312" s="6"/>
      <c r="OE312" s="6"/>
      <c r="OF312" s="6"/>
      <c r="OG312" s="6"/>
      <c r="OH312" s="6"/>
      <c r="OI312" s="6"/>
      <c r="OJ312" s="6"/>
      <c r="OK312" s="6"/>
      <c r="OL312" s="6"/>
      <c r="OM312" s="6"/>
      <c r="ON312" s="6"/>
      <c r="OO312" s="6"/>
      <c r="OP312" s="6"/>
      <c r="OQ312" s="6"/>
      <c r="OR312" s="6"/>
      <c r="OS312" s="6"/>
      <c r="OT312" s="6"/>
      <c r="OU312" s="6"/>
      <c r="OV312" s="6"/>
      <c r="OW312" s="6"/>
      <c r="OX312" s="6"/>
      <c r="OY312" s="6"/>
      <c r="OZ312" s="6"/>
      <c r="PA312" s="6"/>
      <c r="PB312" s="6"/>
      <c r="PC312" s="6"/>
      <c r="PD312" s="6"/>
      <c r="PE312" s="6"/>
      <c r="PF312" s="6"/>
      <c r="PG312" s="6"/>
      <c r="PH312" s="6"/>
      <c r="PI312" s="6"/>
      <c r="PJ312" s="6"/>
      <c r="PK312" s="6"/>
      <c r="PL312" s="6"/>
      <c r="PM312" s="6"/>
      <c r="PN312" s="6"/>
      <c r="PO312" s="6"/>
      <c r="PP312" s="6"/>
      <c r="PQ312" s="6"/>
      <c r="PR312" s="6"/>
      <c r="PS312" s="6"/>
      <c r="PT312" s="6"/>
      <c r="PU312" s="6"/>
      <c r="PV312" s="6"/>
      <c r="PW312" s="6"/>
      <c r="PX312" s="6"/>
      <c r="PY312" s="6"/>
      <c r="PZ312" s="6"/>
      <c r="QA312" s="6"/>
      <c r="QB312" s="6"/>
      <c r="QC312" s="6"/>
      <c r="QD312" s="6"/>
      <c r="QE312" s="6"/>
      <c r="QF312" s="6"/>
      <c r="QG312" s="6"/>
      <c r="QH312" s="6"/>
      <c r="QI312" s="6"/>
      <c r="QJ312" s="6"/>
      <c r="QK312" s="6"/>
      <c r="QL312" s="6"/>
      <c r="QM312" s="6"/>
      <c r="QN312" s="6"/>
      <c r="QO312" s="6"/>
      <c r="QP312" s="6"/>
      <c r="QQ312" s="6"/>
      <c r="QR312" s="6"/>
      <c r="QS312" s="6"/>
      <c r="QT312" s="6"/>
      <c r="QU312" s="6"/>
      <c r="QV312" s="6"/>
      <c r="QW312" s="6"/>
      <c r="QX312" s="6"/>
      <c r="QY312" s="6"/>
      <c r="QZ312" s="6"/>
      <c r="RA312" s="6"/>
      <c r="RB312" s="6"/>
      <c r="RC312" s="6"/>
      <c r="RD312" s="6"/>
      <c r="RE312" s="6"/>
      <c r="RF312" s="6"/>
      <c r="RG312" s="6"/>
      <c r="RH312" s="6"/>
      <c r="RI312" s="6"/>
      <c r="RJ312" s="6"/>
      <c r="RK312" s="6"/>
      <c r="RL312" s="6"/>
      <c r="RM312" s="6"/>
      <c r="RN312" s="6"/>
      <c r="RO312" s="6"/>
      <c r="RP312" s="6"/>
      <c r="RQ312" s="6"/>
      <c r="RR312" s="6"/>
      <c r="RS312" s="6"/>
      <c r="RT312" s="6"/>
      <c r="RU312" s="6"/>
      <c r="RV312" s="6"/>
      <c r="RW312" s="6"/>
      <c r="RX312" s="6"/>
      <c r="RY312" s="6"/>
      <c r="RZ312" s="6"/>
      <c r="SA312" s="6"/>
      <c r="SB312" s="6"/>
      <c r="SC312" s="6"/>
      <c r="SD312" s="6"/>
      <c r="SE312" s="6"/>
      <c r="SF312" s="6"/>
      <c r="SG312" s="6"/>
      <c r="SH312" s="6"/>
      <c r="SI312" s="6"/>
      <c r="SJ312" s="6"/>
      <c r="SK312" s="6"/>
      <c r="SL312" s="6"/>
      <c r="SM312" s="6"/>
      <c r="SN312" s="6"/>
      <c r="SO312" s="6"/>
      <c r="SP312" s="6"/>
      <c r="SQ312" s="6"/>
      <c r="SR312" s="6"/>
      <c r="SS312" s="6"/>
      <c r="ST312" s="6"/>
      <c r="SU312" s="6"/>
      <c r="SV312" s="6"/>
      <c r="SW312" s="6"/>
      <c r="SX312" s="6"/>
      <c r="SY312" s="6"/>
      <c r="SZ312" s="6"/>
      <c r="TA312" s="6"/>
      <c r="TB312" s="6"/>
      <c r="TC312" s="6"/>
      <c r="TD312" s="6"/>
      <c r="TE312" s="6"/>
      <c r="TF312" s="6"/>
      <c r="TG312" s="6"/>
      <c r="TH312" s="6"/>
      <c r="TI312" s="6"/>
      <c r="TJ312" s="6"/>
      <c r="TK312" s="6"/>
      <c r="TL312" s="6"/>
      <c r="TM312" s="6"/>
      <c r="TN312" s="6"/>
      <c r="TO312" s="6"/>
      <c r="TP312" s="6"/>
      <c r="TQ312" s="6"/>
      <c r="TR312" s="6"/>
      <c r="TS312" s="6"/>
      <c r="TT312" s="6"/>
      <c r="TU312" s="6"/>
      <c r="TV312" s="6"/>
      <c r="TW312" s="6"/>
      <c r="TX312" s="6"/>
      <c r="TY312" s="6"/>
      <c r="TZ312" s="6"/>
      <c r="UA312" s="6"/>
      <c r="UB312" s="6"/>
      <c r="UC312" s="6"/>
      <c r="UD312" s="6"/>
      <c r="UE312" s="6"/>
      <c r="UF312" s="6"/>
      <c r="UG312" s="6"/>
      <c r="UH312" s="6"/>
      <c r="UI312" s="6"/>
      <c r="UJ312" s="6"/>
      <c r="UK312" s="6"/>
      <c r="UL312" s="6"/>
      <c r="UM312" s="6"/>
      <c r="UN312" s="6"/>
      <c r="UO312" s="6"/>
      <c r="UP312" s="6"/>
      <c r="UQ312" s="6"/>
      <c r="UR312" s="6"/>
      <c r="US312" s="6"/>
      <c r="UT312" s="6"/>
      <c r="UU312" s="6"/>
      <c r="UV312" s="6"/>
      <c r="UW312" s="6"/>
      <c r="UX312" s="6"/>
      <c r="UY312" s="6"/>
      <c r="UZ312" s="6"/>
      <c r="VA312" s="6"/>
      <c r="VB312" s="6"/>
      <c r="VC312" s="6"/>
      <c r="VD312" s="6"/>
      <c r="VE312" s="6"/>
      <c r="VF312" s="6"/>
      <c r="VG312" s="6"/>
      <c r="VH312" s="6"/>
      <c r="VI312" s="6"/>
      <c r="VJ312" s="6"/>
      <c r="VK312" s="6"/>
      <c r="VL312" s="6"/>
      <c r="VM312" s="6"/>
      <c r="VN312" s="6"/>
      <c r="VO312" s="6"/>
      <c r="VP312" s="6"/>
      <c r="VQ312" s="6"/>
      <c r="VR312" s="6"/>
      <c r="VS312" s="6"/>
      <c r="VT312" s="6"/>
      <c r="VU312" s="6"/>
      <c r="VV312" s="6"/>
      <c r="VW312" s="6"/>
      <c r="VX312" s="6"/>
      <c r="VY312" s="6"/>
      <c r="VZ312" s="6"/>
      <c r="WA312" s="6"/>
      <c r="WB312" s="6"/>
      <c r="WC312" s="6"/>
      <c r="WD312" s="6"/>
      <c r="WE312" s="6"/>
      <c r="WF312" s="6"/>
      <c r="WG312" s="6"/>
      <c r="WH312" s="6"/>
      <c r="WI312" s="6"/>
      <c r="WJ312" s="6"/>
      <c r="WK312" s="6"/>
      <c r="WL312" s="6"/>
      <c r="WM312" s="6"/>
      <c r="WN312" s="6"/>
      <c r="WO312" s="6"/>
      <c r="WP312" s="6"/>
      <c r="WQ312" s="6"/>
      <c r="WR312" s="6"/>
      <c r="WS312" s="6"/>
      <c r="WT312" s="6"/>
      <c r="WU312" s="6"/>
      <c r="WV312" s="6"/>
      <c r="WW312" s="6"/>
      <c r="WX312" s="6"/>
      <c r="WY312" s="6"/>
      <c r="WZ312" s="6"/>
      <c r="XA312" s="6"/>
      <c r="XB312" s="6"/>
      <c r="XC312" s="6"/>
      <c r="XD312" s="6"/>
      <c r="XE312" s="6"/>
      <c r="XF312" s="6"/>
      <c r="XG312" s="6"/>
      <c r="XH312" s="6"/>
      <c r="XI312" s="6"/>
      <c r="XJ312" s="6"/>
      <c r="XK312" s="6"/>
      <c r="XL312" s="6"/>
      <c r="XM312" s="6"/>
      <c r="XN312" s="6"/>
      <c r="XO312" s="6"/>
      <c r="XP312" s="6"/>
      <c r="XQ312" s="6"/>
      <c r="XR312" s="6"/>
      <c r="XS312" s="6"/>
      <c r="XT312" s="6"/>
      <c r="XU312" s="6"/>
      <c r="XV312" s="6"/>
      <c r="XW312" s="6"/>
      <c r="XX312" s="6"/>
      <c r="XY312" s="6"/>
      <c r="XZ312" s="6"/>
      <c r="YA312" s="6"/>
      <c r="YB312" s="6"/>
      <c r="YC312" s="6"/>
      <c r="YD312" s="6"/>
      <c r="YE312" s="6"/>
      <c r="YF312" s="6"/>
      <c r="YG312" s="6"/>
      <c r="YH312" s="6"/>
      <c r="YI312" s="6"/>
      <c r="YJ312" s="6"/>
      <c r="YK312" s="6"/>
      <c r="YL312" s="6"/>
      <c r="YM312" s="6"/>
      <c r="YN312" s="6"/>
      <c r="YO312" s="6"/>
      <c r="YP312" s="6"/>
      <c r="YQ312" s="6"/>
      <c r="YR312" s="6"/>
      <c r="YS312" s="6"/>
      <c r="YT312" s="6"/>
      <c r="YU312" s="6"/>
      <c r="YV312" s="6"/>
      <c r="YW312" s="6"/>
      <c r="YX312" s="6"/>
      <c r="YY312" s="6"/>
      <c r="YZ312" s="6"/>
      <c r="ZA312" s="6"/>
      <c r="ZB312" s="6"/>
      <c r="ZC312" s="6"/>
      <c r="ZD312" s="6"/>
      <c r="ZE312" s="6"/>
      <c r="ZF312" s="6"/>
      <c r="ZG312" s="6"/>
      <c r="ZH312" s="6"/>
      <c r="ZI312" s="6"/>
      <c r="ZJ312" s="6"/>
      <c r="ZK312" s="6"/>
      <c r="ZL312" s="6"/>
      <c r="ZM312" s="6"/>
      <c r="ZN312" s="6"/>
      <c r="ZO312" s="6"/>
      <c r="ZP312" s="6"/>
      <c r="ZQ312" s="6"/>
      <c r="ZR312" s="6"/>
      <c r="ZS312" s="6"/>
      <c r="ZT312" s="6"/>
      <c r="ZU312" s="6"/>
      <c r="ZV312" s="6"/>
      <c r="ZW312" s="6"/>
      <c r="ZX312" s="6"/>
      <c r="ZY312" s="6"/>
      <c r="ZZ312" s="6"/>
      <c r="AAA312" s="6"/>
      <c r="AAB312" s="6"/>
      <c r="AAC312" s="6"/>
      <c r="AAD312" s="6"/>
      <c r="AAE312" s="6"/>
      <c r="AAF312" s="6"/>
      <c r="AAG312" s="6"/>
      <c r="AAH312" s="6"/>
      <c r="AAI312" s="6"/>
      <c r="AAJ312" s="6"/>
      <c r="AAK312" s="6"/>
      <c r="AAL312" s="6"/>
      <c r="AAM312" s="6"/>
      <c r="AAN312" s="6"/>
      <c r="AAO312" s="6"/>
      <c r="AAP312" s="6"/>
      <c r="AAQ312" s="6"/>
      <c r="AAR312" s="6"/>
      <c r="AAS312" s="6"/>
      <c r="AAT312" s="6"/>
      <c r="AAU312" s="6"/>
      <c r="AAV312" s="6"/>
      <c r="AAW312" s="6"/>
      <c r="AAX312" s="6"/>
      <c r="AAY312" s="6"/>
      <c r="AAZ312" s="6"/>
      <c r="ABA312" s="6"/>
      <c r="ABB312" s="6"/>
      <c r="ABC312" s="6"/>
      <c r="ABD312" s="6"/>
      <c r="ABE312" s="6"/>
      <c r="ABF312" s="6"/>
      <c r="ABG312" s="6"/>
      <c r="ABH312" s="6"/>
      <c r="ABI312" s="6"/>
      <c r="ABJ312" s="6"/>
      <c r="ABK312" s="6"/>
      <c r="ABL312" s="6"/>
      <c r="ABM312" s="6"/>
      <c r="ABN312" s="6"/>
      <c r="ABO312" s="6"/>
      <c r="ABP312" s="6"/>
      <c r="ABQ312" s="6"/>
      <c r="ABR312" s="6"/>
      <c r="ABS312" s="6"/>
      <c r="ABT312" s="6"/>
      <c r="ABU312" s="6"/>
      <c r="ABV312" s="6"/>
      <c r="ABW312" s="6"/>
      <c r="ABX312" s="6"/>
      <c r="ABY312" s="6"/>
      <c r="ABZ312" s="6"/>
      <c r="ACA312" s="6"/>
      <c r="ACB312" s="6"/>
      <c r="ACC312" s="6"/>
      <c r="ACD312" s="6"/>
      <c r="ACE312" s="6"/>
      <c r="ACF312" s="6"/>
      <c r="ACG312" s="6"/>
      <c r="ACH312" s="6"/>
      <c r="ACI312" s="6"/>
      <c r="ACJ312" s="6"/>
      <c r="ACK312" s="6"/>
      <c r="ACL312" s="6"/>
      <c r="ACM312" s="6"/>
      <c r="ACN312" s="6"/>
      <c r="ACO312" s="6"/>
      <c r="ACP312" s="6"/>
      <c r="ACQ312" s="6"/>
      <c r="ACR312" s="6"/>
      <c r="ACS312" s="6"/>
      <c r="ACT312" s="6"/>
      <c r="ACU312" s="6"/>
      <c r="ACV312" s="6"/>
      <c r="ACW312" s="6"/>
      <c r="ACX312" s="6"/>
      <c r="ACY312" s="6"/>
      <c r="ACZ312" s="6"/>
      <c r="ADA312" s="6"/>
      <c r="ADB312" s="6"/>
      <c r="ADC312" s="6"/>
      <c r="ADD312" s="6"/>
      <c r="ADE312" s="6"/>
      <c r="ADF312" s="6"/>
      <c r="ADG312" s="6"/>
      <c r="ADH312" s="6"/>
      <c r="ADI312" s="6"/>
      <c r="ADJ312" s="6"/>
      <c r="ADK312" s="6"/>
      <c r="ADL312" s="6"/>
      <c r="ADM312" s="6"/>
      <c r="ADN312" s="6"/>
      <c r="ADO312" s="6"/>
      <c r="ADP312" s="6"/>
      <c r="ADQ312" s="6"/>
      <c r="ADR312" s="6"/>
      <c r="ADS312" s="6"/>
      <c r="ADT312" s="6"/>
      <c r="ADU312" s="6"/>
      <c r="ADV312" s="6"/>
      <c r="ADW312" s="6"/>
      <c r="ADX312" s="6"/>
      <c r="ADY312" s="6"/>
      <c r="ADZ312" s="6"/>
      <c r="AEA312" s="6"/>
      <c r="AEB312" s="6"/>
      <c r="AEC312" s="6"/>
      <c r="AED312" s="6"/>
      <c r="AEE312" s="6"/>
      <c r="AEF312" s="6"/>
      <c r="AEG312" s="6"/>
      <c r="AEH312" s="6"/>
      <c r="AEI312" s="6"/>
      <c r="AEJ312" s="6"/>
      <c r="AEK312" s="6"/>
      <c r="AEL312" s="6"/>
      <c r="AEM312" s="6"/>
      <c r="AEN312" s="6"/>
      <c r="AEO312" s="6"/>
      <c r="AEP312" s="6"/>
      <c r="AEQ312" s="6"/>
      <c r="AER312" s="6"/>
      <c r="AES312" s="6"/>
      <c r="AET312" s="6"/>
      <c r="AEU312" s="6"/>
      <c r="AEV312" s="6"/>
      <c r="AEW312" s="6"/>
      <c r="AEX312" s="6"/>
      <c r="AEY312" s="6"/>
      <c r="AEZ312" s="6"/>
      <c r="AFA312" s="6"/>
      <c r="AFB312" s="6"/>
      <c r="AFC312" s="6"/>
      <c r="AFD312" s="6"/>
      <c r="AFE312" s="6"/>
      <c r="AFF312" s="6"/>
      <c r="AFG312" s="6"/>
      <c r="AFH312" s="6"/>
      <c r="AFI312" s="6"/>
      <c r="AFJ312" s="6"/>
      <c r="AFK312" s="6"/>
      <c r="AFL312" s="6"/>
      <c r="AFM312" s="6"/>
      <c r="AFN312" s="6"/>
      <c r="AFO312" s="6"/>
      <c r="AFP312" s="6"/>
      <c r="AFQ312" s="6"/>
      <c r="AFR312" s="6"/>
      <c r="AFS312" s="6"/>
      <c r="AFT312" s="6"/>
      <c r="AFU312" s="6"/>
      <c r="AFV312" s="6"/>
      <c r="AFW312" s="6"/>
      <c r="AFX312" s="6"/>
      <c r="AFY312" s="6"/>
      <c r="AFZ312" s="6"/>
      <c r="AGA312" s="6"/>
      <c r="AGB312" s="6"/>
      <c r="AGC312" s="6"/>
      <c r="AGD312" s="6"/>
      <c r="AGE312" s="6"/>
      <c r="AGF312" s="6"/>
      <c r="AGG312" s="6"/>
      <c r="AGH312" s="6"/>
      <c r="AGI312" s="6"/>
      <c r="AGJ312" s="6"/>
      <c r="AGK312" s="6"/>
      <c r="AGL312" s="6"/>
      <c r="AGM312" s="6"/>
      <c r="AGN312" s="6"/>
      <c r="AGO312" s="6"/>
      <c r="AGP312" s="6"/>
      <c r="AGQ312" s="6"/>
      <c r="AGR312" s="6"/>
      <c r="AGS312" s="6"/>
      <c r="AGT312" s="6"/>
      <c r="AGU312" s="6"/>
      <c r="AGV312" s="6"/>
      <c r="AGW312" s="6"/>
      <c r="AGX312" s="6"/>
      <c r="AGY312" s="6"/>
      <c r="AGZ312" s="6"/>
      <c r="AHA312" s="6"/>
      <c r="AHB312" s="6"/>
      <c r="AHC312" s="6"/>
      <c r="AHD312" s="6"/>
      <c r="AHE312" s="6"/>
      <c r="AHF312" s="6"/>
      <c r="AHG312" s="6"/>
      <c r="AHH312" s="6"/>
      <c r="AHI312" s="6"/>
      <c r="AHJ312" s="6"/>
      <c r="AHK312" s="6"/>
      <c r="AHL312" s="6"/>
      <c r="AHM312" s="6"/>
      <c r="AHN312" s="6"/>
      <c r="AHO312" s="6"/>
      <c r="AHP312" s="6"/>
      <c r="AHQ312" s="6"/>
      <c r="AHR312" s="6"/>
      <c r="AHS312" s="6"/>
      <c r="AHT312" s="6"/>
      <c r="AHU312" s="6"/>
      <c r="AHV312" s="6"/>
      <c r="AHW312" s="6"/>
      <c r="AHX312" s="6"/>
      <c r="AHY312" s="6"/>
      <c r="AHZ312" s="6"/>
      <c r="AIA312" s="6"/>
      <c r="AIB312" s="6"/>
      <c r="AIC312" s="6"/>
      <c r="AID312" s="6"/>
      <c r="AIE312" s="6"/>
      <c r="AIF312" s="6"/>
      <c r="AIG312" s="6"/>
      <c r="AIH312" s="6"/>
      <c r="AII312" s="6"/>
      <c r="AIJ312" s="6"/>
      <c r="AIK312" s="6"/>
      <c r="AIL312" s="6"/>
      <c r="AIM312" s="6"/>
      <c r="AIN312" s="6"/>
      <c r="AIO312" s="6"/>
      <c r="AIP312" s="6"/>
      <c r="AIQ312" s="6"/>
      <c r="AIR312" s="6"/>
      <c r="AIS312" s="6"/>
      <c r="AIT312" s="6"/>
      <c r="AIU312" s="6"/>
      <c r="AIV312" s="6"/>
      <c r="AIW312" s="6"/>
      <c r="AIX312" s="6"/>
      <c r="AIY312" s="6"/>
      <c r="AIZ312" s="6"/>
      <c r="AJA312" s="6"/>
      <c r="AJB312" s="6"/>
      <c r="AJC312" s="6"/>
      <c r="AJD312" s="6"/>
      <c r="AJE312" s="6"/>
      <c r="AJF312" s="6"/>
      <c r="AJG312" s="6"/>
      <c r="AJH312" s="6"/>
      <c r="AJI312" s="6"/>
      <c r="AJJ312" s="6"/>
      <c r="AJK312" s="6"/>
      <c r="AJL312" s="6"/>
      <c r="AJM312" s="6"/>
      <c r="AJN312" s="6"/>
      <c r="AJO312" s="6"/>
      <c r="AJP312" s="6"/>
      <c r="AJQ312" s="6"/>
      <c r="AJR312" s="6"/>
      <c r="AJS312" s="6"/>
      <c r="AJT312" s="6"/>
      <c r="AJU312" s="6"/>
      <c r="AJV312" s="6"/>
      <c r="AJW312" s="6"/>
      <c r="AJX312" s="6"/>
      <c r="AJY312" s="6"/>
      <c r="AJZ312" s="6"/>
      <c r="AKA312" s="6"/>
      <c r="AKB312" s="6"/>
      <c r="AKC312" s="6"/>
      <c r="AKD312" s="6"/>
      <c r="AKE312" s="6"/>
      <c r="AKF312" s="6"/>
      <c r="AKG312" s="6"/>
      <c r="AKH312" s="6"/>
      <c r="AKI312" s="6"/>
      <c r="AKJ312" s="6"/>
      <c r="AKK312" s="6"/>
      <c r="AKL312" s="6"/>
      <c r="AKM312" s="6"/>
      <c r="AKN312" s="6"/>
      <c r="AKO312" s="6"/>
      <c r="AKP312" s="6"/>
      <c r="AKQ312" s="6"/>
      <c r="AKR312" s="6"/>
      <c r="AKS312" s="6"/>
      <c r="AKT312" s="6"/>
      <c r="AKU312" s="6"/>
      <c r="AKV312" s="6"/>
      <c r="AKW312" s="6"/>
      <c r="AKX312" s="6"/>
      <c r="AKY312" s="6"/>
      <c r="AKZ312" s="6"/>
      <c r="ALA312" s="6"/>
      <c r="ALB312" s="6"/>
      <c r="ALC312" s="6"/>
      <c r="ALD312" s="6"/>
      <c r="ALE312" s="6"/>
      <c r="ALF312" s="6"/>
      <c r="ALG312" s="6"/>
      <c r="ALH312" s="6"/>
      <c r="ALI312" s="6"/>
      <c r="ALJ312" s="6"/>
      <c r="ALK312" s="6"/>
      <c r="ALL312" s="6"/>
      <c r="ALM312" s="6"/>
      <c r="ALN312" s="6"/>
      <c r="ALO312" s="6"/>
      <c r="ALP312" s="6"/>
      <c r="ALQ312" s="6"/>
      <c r="ALR312" s="6"/>
      <c r="ALS312" s="6"/>
      <c r="ALT312" s="6"/>
      <c r="ALU312" s="6"/>
      <c r="ALV312" s="6"/>
      <c r="ALW312" s="6"/>
      <c r="ALX312" s="6"/>
      <c r="ALY312" s="6"/>
      <c r="ALZ312" s="6"/>
      <c r="AMA312" s="6"/>
      <c r="AMB312" s="6"/>
      <c r="AMC312" s="6"/>
      <c r="AMD312" s="6"/>
      <c r="AME312" s="6"/>
      <c r="AMF312" s="6"/>
      <c r="AMG312" s="6"/>
      <c r="AMH312" s="6"/>
      <c r="AMI312" s="6"/>
      <c r="AMJ312" s="6"/>
      <c r="AMK312" s="6"/>
      <c r="AML312" s="6"/>
      <c r="AMM312" s="6"/>
      <c r="AMN312" s="6"/>
      <c r="AMO312" s="6"/>
      <c r="AMP312" s="6"/>
    </row>
    <row r="313" spans="1:1030" x14ac:dyDescent="0.2">
      <c r="A313" s="9" t="str">
        <f t="shared" si="1734"/>
        <v>ta2r_human_6IIU</v>
      </c>
      <c r="B313" s="40" t="s">
        <v>473</v>
      </c>
      <c r="C313" s="9" t="s">
        <v>1549</v>
      </c>
      <c r="D313" s="9" t="str">
        <f>IFERROR(MID(VLOOKUP($B313,Seqs!$A:$B,2,0),E313,1),"")</f>
        <v>S</v>
      </c>
      <c r="E313" s="9">
        <v>27</v>
      </c>
      <c r="F313" s="9" t="str">
        <f>IFERROR(MID(VLOOKUP($B313,Seqs!$A:$B,2,0),G313,1),"")</f>
        <v>A</v>
      </c>
      <c r="G313" s="9">
        <v>52</v>
      </c>
      <c r="H313" s="9" t="str">
        <f>IFERROR(MID(VLOOKUP($B313,Seqs!$A:$B,2,0),I313,1),"")</f>
        <v/>
      </c>
      <c r="I313" s="109" t="s">
        <v>23</v>
      </c>
      <c r="J313" s="9" t="str">
        <f>IFERROR(MID(VLOOKUP($B313,Seqs!$A:$B,2,0),K313,1),"")</f>
        <v/>
      </c>
      <c r="K313" s="109" t="s">
        <v>23</v>
      </c>
      <c r="L313" s="9" t="str">
        <f>IFERROR(MID(VLOOKUP($B313,Seqs!$A:$B,2,0),M313,1),"")</f>
        <v>S</v>
      </c>
      <c r="M313" s="9">
        <v>61</v>
      </c>
      <c r="N313" s="9" t="str">
        <f>IFERROR(MID(VLOOKUP($B313,Seqs!$A:$B,2,0),O313,1),"")</f>
        <v>A</v>
      </c>
      <c r="O313" s="9">
        <v>91</v>
      </c>
      <c r="P313" s="9" t="str">
        <f>IFERROR(MID(VLOOKUP($B313,Seqs!$A:$B,2,0),Q313,1),"")</f>
        <v>E</v>
      </c>
      <c r="Q313" s="9">
        <v>94</v>
      </c>
      <c r="R313" s="9" t="str">
        <f>IFERROR(MID(VLOOKUP($B313,Seqs!$A:$B,2,0),S313,1),"")</f>
        <v>V</v>
      </c>
      <c r="S313" s="9">
        <v>98</v>
      </c>
      <c r="T313" s="9" t="str">
        <f>IFERROR(MID(VLOOKUP($B313,Seqs!$A:$B,2,0),U313,1),"")</f>
        <v>C</v>
      </c>
      <c r="U313" s="9">
        <v>102</v>
      </c>
      <c r="V313" s="9" t="str">
        <f>IFERROR(MID(VLOOKUP($B313,Seqs!$A:$B,2,0),W313,1),"")</f>
        <v>R</v>
      </c>
      <c r="W313" s="9">
        <v>136</v>
      </c>
      <c r="X313" s="9" t="str">
        <f>IFERROR(MID(VLOOKUP($B313,Seqs!$A:$B,2,0),Y313,1),"")</f>
        <v/>
      </c>
      <c r="Y313" s="9" t="s">
        <v>23</v>
      </c>
      <c r="Z313" s="9" t="str">
        <f>IFERROR(MID(VLOOKUP($B313,Seqs!$A:$B,2,0),AA313,1),"")</f>
        <v/>
      </c>
      <c r="AA313" s="9" t="s">
        <v>23</v>
      </c>
      <c r="AB313" s="9" t="str">
        <f>IFERROR(MID(VLOOKUP($B313,Seqs!$A:$B,2,0),AC313,1),"")</f>
        <v>A</v>
      </c>
      <c r="AC313" s="9">
        <v>142</v>
      </c>
      <c r="AD313" s="9" t="str">
        <f>IFERROR(MID(VLOOKUP($B313,Seqs!$A:$B,2,0),AE313,1),"")</f>
        <v>L</v>
      </c>
      <c r="AE313" s="9">
        <v>169</v>
      </c>
      <c r="AF313" s="9" t="str">
        <f>IFERROR(MID(VLOOKUP($B313,Seqs!$A:$B,2,0),AG313,1),"")</f>
        <v>C</v>
      </c>
      <c r="AG313" s="9">
        <v>183</v>
      </c>
      <c r="AH313" s="9" t="str">
        <f>IFERROR(MID(VLOOKUP($B313,Seqs!$A:$B,2,0),AI313,1),"")</f>
        <v>L</v>
      </c>
      <c r="AI313" s="9">
        <v>185</v>
      </c>
      <c r="AJ313" s="9" t="str">
        <f>IFERROR(MID(VLOOKUP($B313,Seqs!$A:$B,2,0),AK313,1),"")</f>
        <v>E</v>
      </c>
      <c r="AK313" s="9">
        <v>190</v>
      </c>
      <c r="AL313" s="9" t="str">
        <f>IFERROR(MID(VLOOKUP($B313,Seqs!$A:$B,2,0),AM313,1),"")</f>
        <v>Y</v>
      </c>
      <c r="AM313" s="9">
        <v>226</v>
      </c>
      <c r="AN313" s="9" t="str">
        <f>IFERROR(MID(VLOOKUP($B313,Seqs!$A:$B,2,0),AO313,1),"")</f>
        <v>R</v>
      </c>
      <c r="AO313" s="9">
        <v>237</v>
      </c>
      <c r="AP313" s="9" t="str">
        <f>IFERROR(MID(VLOOKUP($B313,Seqs!$A:$B,2,0),AQ313,1),"")</f>
        <v>R</v>
      </c>
      <c r="AQ313" s="9">
        <v>271</v>
      </c>
      <c r="AR313" s="9" t="str">
        <f>IFERROR(MID(VLOOKUP($B313,Seqs!$A:$B,2,0),AS313,1),"")</f>
        <v>S</v>
      </c>
      <c r="AS313" s="9">
        <v>283</v>
      </c>
      <c r="AT313" s="9" t="str">
        <f>IFERROR(MID(VLOOKUP($B313,Seqs!$A:$B,2,0),AU313,1),"")</f>
        <v>F</v>
      </c>
      <c r="AU313" s="9">
        <v>311</v>
      </c>
      <c r="AV313" s="9" t="str">
        <f>IFERROR(MID(VLOOKUP($B313,Seqs!$A:$B,2,0),AW313,1),"")</f>
        <v>R</v>
      </c>
      <c r="AW313" s="9">
        <v>312</v>
      </c>
      <c r="AX313" s="9" t="str">
        <f>IFERROR(MID(VLOOKUP($B313,Seqs!$A:$B,2,0),AY313,1),"")</f>
        <v>Q</v>
      </c>
      <c r="AY313" s="9">
        <v>320</v>
      </c>
      <c r="AZ313" s="110" t="str">
        <f>VLOOKUP(B313,Classification!A:D,2,0)</f>
        <v>A</v>
      </c>
      <c r="BA313" s="98" t="str">
        <f>VLOOKUP(B313,Classification!A:D,4,0)</f>
        <v>Prostanoid</v>
      </c>
      <c r="BB313" s="36" t="b">
        <f t="shared" si="1735"/>
        <v>1</v>
      </c>
      <c r="BC313" s="109">
        <f t="shared" si="1736"/>
        <v>240</v>
      </c>
      <c r="BD313" s="11" t="s">
        <v>23</v>
      </c>
      <c r="BE313" s="9" t="s">
        <v>1375</v>
      </c>
      <c r="BF313" s="120">
        <v>2.5</v>
      </c>
      <c r="BG313" s="51" t="s">
        <v>1</v>
      </c>
      <c r="BH313" s="51" t="s">
        <v>1</v>
      </c>
      <c r="BI313" s="12"/>
      <c r="BJ313" s="111" t="s">
        <v>1288</v>
      </c>
      <c r="BK313" s="112" t="s">
        <v>1288</v>
      </c>
      <c r="BL313" s="112" t="s">
        <v>1288</v>
      </c>
      <c r="BM313" s="112" t="s">
        <v>1288</v>
      </c>
      <c r="BN313" s="112" t="s">
        <v>1288</v>
      </c>
      <c r="BO313" s="112" t="s">
        <v>1288</v>
      </c>
      <c r="BP313" s="112" t="s">
        <v>1288</v>
      </c>
      <c r="BQ313" s="112" t="s">
        <v>1288</v>
      </c>
      <c r="BR313" s="112" t="s">
        <v>1288</v>
      </c>
      <c r="BS313" s="112" t="s">
        <v>1288</v>
      </c>
      <c r="BT313" s="112" t="s">
        <v>1288</v>
      </c>
      <c r="BU313" s="112" t="s">
        <v>1288</v>
      </c>
      <c r="BV313" s="111">
        <f t="shared" si="1737"/>
        <v>27</v>
      </c>
      <c r="BW313" s="113" t="str">
        <f t="shared" si="1738"/>
        <v>-</v>
      </c>
      <c r="BX313" s="114">
        <f t="shared" si="1739"/>
        <v>61</v>
      </c>
      <c r="BY313" s="113">
        <f t="shared" si="1740"/>
        <v>94</v>
      </c>
      <c r="BZ313" s="114">
        <f t="shared" si="1741"/>
        <v>102</v>
      </c>
      <c r="CA313" s="113" t="str">
        <f t="shared" si="1742"/>
        <v>-</v>
      </c>
      <c r="CB313" s="114">
        <f t="shared" si="1743"/>
        <v>142</v>
      </c>
      <c r="CC313" s="113">
        <f t="shared" si="1744"/>
        <v>183</v>
      </c>
      <c r="CD313" s="114">
        <f t="shared" si="1745"/>
        <v>190</v>
      </c>
      <c r="CE313" s="113">
        <f t="shared" si="1746"/>
        <v>237</v>
      </c>
      <c r="CF313" s="114">
        <f t="shared" si="1747"/>
        <v>283</v>
      </c>
      <c r="CG313" s="113">
        <f t="shared" si="1748"/>
        <v>312</v>
      </c>
      <c r="CH313" s="111">
        <f t="shared" si="1749"/>
        <v>52</v>
      </c>
      <c r="CI313" s="113" t="str">
        <f t="shared" si="1750"/>
        <v>-</v>
      </c>
      <c r="CJ313" s="114">
        <f t="shared" si="1751"/>
        <v>91</v>
      </c>
      <c r="CK313" s="114">
        <f t="shared" si="1752"/>
        <v>98</v>
      </c>
      <c r="CL313" s="114">
        <f t="shared" si="1753"/>
        <v>136</v>
      </c>
      <c r="CM313" s="114" t="str">
        <f t="shared" si="1754"/>
        <v>-</v>
      </c>
      <c r="CN313" s="114">
        <f t="shared" si="1755"/>
        <v>169</v>
      </c>
      <c r="CO313" s="114">
        <f t="shared" si="1756"/>
        <v>185</v>
      </c>
      <c r="CP313" s="114">
        <f t="shared" si="1757"/>
        <v>226</v>
      </c>
      <c r="CQ313" s="114">
        <f t="shared" si="1758"/>
        <v>271</v>
      </c>
      <c r="CR313" s="114">
        <f t="shared" si="1759"/>
        <v>311</v>
      </c>
      <c r="CS313" s="114">
        <f t="shared" si="1760"/>
        <v>320</v>
      </c>
      <c r="CT313" s="109" t="e">
        <f t="shared" si="1761"/>
        <v>#VALUE!</v>
      </c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/>
      <c r="DZ313" s="6"/>
      <c r="EA313" s="6"/>
      <c r="EB313" s="6"/>
      <c r="EC313" s="6"/>
      <c r="ED313" s="6"/>
      <c r="EE313" s="6"/>
      <c r="EF313" s="6"/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  <c r="ET313" s="6"/>
      <c r="EU313" s="6"/>
      <c r="EV313" s="6"/>
      <c r="EW313" s="6"/>
      <c r="EX313" s="6"/>
      <c r="EY313" s="6"/>
      <c r="EZ313" s="6"/>
      <c r="FA313" s="6"/>
      <c r="FB313" s="6"/>
      <c r="FC313" s="6"/>
      <c r="FD313" s="6"/>
      <c r="FE313" s="6"/>
      <c r="FF313" s="6"/>
      <c r="FG313" s="6"/>
      <c r="FH313" s="6"/>
      <c r="FI313" s="6"/>
      <c r="FJ313" s="6"/>
      <c r="FK313" s="6"/>
      <c r="FL313" s="6"/>
      <c r="FM313" s="6"/>
      <c r="FN313" s="6"/>
      <c r="FO313" s="6"/>
      <c r="FP313" s="6"/>
      <c r="FQ313" s="6"/>
      <c r="FR313" s="6"/>
      <c r="FS313" s="6"/>
      <c r="FT313" s="6"/>
      <c r="FU313" s="6"/>
      <c r="FV313" s="6"/>
      <c r="FW313" s="6"/>
      <c r="FX313" s="6"/>
      <c r="FY313" s="6"/>
      <c r="FZ313" s="6"/>
      <c r="GA313" s="6"/>
      <c r="GB313" s="6"/>
      <c r="GC313" s="6"/>
      <c r="GD313" s="6"/>
      <c r="GE313" s="6"/>
      <c r="GF313" s="6"/>
      <c r="GG313" s="6"/>
      <c r="GH313" s="6"/>
      <c r="GI313" s="6"/>
      <c r="GJ313" s="6"/>
      <c r="GK313" s="6"/>
      <c r="GL313" s="6"/>
      <c r="GM313" s="6"/>
      <c r="GN313" s="6"/>
      <c r="GO313" s="6"/>
      <c r="GP313" s="6"/>
      <c r="GQ313" s="6"/>
      <c r="GR313" s="6"/>
      <c r="GS313" s="6"/>
      <c r="GT313" s="6"/>
      <c r="GU313" s="6"/>
      <c r="GV313" s="6"/>
      <c r="GW313" s="6"/>
      <c r="GX313" s="6"/>
      <c r="GY313" s="6"/>
      <c r="GZ313" s="6"/>
      <c r="HA313" s="6"/>
      <c r="HB313" s="6"/>
      <c r="HC313" s="6"/>
      <c r="HD313" s="6"/>
      <c r="HE313" s="6"/>
      <c r="HF313" s="6"/>
      <c r="HG313" s="6"/>
      <c r="HH313" s="6"/>
      <c r="HI313" s="6"/>
      <c r="HJ313" s="6"/>
      <c r="HK313" s="6"/>
      <c r="HL313" s="6"/>
      <c r="HM313" s="6"/>
      <c r="HN313" s="6"/>
      <c r="HO313" s="6"/>
      <c r="HP313" s="6"/>
      <c r="HQ313" s="6"/>
      <c r="HR313" s="6"/>
      <c r="HS313" s="6"/>
      <c r="HT313" s="6"/>
      <c r="HU313" s="6"/>
      <c r="HV313" s="6"/>
      <c r="HW313" s="6"/>
      <c r="HX313" s="6"/>
      <c r="HY313" s="6"/>
      <c r="HZ313" s="6"/>
      <c r="IA313" s="6"/>
      <c r="IB313" s="6"/>
      <c r="IC313" s="6"/>
      <c r="ID313" s="6"/>
      <c r="IE313" s="6"/>
      <c r="IF313" s="6"/>
      <c r="IG313" s="6"/>
      <c r="IH313" s="6"/>
      <c r="II313" s="6"/>
      <c r="IJ313" s="6"/>
      <c r="IK313" s="6"/>
      <c r="IL313" s="6"/>
      <c r="IM313" s="6"/>
      <c r="IN313" s="6"/>
      <c r="IO313" s="6"/>
      <c r="IP313" s="6"/>
      <c r="IQ313" s="6"/>
      <c r="IR313" s="6"/>
      <c r="IS313" s="6"/>
      <c r="IT313" s="6"/>
      <c r="IU313" s="6"/>
      <c r="IV313" s="6"/>
      <c r="IW313" s="6"/>
      <c r="IX313" s="6"/>
      <c r="IY313" s="6"/>
      <c r="IZ313" s="6"/>
      <c r="JA313" s="6"/>
      <c r="JB313" s="6"/>
      <c r="JC313" s="6"/>
      <c r="JD313" s="6"/>
      <c r="JE313" s="6"/>
      <c r="JF313" s="6"/>
      <c r="JG313" s="6"/>
      <c r="JH313" s="6"/>
      <c r="JI313" s="6"/>
      <c r="JJ313" s="6"/>
      <c r="JK313" s="6"/>
      <c r="JL313" s="6"/>
      <c r="JM313" s="6"/>
      <c r="JN313" s="6"/>
      <c r="JO313" s="6"/>
      <c r="JP313" s="6"/>
      <c r="JQ313" s="6"/>
      <c r="JR313" s="6"/>
      <c r="JS313" s="6"/>
      <c r="JT313" s="6"/>
      <c r="JU313" s="6"/>
      <c r="JV313" s="6"/>
      <c r="JW313" s="6"/>
      <c r="JX313" s="6"/>
      <c r="JY313" s="6"/>
      <c r="JZ313" s="6"/>
      <c r="KA313" s="6"/>
      <c r="KB313" s="6"/>
      <c r="KC313" s="6"/>
      <c r="KD313" s="6"/>
      <c r="KE313" s="6"/>
      <c r="KF313" s="6"/>
      <c r="KG313" s="6"/>
      <c r="KH313" s="6"/>
      <c r="KI313" s="6"/>
      <c r="KJ313" s="6"/>
      <c r="KK313" s="6"/>
      <c r="KL313" s="6"/>
      <c r="KM313" s="6"/>
      <c r="KN313" s="6"/>
      <c r="KO313" s="6"/>
      <c r="KP313" s="6"/>
      <c r="KQ313" s="6"/>
      <c r="KR313" s="6"/>
      <c r="KS313" s="6"/>
      <c r="KT313" s="6"/>
      <c r="KU313" s="6"/>
      <c r="KV313" s="6"/>
      <c r="KW313" s="6"/>
      <c r="KX313" s="6"/>
      <c r="KY313" s="6"/>
      <c r="KZ313" s="6"/>
      <c r="LA313" s="6"/>
      <c r="LB313" s="6"/>
      <c r="LC313" s="6"/>
      <c r="LD313" s="6"/>
      <c r="LE313" s="6"/>
      <c r="LF313" s="6"/>
      <c r="LG313" s="6"/>
      <c r="LH313" s="6"/>
      <c r="LI313" s="6"/>
      <c r="LJ313" s="6"/>
      <c r="LK313" s="6"/>
      <c r="LL313" s="6"/>
      <c r="LM313" s="6"/>
      <c r="LN313" s="6"/>
      <c r="LO313" s="6"/>
      <c r="LP313" s="6"/>
      <c r="LQ313" s="6"/>
      <c r="LR313" s="6"/>
      <c r="LS313" s="6"/>
      <c r="LT313" s="6"/>
      <c r="LU313" s="6"/>
      <c r="LV313" s="6"/>
      <c r="LW313" s="6"/>
      <c r="LX313" s="6"/>
      <c r="LY313" s="6"/>
      <c r="LZ313" s="6"/>
      <c r="MA313" s="6"/>
      <c r="MB313" s="6"/>
      <c r="MC313" s="6"/>
      <c r="MD313" s="6"/>
      <c r="ME313" s="6"/>
      <c r="MF313" s="6"/>
      <c r="MG313" s="6"/>
      <c r="MH313" s="6"/>
      <c r="MI313" s="6"/>
      <c r="MJ313" s="6"/>
      <c r="MK313" s="6"/>
      <c r="ML313" s="6"/>
      <c r="MM313" s="6"/>
      <c r="MN313" s="6"/>
      <c r="MO313" s="6"/>
      <c r="MP313" s="6"/>
      <c r="MQ313" s="6"/>
      <c r="MR313" s="6"/>
      <c r="MS313" s="6"/>
      <c r="MT313" s="6"/>
      <c r="MU313" s="6"/>
      <c r="MV313" s="6"/>
      <c r="MW313" s="6"/>
      <c r="MX313" s="6"/>
      <c r="MY313" s="6"/>
      <c r="MZ313" s="6"/>
      <c r="NA313" s="6"/>
      <c r="NB313" s="6"/>
      <c r="NC313" s="6"/>
      <c r="ND313" s="6"/>
      <c r="NE313" s="6"/>
      <c r="NF313" s="6"/>
      <c r="NG313" s="6"/>
      <c r="NH313" s="6"/>
      <c r="NI313" s="6"/>
      <c r="NJ313" s="6"/>
      <c r="NK313" s="6"/>
      <c r="NL313" s="6"/>
      <c r="NM313" s="6"/>
      <c r="NN313" s="6"/>
      <c r="NO313" s="6"/>
      <c r="NP313" s="6"/>
      <c r="NQ313" s="6"/>
      <c r="NR313" s="6"/>
      <c r="NS313" s="6"/>
      <c r="NT313" s="6"/>
      <c r="NU313" s="6"/>
      <c r="NV313" s="6"/>
      <c r="NW313" s="6"/>
      <c r="NX313" s="6"/>
      <c r="NY313" s="6"/>
      <c r="NZ313" s="6"/>
      <c r="OA313" s="6"/>
      <c r="OB313" s="6"/>
      <c r="OC313" s="6"/>
      <c r="OD313" s="6"/>
      <c r="OE313" s="6"/>
      <c r="OF313" s="6"/>
      <c r="OG313" s="6"/>
      <c r="OH313" s="6"/>
      <c r="OI313" s="6"/>
      <c r="OJ313" s="6"/>
      <c r="OK313" s="6"/>
      <c r="OL313" s="6"/>
      <c r="OM313" s="6"/>
      <c r="ON313" s="6"/>
      <c r="OO313" s="6"/>
      <c r="OP313" s="6"/>
      <c r="OQ313" s="6"/>
      <c r="OR313" s="6"/>
      <c r="OS313" s="6"/>
      <c r="OT313" s="6"/>
      <c r="OU313" s="6"/>
      <c r="OV313" s="6"/>
      <c r="OW313" s="6"/>
      <c r="OX313" s="6"/>
      <c r="OY313" s="6"/>
      <c r="OZ313" s="6"/>
      <c r="PA313" s="6"/>
      <c r="PB313" s="6"/>
      <c r="PC313" s="6"/>
      <c r="PD313" s="6"/>
      <c r="PE313" s="6"/>
      <c r="PF313" s="6"/>
      <c r="PG313" s="6"/>
      <c r="PH313" s="6"/>
      <c r="PI313" s="6"/>
      <c r="PJ313" s="6"/>
      <c r="PK313" s="6"/>
      <c r="PL313" s="6"/>
      <c r="PM313" s="6"/>
      <c r="PN313" s="6"/>
      <c r="PO313" s="6"/>
      <c r="PP313" s="6"/>
      <c r="PQ313" s="6"/>
      <c r="PR313" s="6"/>
      <c r="PS313" s="6"/>
      <c r="PT313" s="6"/>
      <c r="PU313" s="6"/>
      <c r="PV313" s="6"/>
      <c r="PW313" s="6"/>
      <c r="PX313" s="6"/>
      <c r="PY313" s="6"/>
      <c r="PZ313" s="6"/>
      <c r="QA313" s="6"/>
      <c r="QB313" s="6"/>
      <c r="QC313" s="6"/>
      <c r="QD313" s="6"/>
      <c r="QE313" s="6"/>
      <c r="QF313" s="6"/>
      <c r="QG313" s="6"/>
      <c r="QH313" s="6"/>
      <c r="QI313" s="6"/>
      <c r="QJ313" s="6"/>
      <c r="QK313" s="6"/>
      <c r="QL313" s="6"/>
      <c r="QM313" s="6"/>
      <c r="QN313" s="6"/>
      <c r="QO313" s="6"/>
      <c r="QP313" s="6"/>
      <c r="QQ313" s="6"/>
      <c r="QR313" s="6"/>
      <c r="QS313" s="6"/>
      <c r="QT313" s="6"/>
      <c r="QU313" s="6"/>
      <c r="QV313" s="6"/>
      <c r="QW313" s="6"/>
      <c r="QX313" s="6"/>
      <c r="QY313" s="6"/>
      <c r="QZ313" s="6"/>
      <c r="RA313" s="6"/>
      <c r="RB313" s="6"/>
      <c r="RC313" s="6"/>
      <c r="RD313" s="6"/>
      <c r="RE313" s="6"/>
      <c r="RF313" s="6"/>
      <c r="RG313" s="6"/>
      <c r="RH313" s="6"/>
      <c r="RI313" s="6"/>
      <c r="RJ313" s="6"/>
      <c r="RK313" s="6"/>
      <c r="RL313" s="6"/>
      <c r="RM313" s="6"/>
      <c r="RN313" s="6"/>
      <c r="RO313" s="6"/>
      <c r="RP313" s="6"/>
      <c r="RQ313" s="6"/>
      <c r="RR313" s="6"/>
      <c r="RS313" s="6"/>
      <c r="RT313" s="6"/>
      <c r="RU313" s="6"/>
      <c r="RV313" s="6"/>
      <c r="RW313" s="6"/>
      <c r="RX313" s="6"/>
      <c r="RY313" s="6"/>
      <c r="RZ313" s="6"/>
      <c r="SA313" s="6"/>
      <c r="SB313" s="6"/>
      <c r="SC313" s="6"/>
      <c r="SD313" s="6"/>
      <c r="SE313" s="6"/>
      <c r="SF313" s="6"/>
      <c r="SG313" s="6"/>
      <c r="SH313" s="6"/>
      <c r="SI313" s="6"/>
      <c r="SJ313" s="6"/>
      <c r="SK313" s="6"/>
      <c r="SL313" s="6"/>
      <c r="SM313" s="6"/>
      <c r="SN313" s="6"/>
      <c r="SO313" s="6"/>
      <c r="SP313" s="6"/>
      <c r="SQ313" s="6"/>
      <c r="SR313" s="6"/>
      <c r="SS313" s="6"/>
      <c r="ST313" s="6"/>
      <c r="SU313" s="6"/>
      <c r="SV313" s="6"/>
      <c r="SW313" s="6"/>
      <c r="SX313" s="6"/>
      <c r="SY313" s="6"/>
      <c r="SZ313" s="6"/>
      <c r="TA313" s="6"/>
      <c r="TB313" s="6"/>
      <c r="TC313" s="6"/>
      <c r="TD313" s="6"/>
      <c r="TE313" s="6"/>
      <c r="TF313" s="6"/>
      <c r="TG313" s="6"/>
      <c r="TH313" s="6"/>
      <c r="TI313" s="6"/>
      <c r="TJ313" s="6"/>
      <c r="TK313" s="6"/>
      <c r="TL313" s="6"/>
      <c r="TM313" s="6"/>
      <c r="TN313" s="6"/>
      <c r="TO313" s="6"/>
      <c r="TP313" s="6"/>
      <c r="TQ313" s="6"/>
      <c r="TR313" s="6"/>
      <c r="TS313" s="6"/>
      <c r="TT313" s="6"/>
      <c r="TU313" s="6"/>
      <c r="TV313" s="6"/>
      <c r="TW313" s="6"/>
      <c r="TX313" s="6"/>
      <c r="TY313" s="6"/>
      <c r="TZ313" s="6"/>
      <c r="UA313" s="6"/>
      <c r="UB313" s="6"/>
      <c r="UC313" s="6"/>
      <c r="UD313" s="6"/>
      <c r="UE313" s="6"/>
      <c r="UF313" s="6"/>
      <c r="UG313" s="6"/>
      <c r="UH313" s="6"/>
      <c r="UI313" s="6"/>
      <c r="UJ313" s="6"/>
      <c r="UK313" s="6"/>
      <c r="UL313" s="6"/>
      <c r="UM313" s="6"/>
      <c r="UN313" s="6"/>
      <c r="UO313" s="6"/>
      <c r="UP313" s="6"/>
      <c r="UQ313" s="6"/>
      <c r="UR313" s="6"/>
      <c r="US313" s="6"/>
      <c r="UT313" s="6"/>
      <c r="UU313" s="6"/>
      <c r="UV313" s="6"/>
      <c r="UW313" s="6"/>
      <c r="UX313" s="6"/>
      <c r="UY313" s="6"/>
      <c r="UZ313" s="6"/>
      <c r="VA313" s="6"/>
      <c r="VB313" s="6"/>
      <c r="VC313" s="6"/>
      <c r="VD313" s="6"/>
      <c r="VE313" s="6"/>
      <c r="VF313" s="6"/>
      <c r="VG313" s="6"/>
      <c r="VH313" s="6"/>
      <c r="VI313" s="6"/>
      <c r="VJ313" s="6"/>
      <c r="VK313" s="6"/>
      <c r="VL313" s="6"/>
      <c r="VM313" s="6"/>
      <c r="VN313" s="6"/>
      <c r="VO313" s="6"/>
      <c r="VP313" s="6"/>
      <c r="VQ313" s="6"/>
      <c r="VR313" s="6"/>
      <c r="VS313" s="6"/>
      <c r="VT313" s="6"/>
      <c r="VU313" s="6"/>
      <c r="VV313" s="6"/>
      <c r="VW313" s="6"/>
      <c r="VX313" s="6"/>
      <c r="VY313" s="6"/>
      <c r="VZ313" s="6"/>
      <c r="WA313" s="6"/>
      <c r="WB313" s="6"/>
      <c r="WC313" s="6"/>
      <c r="WD313" s="6"/>
      <c r="WE313" s="6"/>
      <c r="WF313" s="6"/>
      <c r="WG313" s="6"/>
      <c r="WH313" s="6"/>
      <c r="WI313" s="6"/>
      <c r="WJ313" s="6"/>
      <c r="WK313" s="6"/>
      <c r="WL313" s="6"/>
      <c r="WM313" s="6"/>
      <c r="WN313" s="6"/>
      <c r="WO313" s="6"/>
      <c r="WP313" s="6"/>
      <c r="WQ313" s="6"/>
      <c r="WR313" s="6"/>
      <c r="WS313" s="6"/>
      <c r="WT313" s="6"/>
      <c r="WU313" s="6"/>
      <c r="WV313" s="6"/>
      <c r="WW313" s="6"/>
      <c r="WX313" s="6"/>
      <c r="WY313" s="6"/>
      <c r="WZ313" s="6"/>
      <c r="XA313" s="6"/>
      <c r="XB313" s="6"/>
      <c r="XC313" s="6"/>
      <c r="XD313" s="6"/>
      <c r="XE313" s="6"/>
      <c r="XF313" s="6"/>
      <c r="XG313" s="6"/>
      <c r="XH313" s="6"/>
      <c r="XI313" s="6"/>
      <c r="XJ313" s="6"/>
      <c r="XK313" s="6"/>
      <c r="XL313" s="6"/>
      <c r="XM313" s="6"/>
      <c r="XN313" s="6"/>
      <c r="XO313" s="6"/>
      <c r="XP313" s="6"/>
      <c r="XQ313" s="6"/>
      <c r="XR313" s="6"/>
      <c r="XS313" s="6"/>
      <c r="XT313" s="6"/>
      <c r="XU313" s="6"/>
      <c r="XV313" s="6"/>
      <c r="XW313" s="6"/>
      <c r="XX313" s="6"/>
      <c r="XY313" s="6"/>
      <c r="XZ313" s="6"/>
      <c r="YA313" s="6"/>
      <c r="YB313" s="6"/>
      <c r="YC313" s="6"/>
      <c r="YD313" s="6"/>
      <c r="YE313" s="6"/>
      <c r="YF313" s="6"/>
      <c r="YG313" s="6"/>
      <c r="YH313" s="6"/>
      <c r="YI313" s="6"/>
      <c r="YJ313" s="6"/>
      <c r="YK313" s="6"/>
      <c r="YL313" s="6"/>
      <c r="YM313" s="6"/>
      <c r="YN313" s="6"/>
      <c r="YO313" s="6"/>
      <c r="YP313" s="6"/>
      <c r="YQ313" s="6"/>
      <c r="YR313" s="6"/>
      <c r="YS313" s="6"/>
      <c r="YT313" s="6"/>
      <c r="YU313" s="6"/>
      <c r="YV313" s="6"/>
      <c r="YW313" s="6"/>
      <c r="YX313" s="6"/>
      <c r="YY313" s="6"/>
      <c r="YZ313" s="6"/>
      <c r="ZA313" s="6"/>
      <c r="ZB313" s="6"/>
      <c r="ZC313" s="6"/>
      <c r="ZD313" s="6"/>
      <c r="ZE313" s="6"/>
      <c r="ZF313" s="6"/>
      <c r="ZG313" s="6"/>
      <c r="ZH313" s="6"/>
      <c r="ZI313" s="6"/>
      <c r="ZJ313" s="6"/>
      <c r="ZK313" s="6"/>
      <c r="ZL313" s="6"/>
      <c r="ZM313" s="6"/>
      <c r="ZN313" s="6"/>
      <c r="ZO313" s="6"/>
      <c r="ZP313" s="6"/>
      <c r="ZQ313" s="6"/>
      <c r="ZR313" s="6"/>
      <c r="ZS313" s="6"/>
      <c r="ZT313" s="6"/>
      <c r="ZU313" s="6"/>
      <c r="ZV313" s="6"/>
      <c r="ZW313" s="6"/>
      <c r="ZX313" s="6"/>
      <c r="ZY313" s="6"/>
      <c r="ZZ313" s="6"/>
      <c r="AAA313" s="6"/>
      <c r="AAB313" s="6"/>
      <c r="AAC313" s="6"/>
      <c r="AAD313" s="6"/>
      <c r="AAE313" s="6"/>
      <c r="AAF313" s="6"/>
      <c r="AAG313" s="6"/>
      <c r="AAH313" s="6"/>
      <c r="AAI313" s="6"/>
      <c r="AAJ313" s="6"/>
      <c r="AAK313" s="6"/>
      <c r="AAL313" s="6"/>
      <c r="AAM313" s="6"/>
      <c r="AAN313" s="6"/>
      <c r="AAO313" s="6"/>
      <c r="AAP313" s="6"/>
      <c r="AAQ313" s="6"/>
      <c r="AAR313" s="6"/>
      <c r="AAS313" s="6"/>
      <c r="AAT313" s="6"/>
      <c r="AAU313" s="6"/>
      <c r="AAV313" s="6"/>
      <c r="AAW313" s="6"/>
      <c r="AAX313" s="6"/>
      <c r="AAY313" s="6"/>
      <c r="AAZ313" s="6"/>
      <c r="ABA313" s="6"/>
      <c r="ABB313" s="6"/>
      <c r="ABC313" s="6"/>
      <c r="ABD313" s="6"/>
      <c r="ABE313" s="6"/>
      <c r="ABF313" s="6"/>
      <c r="ABG313" s="6"/>
      <c r="ABH313" s="6"/>
      <c r="ABI313" s="6"/>
      <c r="ABJ313" s="6"/>
      <c r="ABK313" s="6"/>
      <c r="ABL313" s="6"/>
      <c r="ABM313" s="6"/>
      <c r="ABN313" s="6"/>
      <c r="ABO313" s="6"/>
      <c r="ABP313" s="6"/>
      <c r="ABQ313" s="6"/>
      <c r="ABR313" s="6"/>
      <c r="ABS313" s="6"/>
      <c r="ABT313" s="6"/>
      <c r="ABU313" s="6"/>
      <c r="ABV313" s="6"/>
      <c r="ABW313" s="6"/>
      <c r="ABX313" s="6"/>
      <c r="ABY313" s="6"/>
      <c r="ABZ313" s="6"/>
      <c r="ACA313" s="6"/>
      <c r="ACB313" s="6"/>
      <c r="ACC313" s="6"/>
      <c r="ACD313" s="6"/>
      <c r="ACE313" s="6"/>
      <c r="ACF313" s="6"/>
      <c r="ACG313" s="6"/>
      <c r="ACH313" s="6"/>
      <c r="ACI313" s="6"/>
      <c r="ACJ313" s="6"/>
      <c r="ACK313" s="6"/>
      <c r="ACL313" s="6"/>
      <c r="ACM313" s="6"/>
      <c r="ACN313" s="6"/>
      <c r="ACO313" s="6"/>
      <c r="ACP313" s="6"/>
      <c r="ACQ313" s="6"/>
      <c r="ACR313" s="6"/>
      <c r="ACS313" s="6"/>
      <c r="ACT313" s="6"/>
      <c r="ACU313" s="6"/>
      <c r="ACV313" s="6"/>
      <c r="ACW313" s="6"/>
      <c r="ACX313" s="6"/>
      <c r="ACY313" s="6"/>
      <c r="ACZ313" s="6"/>
      <c r="ADA313" s="6"/>
      <c r="ADB313" s="6"/>
      <c r="ADC313" s="6"/>
      <c r="ADD313" s="6"/>
      <c r="ADE313" s="6"/>
      <c r="ADF313" s="6"/>
      <c r="ADG313" s="6"/>
      <c r="ADH313" s="6"/>
      <c r="ADI313" s="6"/>
      <c r="ADJ313" s="6"/>
      <c r="ADK313" s="6"/>
      <c r="ADL313" s="6"/>
      <c r="ADM313" s="6"/>
      <c r="ADN313" s="6"/>
      <c r="ADO313" s="6"/>
      <c r="ADP313" s="6"/>
      <c r="ADQ313" s="6"/>
      <c r="ADR313" s="6"/>
      <c r="ADS313" s="6"/>
      <c r="ADT313" s="6"/>
      <c r="ADU313" s="6"/>
      <c r="ADV313" s="6"/>
      <c r="ADW313" s="6"/>
      <c r="ADX313" s="6"/>
      <c r="ADY313" s="6"/>
      <c r="ADZ313" s="6"/>
      <c r="AEA313" s="6"/>
      <c r="AEB313" s="6"/>
      <c r="AEC313" s="6"/>
      <c r="AED313" s="6"/>
      <c r="AEE313" s="6"/>
      <c r="AEF313" s="6"/>
      <c r="AEG313" s="6"/>
      <c r="AEH313" s="6"/>
      <c r="AEI313" s="6"/>
      <c r="AEJ313" s="6"/>
      <c r="AEK313" s="6"/>
      <c r="AEL313" s="6"/>
      <c r="AEM313" s="6"/>
      <c r="AEN313" s="6"/>
      <c r="AEO313" s="6"/>
      <c r="AEP313" s="6"/>
      <c r="AEQ313" s="6"/>
      <c r="AER313" s="6"/>
      <c r="AES313" s="6"/>
      <c r="AET313" s="6"/>
      <c r="AEU313" s="6"/>
      <c r="AEV313" s="6"/>
      <c r="AEW313" s="6"/>
      <c r="AEX313" s="6"/>
      <c r="AEY313" s="6"/>
      <c r="AEZ313" s="6"/>
      <c r="AFA313" s="6"/>
      <c r="AFB313" s="6"/>
      <c r="AFC313" s="6"/>
      <c r="AFD313" s="6"/>
      <c r="AFE313" s="6"/>
      <c r="AFF313" s="6"/>
      <c r="AFG313" s="6"/>
      <c r="AFH313" s="6"/>
      <c r="AFI313" s="6"/>
      <c r="AFJ313" s="6"/>
      <c r="AFK313" s="6"/>
      <c r="AFL313" s="6"/>
      <c r="AFM313" s="6"/>
      <c r="AFN313" s="6"/>
      <c r="AFO313" s="6"/>
      <c r="AFP313" s="6"/>
      <c r="AFQ313" s="6"/>
      <c r="AFR313" s="6"/>
      <c r="AFS313" s="6"/>
      <c r="AFT313" s="6"/>
      <c r="AFU313" s="6"/>
      <c r="AFV313" s="6"/>
      <c r="AFW313" s="6"/>
      <c r="AFX313" s="6"/>
      <c r="AFY313" s="6"/>
      <c r="AFZ313" s="6"/>
      <c r="AGA313" s="6"/>
      <c r="AGB313" s="6"/>
      <c r="AGC313" s="6"/>
      <c r="AGD313" s="6"/>
      <c r="AGE313" s="6"/>
      <c r="AGF313" s="6"/>
      <c r="AGG313" s="6"/>
      <c r="AGH313" s="6"/>
      <c r="AGI313" s="6"/>
      <c r="AGJ313" s="6"/>
      <c r="AGK313" s="6"/>
      <c r="AGL313" s="6"/>
      <c r="AGM313" s="6"/>
      <c r="AGN313" s="6"/>
      <c r="AGO313" s="6"/>
      <c r="AGP313" s="6"/>
      <c r="AGQ313" s="6"/>
      <c r="AGR313" s="6"/>
      <c r="AGS313" s="6"/>
      <c r="AGT313" s="6"/>
      <c r="AGU313" s="6"/>
      <c r="AGV313" s="6"/>
      <c r="AGW313" s="6"/>
      <c r="AGX313" s="6"/>
      <c r="AGY313" s="6"/>
      <c r="AGZ313" s="6"/>
      <c r="AHA313" s="6"/>
      <c r="AHB313" s="6"/>
      <c r="AHC313" s="6"/>
      <c r="AHD313" s="6"/>
      <c r="AHE313" s="6"/>
      <c r="AHF313" s="6"/>
      <c r="AHG313" s="6"/>
      <c r="AHH313" s="6"/>
      <c r="AHI313" s="6"/>
      <c r="AHJ313" s="6"/>
      <c r="AHK313" s="6"/>
      <c r="AHL313" s="6"/>
      <c r="AHM313" s="6"/>
      <c r="AHN313" s="6"/>
      <c r="AHO313" s="6"/>
      <c r="AHP313" s="6"/>
      <c r="AHQ313" s="6"/>
      <c r="AHR313" s="6"/>
      <c r="AHS313" s="6"/>
      <c r="AHT313" s="6"/>
      <c r="AHU313" s="6"/>
      <c r="AHV313" s="6"/>
      <c r="AHW313" s="6"/>
      <c r="AHX313" s="6"/>
      <c r="AHY313" s="6"/>
      <c r="AHZ313" s="6"/>
      <c r="AIA313" s="6"/>
      <c r="AIB313" s="6"/>
      <c r="AIC313" s="6"/>
      <c r="AID313" s="6"/>
      <c r="AIE313" s="6"/>
      <c r="AIF313" s="6"/>
      <c r="AIG313" s="6"/>
      <c r="AIH313" s="6"/>
      <c r="AII313" s="6"/>
      <c r="AIJ313" s="6"/>
      <c r="AIK313" s="6"/>
      <c r="AIL313" s="6"/>
      <c r="AIM313" s="6"/>
      <c r="AIN313" s="6"/>
      <c r="AIO313" s="6"/>
      <c r="AIP313" s="6"/>
      <c r="AIQ313" s="6"/>
      <c r="AIR313" s="6"/>
      <c r="AIS313" s="6"/>
      <c r="AIT313" s="6"/>
      <c r="AIU313" s="6"/>
      <c r="AIV313" s="6"/>
      <c r="AIW313" s="6"/>
      <c r="AIX313" s="6"/>
      <c r="AIY313" s="6"/>
      <c r="AIZ313" s="6"/>
      <c r="AJA313" s="6"/>
      <c r="AJB313" s="6"/>
      <c r="AJC313" s="6"/>
      <c r="AJD313" s="6"/>
      <c r="AJE313" s="6"/>
      <c r="AJF313" s="6"/>
      <c r="AJG313" s="6"/>
      <c r="AJH313" s="6"/>
      <c r="AJI313" s="6"/>
      <c r="AJJ313" s="6"/>
      <c r="AJK313" s="6"/>
      <c r="AJL313" s="6"/>
      <c r="AJM313" s="6"/>
      <c r="AJN313" s="6"/>
      <c r="AJO313" s="6"/>
      <c r="AJP313" s="6"/>
      <c r="AJQ313" s="6"/>
      <c r="AJR313" s="6"/>
      <c r="AJS313" s="6"/>
      <c r="AJT313" s="6"/>
      <c r="AJU313" s="6"/>
      <c r="AJV313" s="6"/>
      <c r="AJW313" s="6"/>
      <c r="AJX313" s="6"/>
      <c r="AJY313" s="6"/>
      <c r="AJZ313" s="6"/>
      <c r="AKA313" s="6"/>
      <c r="AKB313" s="6"/>
      <c r="AKC313" s="6"/>
      <c r="AKD313" s="6"/>
      <c r="AKE313" s="6"/>
      <c r="AKF313" s="6"/>
      <c r="AKG313" s="6"/>
      <c r="AKH313" s="6"/>
      <c r="AKI313" s="6"/>
      <c r="AKJ313" s="6"/>
      <c r="AKK313" s="6"/>
      <c r="AKL313" s="6"/>
      <c r="AKM313" s="6"/>
      <c r="AKN313" s="6"/>
      <c r="AKO313" s="6"/>
      <c r="AKP313" s="6"/>
      <c r="AKQ313" s="6"/>
      <c r="AKR313" s="6"/>
      <c r="AKS313" s="6"/>
      <c r="AKT313" s="6"/>
      <c r="AKU313" s="6"/>
      <c r="AKV313" s="6"/>
      <c r="AKW313" s="6"/>
      <c r="AKX313" s="6"/>
      <c r="AKY313" s="6"/>
      <c r="AKZ313" s="6"/>
      <c r="ALA313" s="6"/>
      <c r="ALB313" s="6"/>
      <c r="ALC313" s="6"/>
      <c r="ALD313" s="6"/>
      <c r="ALE313" s="6"/>
      <c r="ALF313" s="6"/>
      <c r="ALG313" s="6"/>
      <c r="ALH313" s="6"/>
      <c r="ALI313" s="6"/>
      <c r="ALJ313" s="6"/>
      <c r="ALK313" s="6"/>
      <c r="ALL313" s="6"/>
      <c r="ALM313" s="6"/>
      <c r="ALN313" s="6"/>
      <c r="ALO313" s="6"/>
      <c r="ALP313" s="6"/>
      <c r="ALQ313" s="6"/>
      <c r="ALR313" s="6"/>
      <c r="ALS313" s="6"/>
      <c r="ALT313" s="6"/>
      <c r="ALU313" s="6"/>
      <c r="ALV313" s="6"/>
      <c r="ALW313" s="6"/>
      <c r="ALX313" s="6"/>
      <c r="ALY313" s="6"/>
      <c r="ALZ313" s="6"/>
      <c r="AMA313" s="6"/>
      <c r="AMB313" s="6"/>
      <c r="AMC313" s="6"/>
      <c r="AMD313" s="6"/>
      <c r="AME313" s="6"/>
      <c r="AMF313" s="6"/>
      <c r="AMG313" s="6"/>
      <c r="AMH313" s="6"/>
      <c r="AMI313" s="6"/>
      <c r="AMJ313" s="6"/>
      <c r="AMK313" s="6"/>
      <c r="AML313" s="6"/>
      <c r="AMM313" s="6"/>
      <c r="AMN313" s="6"/>
      <c r="AMO313" s="6"/>
      <c r="AMP313" s="6"/>
    </row>
    <row r="314" spans="1:1030" x14ac:dyDescent="0.2">
      <c r="A314" s="9" t="str">
        <f t="shared" ref="A314" si="1762">CONCATENATE(B314,"_",C314)</f>
        <v>ta2r_human_6IIV</v>
      </c>
      <c r="B314" s="40" t="s">
        <v>473</v>
      </c>
      <c r="C314" s="9" t="s">
        <v>1550</v>
      </c>
      <c r="D314" s="9" t="str">
        <f>IFERROR(MID(VLOOKUP($B314,Seqs!$A:$B,2,0),E314,1),"")</f>
        <v>S</v>
      </c>
      <c r="E314" s="9">
        <v>27</v>
      </c>
      <c r="F314" s="9" t="str">
        <f>IFERROR(MID(VLOOKUP($B314,Seqs!$A:$B,2,0),G314,1),"")</f>
        <v>R</v>
      </c>
      <c r="G314" s="9">
        <v>53</v>
      </c>
      <c r="H314" s="9" t="str">
        <f>IFERROR(MID(VLOOKUP($B314,Seqs!$A:$B,2,0),I314,1),"")</f>
        <v/>
      </c>
      <c r="I314" s="109" t="s">
        <v>23</v>
      </c>
      <c r="J314" s="9" t="str">
        <f>IFERROR(MID(VLOOKUP($B314,Seqs!$A:$B,2,0),K314,1),"")</f>
        <v/>
      </c>
      <c r="K314" s="109" t="s">
        <v>23</v>
      </c>
      <c r="L314" s="9" t="str">
        <f>IFERROR(MID(VLOOKUP($B314,Seqs!$A:$B,2,0),M314,1),"")</f>
        <v>S</v>
      </c>
      <c r="M314" s="9">
        <v>61</v>
      </c>
      <c r="N314" s="9" t="str">
        <f>IFERROR(MID(VLOOKUP($B314,Seqs!$A:$B,2,0),O314,1),"")</f>
        <v>A</v>
      </c>
      <c r="O314" s="9">
        <v>91</v>
      </c>
      <c r="P314" s="9" t="str">
        <f>IFERROR(MID(VLOOKUP($B314,Seqs!$A:$B,2,0),Q314,1),"")</f>
        <v>E</v>
      </c>
      <c r="Q314" s="9">
        <v>94</v>
      </c>
      <c r="R314" s="9" t="str">
        <f>IFERROR(MID(VLOOKUP($B314,Seqs!$A:$B,2,0),S314,1),"")</f>
        <v>V</v>
      </c>
      <c r="S314" s="9">
        <v>98</v>
      </c>
      <c r="T314" s="9" t="str">
        <f>IFERROR(MID(VLOOKUP($B314,Seqs!$A:$B,2,0),U314,1),"")</f>
        <v>C</v>
      </c>
      <c r="U314" s="9">
        <v>102</v>
      </c>
      <c r="V314" s="9" t="str">
        <f>IFERROR(MID(VLOOKUP($B314,Seqs!$A:$B,2,0),W314,1),"")</f>
        <v>R</v>
      </c>
      <c r="W314" s="9">
        <v>136</v>
      </c>
      <c r="X314" s="9" t="str">
        <f>IFERROR(MID(VLOOKUP($B314,Seqs!$A:$B,2,0),Y314,1),"")</f>
        <v/>
      </c>
      <c r="Y314" s="9" t="s">
        <v>23</v>
      </c>
      <c r="Z314" s="9" t="str">
        <f>IFERROR(MID(VLOOKUP($B314,Seqs!$A:$B,2,0),AA314,1),"")</f>
        <v/>
      </c>
      <c r="AA314" s="9" t="s">
        <v>23</v>
      </c>
      <c r="AB314" s="9" t="str">
        <f>IFERROR(MID(VLOOKUP($B314,Seqs!$A:$B,2,0),AC314,1),"")</f>
        <v>P</v>
      </c>
      <c r="AC314" s="9">
        <v>141</v>
      </c>
      <c r="AD314" s="9" t="str">
        <f>IFERROR(MID(VLOOKUP($B314,Seqs!$A:$B,2,0),AE314,1),"")</f>
        <v>G</v>
      </c>
      <c r="AE314" s="9">
        <v>170</v>
      </c>
      <c r="AF314" s="9" t="str">
        <f>IFERROR(MID(VLOOKUP($B314,Seqs!$A:$B,2,0),AG314,1),"")</f>
        <v>C</v>
      </c>
      <c r="AG314" s="9">
        <v>183</v>
      </c>
      <c r="AH314" s="9" t="str">
        <f>IFERROR(MID(VLOOKUP($B314,Seqs!$A:$B,2,0),AI314,1),"")</f>
        <v>L</v>
      </c>
      <c r="AI314" s="9">
        <v>185</v>
      </c>
      <c r="AJ314" s="9" t="str">
        <f>IFERROR(MID(VLOOKUP($B314,Seqs!$A:$B,2,0),AK314,1),"")</f>
        <v>E</v>
      </c>
      <c r="AK314" s="9">
        <v>190</v>
      </c>
      <c r="AL314" s="9" t="str">
        <f>IFERROR(MID(VLOOKUP($B314,Seqs!$A:$B,2,0),AM314,1),"")</f>
        <v>Y</v>
      </c>
      <c r="AM314" s="9">
        <v>226</v>
      </c>
      <c r="AN314" s="9" t="str">
        <f>IFERROR(MID(VLOOKUP($B314,Seqs!$A:$B,2,0),AO314,1),"")</f>
        <v>R</v>
      </c>
      <c r="AO314" s="9">
        <v>237</v>
      </c>
      <c r="AP314" s="9" t="str">
        <f>IFERROR(MID(VLOOKUP($B314,Seqs!$A:$B,2,0),AQ314,1),"")</f>
        <v>R</v>
      </c>
      <c r="AQ314" s="9">
        <v>271</v>
      </c>
      <c r="AR314" s="9" t="str">
        <f>IFERROR(MID(VLOOKUP($B314,Seqs!$A:$B,2,0),AS314,1),"")</f>
        <v>S</v>
      </c>
      <c r="AS314" s="9">
        <v>283</v>
      </c>
      <c r="AT314" s="9" t="str">
        <f>IFERROR(MID(VLOOKUP($B314,Seqs!$A:$B,2,0),AU314,1),"")</f>
        <v>F</v>
      </c>
      <c r="AU314" s="9">
        <v>311</v>
      </c>
      <c r="AV314" s="9" t="str">
        <f>IFERROR(MID(VLOOKUP($B314,Seqs!$A:$B,2,0),AW314,1),"")</f>
        <v>R</v>
      </c>
      <c r="AW314" s="9">
        <v>312</v>
      </c>
      <c r="AX314" s="9" t="str">
        <f>IFERROR(MID(VLOOKUP($B314,Seqs!$A:$B,2,0),AY314,1),"")</f>
        <v>L</v>
      </c>
      <c r="AY314" s="9">
        <v>319</v>
      </c>
      <c r="AZ314" s="110" t="str">
        <f>VLOOKUP(B314,Classification!A:D,2,0)</f>
        <v>A</v>
      </c>
      <c r="BA314" s="98" t="str">
        <f>VLOOKUP(B314,Classification!A:D,4,0)</f>
        <v>Prostanoid</v>
      </c>
      <c r="BB314" s="36" t="b">
        <f t="shared" ref="BB314" si="1763">AND(E314&lt;G314,OR(G314&lt;I314,I314="-"),OR(I314&lt;K314,I314="-"),OR(K314&lt;M314,K314="-"),M314&lt;O314,OR(O314&lt;Q314,Q314="-"),OR(Q314&lt;S314,Q314="-"),OR(S314&lt;U314,S314="-"),U314&lt;W314,OR(W314&lt;Y314,Y314="-"),OR(Y314&lt;AA314,Y314="-"),OR(AA314&lt;AC314,AA314="-"),AC314&lt;AE314,OR(AE314&lt;AG314,AG314="-"),OR(AG314&lt;AI314,AG314="-"),OR(AI314&lt;AK314,AI314="-"),AK314&lt;AM314,AM314&lt;AO314,AO314&lt;AQ314,AQ314&lt;AS314,AS314&lt;AU314,OR(AU314&lt;AW314,AW314="-"),OR(AW314&lt;AY314,AW314="-"))</f>
        <v>1</v>
      </c>
      <c r="BC314" s="109">
        <f t="shared" ref="BC314" si="1764">_xlfn.AGGREGATE(9,6,CH314:CS314)-_xlfn.AGGREGATE(9,6,BV314:CG314)+12</f>
        <v>242</v>
      </c>
      <c r="BD314" s="11" t="s">
        <v>1377</v>
      </c>
      <c r="BE314" s="9" t="s">
        <v>1375</v>
      </c>
      <c r="BF314" s="120">
        <v>3</v>
      </c>
      <c r="BG314" s="51" t="s">
        <v>1</v>
      </c>
      <c r="BH314" s="51" t="s">
        <v>1</v>
      </c>
      <c r="BI314" s="12"/>
      <c r="BJ314" s="111" t="s">
        <v>1288</v>
      </c>
      <c r="BK314" s="112" t="s">
        <v>1288</v>
      </c>
      <c r="BL314" s="112" t="s">
        <v>1288</v>
      </c>
      <c r="BM314" s="112" t="s">
        <v>1288</v>
      </c>
      <c r="BN314" s="112" t="s">
        <v>1288</v>
      </c>
      <c r="BO314" s="112" t="s">
        <v>1288</v>
      </c>
      <c r="BP314" s="112" t="s">
        <v>1288</v>
      </c>
      <c r="BQ314" s="112" t="s">
        <v>1288</v>
      </c>
      <c r="BR314" s="112" t="s">
        <v>1288</v>
      </c>
      <c r="BS314" s="112" t="s">
        <v>1288</v>
      </c>
      <c r="BT314" s="112" t="s">
        <v>1288</v>
      </c>
      <c r="BU314" s="112" t="s">
        <v>1288</v>
      </c>
      <c r="BV314" s="111">
        <f t="shared" ref="BV314" si="1765">E314</f>
        <v>27</v>
      </c>
      <c r="BW314" s="113" t="str">
        <f t="shared" ref="BW314" si="1766">I314</f>
        <v>-</v>
      </c>
      <c r="BX314" s="114">
        <f t="shared" ref="BX314" si="1767">M314</f>
        <v>61</v>
      </c>
      <c r="BY314" s="113">
        <f t="shared" ref="BY314" si="1768">Q314</f>
        <v>94</v>
      </c>
      <c r="BZ314" s="114">
        <f t="shared" ref="BZ314" si="1769">U314</f>
        <v>102</v>
      </c>
      <c r="CA314" s="113" t="str">
        <f t="shared" ref="CA314" si="1770">Y314</f>
        <v>-</v>
      </c>
      <c r="CB314" s="114">
        <f t="shared" ref="CB314" si="1771">AC314</f>
        <v>141</v>
      </c>
      <c r="CC314" s="113">
        <f t="shared" ref="CC314" si="1772">AG314</f>
        <v>183</v>
      </c>
      <c r="CD314" s="114">
        <f t="shared" ref="CD314" si="1773">AK314</f>
        <v>190</v>
      </c>
      <c r="CE314" s="113">
        <f t="shared" ref="CE314" si="1774">AO314</f>
        <v>237</v>
      </c>
      <c r="CF314" s="114">
        <f t="shared" ref="CF314" si="1775">AS314</f>
        <v>283</v>
      </c>
      <c r="CG314" s="113">
        <f t="shared" ref="CG314" si="1776">AW314</f>
        <v>312</v>
      </c>
      <c r="CH314" s="111">
        <f t="shared" ref="CH314" si="1777">G314</f>
        <v>53</v>
      </c>
      <c r="CI314" s="113" t="str">
        <f t="shared" ref="CI314" si="1778">K314</f>
        <v>-</v>
      </c>
      <c r="CJ314" s="114">
        <f t="shared" ref="CJ314" si="1779">O314</f>
        <v>91</v>
      </c>
      <c r="CK314" s="114">
        <f t="shared" ref="CK314" si="1780">S314</f>
        <v>98</v>
      </c>
      <c r="CL314" s="114">
        <f t="shared" ref="CL314" si="1781">W314</f>
        <v>136</v>
      </c>
      <c r="CM314" s="114" t="str">
        <f t="shared" ref="CM314" si="1782">AA314</f>
        <v>-</v>
      </c>
      <c r="CN314" s="114">
        <f t="shared" ref="CN314" si="1783">AE314</f>
        <v>170</v>
      </c>
      <c r="CO314" s="114">
        <f t="shared" ref="CO314" si="1784">AI314</f>
        <v>185</v>
      </c>
      <c r="CP314" s="114">
        <f t="shared" ref="CP314" si="1785">AM314</f>
        <v>226</v>
      </c>
      <c r="CQ314" s="114">
        <f t="shared" ref="CQ314" si="1786">AQ314</f>
        <v>271</v>
      </c>
      <c r="CR314" s="114">
        <f t="shared" ref="CR314" si="1787">AU314</f>
        <v>311</v>
      </c>
      <c r="CS314" s="114">
        <f t="shared" ref="CS314" si="1788">AY314</f>
        <v>319</v>
      </c>
      <c r="CT314" s="109" t="e">
        <f t="shared" ref="CT314" si="1789">M314-K314</f>
        <v>#VALUE!</v>
      </c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/>
      <c r="EY314" s="6"/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  <c r="FW314" s="6"/>
      <c r="FX314" s="6"/>
      <c r="FY314" s="6"/>
      <c r="FZ314" s="6"/>
      <c r="GA314" s="6"/>
      <c r="GB314" s="6"/>
      <c r="GC314" s="6"/>
      <c r="GD314" s="6"/>
      <c r="GE314" s="6"/>
      <c r="GF314" s="6"/>
      <c r="GG314" s="6"/>
      <c r="GH314" s="6"/>
      <c r="GI314" s="6"/>
      <c r="GJ314" s="6"/>
      <c r="GK314" s="6"/>
      <c r="GL314" s="6"/>
      <c r="GM314" s="6"/>
      <c r="GN314" s="6"/>
      <c r="GO314" s="6"/>
      <c r="GP314" s="6"/>
      <c r="GQ314" s="6"/>
      <c r="GR314" s="6"/>
      <c r="GS314" s="6"/>
      <c r="GT314" s="6"/>
      <c r="GU314" s="6"/>
      <c r="GV314" s="6"/>
      <c r="GW314" s="6"/>
      <c r="GX314" s="6"/>
      <c r="GY314" s="6"/>
      <c r="GZ314" s="6"/>
      <c r="HA314" s="6"/>
      <c r="HB314" s="6"/>
      <c r="HC314" s="6"/>
      <c r="HD314" s="6"/>
      <c r="HE314" s="6"/>
      <c r="HF314" s="6"/>
      <c r="HG314" s="6"/>
      <c r="HH314" s="6"/>
      <c r="HI314" s="6"/>
      <c r="HJ314" s="6"/>
      <c r="HK314" s="6"/>
      <c r="HL314" s="6"/>
      <c r="HM314" s="6"/>
      <c r="HN314" s="6"/>
      <c r="HO314" s="6"/>
      <c r="HP314" s="6"/>
      <c r="HQ314" s="6"/>
      <c r="HR314" s="6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6"/>
      <c r="II314" s="6"/>
      <c r="IJ314" s="6"/>
      <c r="IK314" s="6"/>
      <c r="IL314" s="6"/>
      <c r="IM314" s="6"/>
      <c r="IN314" s="6"/>
      <c r="IO314" s="6"/>
      <c r="IP314" s="6"/>
      <c r="IQ314" s="6"/>
      <c r="IR314" s="6"/>
      <c r="IS314" s="6"/>
      <c r="IT314" s="6"/>
      <c r="IU314" s="6"/>
      <c r="IV314" s="6"/>
      <c r="IW314" s="6"/>
      <c r="IX314" s="6"/>
      <c r="IY314" s="6"/>
      <c r="IZ314" s="6"/>
      <c r="JA314" s="6"/>
      <c r="JB314" s="6"/>
      <c r="JC314" s="6"/>
      <c r="JD314" s="6"/>
      <c r="JE314" s="6"/>
      <c r="JF314" s="6"/>
      <c r="JG314" s="6"/>
      <c r="JH314" s="6"/>
      <c r="JI314" s="6"/>
      <c r="JJ314" s="6"/>
      <c r="JK314" s="6"/>
      <c r="JL314" s="6"/>
      <c r="JM314" s="6"/>
      <c r="JN314" s="6"/>
      <c r="JO314" s="6"/>
      <c r="JP314" s="6"/>
      <c r="JQ314" s="6"/>
      <c r="JR314" s="6"/>
      <c r="JS314" s="6"/>
      <c r="JT314" s="6"/>
      <c r="JU314" s="6"/>
      <c r="JV314" s="6"/>
      <c r="JW314" s="6"/>
      <c r="JX314" s="6"/>
      <c r="JY314" s="6"/>
      <c r="JZ314" s="6"/>
      <c r="KA314" s="6"/>
      <c r="KB314" s="6"/>
      <c r="KC314" s="6"/>
      <c r="KD314" s="6"/>
      <c r="KE314" s="6"/>
      <c r="KF314" s="6"/>
      <c r="KG314" s="6"/>
      <c r="KH314" s="6"/>
      <c r="KI314" s="6"/>
      <c r="KJ314" s="6"/>
      <c r="KK314" s="6"/>
      <c r="KL314" s="6"/>
      <c r="KM314" s="6"/>
      <c r="KN314" s="6"/>
      <c r="KO314" s="6"/>
      <c r="KP314" s="6"/>
      <c r="KQ314" s="6"/>
      <c r="KR314" s="6"/>
      <c r="KS314" s="6"/>
      <c r="KT314" s="6"/>
      <c r="KU314" s="6"/>
      <c r="KV314" s="6"/>
      <c r="KW314" s="6"/>
      <c r="KX314" s="6"/>
      <c r="KY314" s="6"/>
      <c r="KZ314" s="6"/>
      <c r="LA314" s="6"/>
      <c r="LB314" s="6"/>
      <c r="LC314" s="6"/>
      <c r="LD314" s="6"/>
      <c r="LE314" s="6"/>
      <c r="LF314" s="6"/>
      <c r="LG314" s="6"/>
      <c r="LH314" s="6"/>
      <c r="LI314" s="6"/>
      <c r="LJ314" s="6"/>
      <c r="LK314" s="6"/>
      <c r="LL314" s="6"/>
      <c r="LM314" s="6"/>
      <c r="LN314" s="6"/>
      <c r="LO314" s="6"/>
      <c r="LP314" s="6"/>
      <c r="LQ314" s="6"/>
      <c r="LR314" s="6"/>
      <c r="LS314" s="6"/>
      <c r="LT314" s="6"/>
      <c r="LU314" s="6"/>
      <c r="LV314" s="6"/>
      <c r="LW314" s="6"/>
      <c r="LX314" s="6"/>
      <c r="LY314" s="6"/>
      <c r="LZ314" s="6"/>
      <c r="MA314" s="6"/>
      <c r="MB314" s="6"/>
      <c r="MC314" s="6"/>
      <c r="MD314" s="6"/>
      <c r="ME314" s="6"/>
      <c r="MF314" s="6"/>
      <c r="MG314" s="6"/>
      <c r="MH314" s="6"/>
      <c r="MI314" s="6"/>
      <c r="MJ314" s="6"/>
      <c r="MK314" s="6"/>
      <c r="ML314" s="6"/>
      <c r="MM314" s="6"/>
      <c r="MN314" s="6"/>
      <c r="MO314" s="6"/>
      <c r="MP314" s="6"/>
      <c r="MQ314" s="6"/>
      <c r="MR314" s="6"/>
      <c r="MS314" s="6"/>
      <c r="MT314" s="6"/>
      <c r="MU314" s="6"/>
      <c r="MV314" s="6"/>
      <c r="MW314" s="6"/>
      <c r="MX314" s="6"/>
      <c r="MY314" s="6"/>
      <c r="MZ314" s="6"/>
      <c r="NA314" s="6"/>
      <c r="NB314" s="6"/>
      <c r="NC314" s="6"/>
      <c r="ND314" s="6"/>
      <c r="NE314" s="6"/>
      <c r="NF314" s="6"/>
      <c r="NG314" s="6"/>
      <c r="NH314" s="6"/>
      <c r="NI314" s="6"/>
      <c r="NJ314" s="6"/>
      <c r="NK314" s="6"/>
      <c r="NL314" s="6"/>
      <c r="NM314" s="6"/>
      <c r="NN314" s="6"/>
      <c r="NO314" s="6"/>
      <c r="NP314" s="6"/>
      <c r="NQ314" s="6"/>
      <c r="NR314" s="6"/>
      <c r="NS314" s="6"/>
      <c r="NT314" s="6"/>
      <c r="NU314" s="6"/>
      <c r="NV314" s="6"/>
      <c r="NW314" s="6"/>
      <c r="NX314" s="6"/>
      <c r="NY314" s="6"/>
      <c r="NZ314" s="6"/>
      <c r="OA314" s="6"/>
      <c r="OB314" s="6"/>
      <c r="OC314" s="6"/>
      <c r="OD314" s="6"/>
      <c r="OE314" s="6"/>
      <c r="OF314" s="6"/>
      <c r="OG314" s="6"/>
      <c r="OH314" s="6"/>
      <c r="OI314" s="6"/>
      <c r="OJ314" s="6"/>
      <c r="OK314" s="6"/>
      <c r="OL314" s="6"/>
      <c r="OM314" s="6"/>
      <c r="ON314" s="6"/>
      <c r="OO314" s="6"/>
      <c r="OP314" s="6"/>
      <c r="OQ314" s="6"/>
      <c r="OR314" s="6"/>
      <c r="OS314" s="6"/>
      <c r="OT314" s="6"/>
      <c r="OU314" s="6"/>
      <c r="OV314" s="6"/>
      <c r="OW314" s="6"/>
      <c r="OX314" s="6"/>
      <c r="OY314" s="6"/>
      <c r="OZ314" s="6"/>
      <c r="PA314" s="6"/>
      <c r="PB314" s="6"/>
      <c r="PC314" s="6"/>
      <c r="PD314" s="6"/>
      <c r="PE314" s="6"/>
      <c r="PF314" s="6"/>
      <c r="PG314" s="6"/>
      <c r="PH314" s="6"/>
      <c r="PI314" s="6"/>
      <c r="PJ314" s="6"/>
      <c r="PK314" s="6"/>
      <c r="PL314" s="6"/>
      <c r="PM314" s="6"/>
      <c r="PN314" s="6"/>
      <c r="PO314" s="6"/>
      <c r="PP314" s="6"/>
      <c r="PQ314" s="6"/>
      <c r="PR314" s="6"/>
      <c r="PS314" s="6"/>
      <c r="PT314" s="6"/>
      <c r="PU314" s="6"/>
      <c r="PV314" s="6"/>
      <c r="PW314" s="6"/>
      <c r="PX314" s="6"/>
      <c r="PY314" s="6"/>
      <c r="PZ314" s="6"/>
      <c r="QA314" s="6"/>
      <c r="QB314" s="6"/>
      <c r="QC314" s="6"/>
      <c r="QD314" s="6"/>
      <c r="QE314" s="6"/>
      <c r="QF314" s="6"/>
      <c r="QG314" s="6"/>
      <c r="QH314" s="6"/>
      <c r="QI314" s="6"/>
      <c r="QJ314" s="6"/>
      <c r="QK314" s="6"/>
      <c r="QL314" s="6"/>
      <c r="QM314" s="6"/>
      <c r="QN314" s="6"/>
      <c r="QO314" s="6"/>
      <c r="QP314" s="6"/>
      <c r="QQ314" s="6"/>
      <c r="QR314" s="6"/>
      <c r="QS314" s="6"/>
      <c r="QT314" s="6"/>
      <c r="QU314" s="6"/>
      <c r="QV314" s="6"/>
      <c r="QW314" s="6"/>
      <c r="QX314" s="6"/>
      <c r="QY314" s="6"/>
      <c r="QZ314" s="6"/>
      <c r="RA314" s="6"/>
      <c r="RB314" s="6"/>
      <c r="RC314" s="6"/>
      <c r="RD314" s="6"/>
      <c r="RE314" s="6"/>
      <c r="RF314" s="6"/>
      <c r="RG314" s="6"/>
      <c r="RH314" s="6"/>
      <c r="RI314" s="6"/>
      <c r="RJ314" s="6"/>
      <c r="RK314" s="6"/>
      <c r="RL314" s="6"/>
      <c r="RM314" s="6"/>
      <c r="RN314" s="6"/>
      <c r="RO314" s="6"/>
      <c r="RP314" s="6"/>
      <c r="RQ314" s="6"/>
      <c r="RR314" s="6"/>
      <c r="RS314" s="6"/>
      <c r="RT314" s="6"/>
      <c r="RU314" s="6"/>
      <c r="RV314" s="6"/>
      <c r="RW314" s="6"/>
      <c r="RX314" s="6"/>
      <c r="RY314" s="6"/>
      <c r="RZ314" s="6"/>
      <c r="SA314" s="6"/>
      <c r="SB314" s="6"/>
      <c r="SC314" s="6"/>
      <c r="SD314" s="6"/>
      <c r="SE314" s="6"/>
      <c r="SF314" s="6"/>
      <c r="SG314" s="6"/>
      <c r="SH314" s="6"/>
      <c r="SI314" s="6"/>
      <c r="SJ314" s="6"/>
      <c r="SK314" s="6"/>
      <c r="SL314" s="6"/>
      <c r="SM314" s="6"/>
      <c r="SN314" s="6"/>
      <c r="SO314" s="6"/>
      <c r="SP314" s="6"/>
      <c r="SQ314" s="6"/>
      <c r="SR314" s="6"/>
      <c r="SS314" s="6"/>
      <c r="ST314" s="6"/>
      <c r="SU314" s="6"/>
      <c r="SV314" s="6"/>
      <c r="SW314" s="6"/>
      <c r="SX314" s="6"/>
      <c r="SY314" s="6"/>
      <c r="SZ314" s="6"/>
      <c r="TA314" s="6"/>
      <c r="TB314" s="6"/>
      <c r="TC314" s="6"/>
      <c r="TD314" s="6"/>
      <c r="TE314" s="6"/>
      <c r="TF314" s="6"/>
      <c r="TG314" s="6"/>
      <c r="TH314" s="6"/>
      <c r="TI314" s="6"/>
      <c r="TJ314" s="6"/>
      <c r="TK314" s="6"/>
      <c r="TL314" s="6"/>
      <c r="TM314" s="6"/>
      <c r="TN314" s="6"/>
      <c r="TO314" s="6"/>
      <c r="TP314" s="6"/>
      <c r="TQ314" s="6"/>
      <c r="TR314" s="6"/>
      <c r="TS314" s="6"/>
      <c r="TT314" s="6"/>
      <c r="TU314" s="6"/>
      <c r="TV314" s="6"/>
      <c r="TW314" s="6"/>
      <c r="TX314" s="6"/>
      <c r="TY314" s="6"/>
      <c r="TZ314" s="6"/>
      <c r="UA314" s="6"/>
      <c r="UB314" s="6"/>
      <c r="UC314" s="6"/>
      <c r="UD314" s="6"/>
      <c r="UE314" s="6"/>
      <c r="UF314" s="6"/>
      <c r="UG314" s="6"/>
      <c r="UH314" s="6"/>
      <c r="UI314" s="6"/>
      <c r="UJ314" s="6"/>
      <c r="UK314" s="6"/>
      <c r="UL314" s="6"/>
      <c r="UM314" s="6"/>
      <c r="UN314" s="6"/>
      <c r="UO314" s="6"/>
      <c r="UP314" s="6"/>
      <c r="UQ314" s="6"/>
      <c r="UR314" s="6"/>
      <c r="US314" s="6"/>
      <c r="UT314" s="6"/>
      <c r="UU314" s="6"/>
      <c r="UV314" s="6"/>
      <c r="UW314" s="6"/>
      <c r="UX314" s="6"/>
      <c r="UY314" s="6"/>
      <c r="UZ314" s="6"/>
      <c r="VA314" s="6"/>
      <c r="VB314" s="6"/>
      <c r="VC314" s="6"/>
      <c r="VD314" s="6"/>
      <c r="VE314" s="6"/>
      <c r="VF314" s="6"/>
      <c r="VG314" s="6"/>
      <c r="VH314" s="6"/>
      <c r="VI314" s="6"/>
      <c r="VJ314" s="6"/>
      <c r="VK314" s="6"/>
      <c r="VL314" s="6"/>
      <c r="VM314" s="6"/>
      <c r="VN314" s="6"/>
      <c r="VO314" s="6"/>
      <c r="VP314" s="6"/>
      <c r="VQ314" s="6"/>
      <c r="VR314" s="6"/>
      <c r="VS314" s="6"/>
      <c r="VT314" s="6"/>
      <c r="VU314" s="6"/>
      <c r="VV314" s="6"/>
      <c r="VW314" s="6"/>
      <c r="VX314" s="6"/>
      <c r="VY314" s="6"/>
      <c r="VZ314" s="6"/>
      <c r="WA314" s="6"/>
      <c r="WB314" s="6"/>
      <c r="WC314" s="6"/>
      <c r="WD314" s="6"/>
      <c r="WE314" s="6"/>
      <c r="WF314" s="6"/>
      <c r="WG314" s="6"/>
      <c r="WH314" s="6"/>
      <c r="WI314" s="6"/>
      <c r="WJ314" s="6"/>
      <c r="WK314" s="6"/>
      <c r="WL314" s="6"/>
      <c r="WM314" s="6"/>
      <c r="WN314" s="6"/>
      <c r="WO314" s="6"/>
      <c r="WP314" s="6"/>
      <c r="WQ314" s="6"/>
      <c r="WR314" s="6"/>
      <c r="WS314" s="6"/>
      <c r="WT314" s="6"/>
      <c r="WU314" s="6"/>
      <c r="WV314" s="6"/>
      <c r="WW314" s="6"/>
      <c r="WX314" s="6"/>
      <c r="WY314" s="6"/>
      <c r="WZ314" s="6"/>
      <c r="XA314" s="6"/>
      <c r="XB314" s="6"/>
      <c r="XC314" s="6"/>
      <c r="XD314" s="6"/>
      <c r="XE314" s="6"/>
      <c r="XF314" s="6"/>
      <c r="XG314" s="6"/>
      <c r="XH314" s="6"/>
      <c r="XI314" s="6"/>
      <c r="XJ314" s="6"/>
      <c r="XK314" s="6"/>
      <c r="XL314" s="6"/>
      <c r="XM314" s="6"/>
      <c r="XN314" s="6"/>
      <c r="XO314" s="6"/>
      <c r="XP314" s="6"/>
      <c r="XQ314" s="6"/>
      <c r="XR314" s="6"/>
      <c r="XS314" s="6"/>
      <c r="XT314" s="6"/>
      <c r="XU314" s="6"/>
      <c r="XV314" s="6"/>
      <c r="XW314" s="6"/>
      <c r="XX314" s="6"/>
      <c r="XY314" s="6"/>
      <c r="XZ314" s="6"/>
      <c r="YA314" s="6"/>
      <c r="YB314" s="6"/>
      <c r="YC314" s="6"/>
      <c r="YD314" s="6"/>
      <c r="YE314" s="6"/>
      <c r="YF314" s="6"/>
      <c r="YG314" s="6"/>
      <c r="YH314" s="6"/>
      <c r="YI314" s="6"/>
      <c r="YJ314" s="6"/>
      <c r="YK314" s="6"/>
      <c r="YL314" s="6"/>
      <c r="YM314" s="6"/>
      <c r="YN314" s="6"/>
      <c r="YO314" s="6"/>
      <c r="YP314" s="6"/>
      <c r="YQ314" s="6"/>
      <c r="YR314" s="6"/>
      <c r="YS314" s="6"/>
      <c r="YT314" s="6"/>
      <c r="YU314" s="6"/>
      <c r="YV314" s="6"/>
      <c r="YW314" s="6"/>
      <c r="YX314" s="6"/>
      <c r="YY314" s="6"/>
      <c r="YZ314" s="6"/>
      <c r="ZA314" s="6"/>
      <c r="ZB314" s="6"/>
      <c r="ZC314" s="6"/>
      <c r="ZD314" s="6"/>
      <c r="ZE314" s="6"/>
      <c r="ZF314" s="6"/>
      <c r="ZG314" s="6"/>
      <c r="ZH314" s="6"/>
      <c r="ZI314" s="6"/>
      <c r="ZJ314" s="6"/>
      <c r="ZK314" s="6"/>
      <c r="ZL314" s="6"/>
      <c r="ZM314" s="6"/>
      <c r="ZN314" s="6"/>
      <c r="ZO314" s="6"/>
      <c r="ZP314" s="6"/>
      <c r="ZQ314" s="6"/>
      <c r="ZR314" s="6"/>
      <c r="ZS314" s="6"/>
      <c r="ZT314" s="6"/>
      <c r="ZU314" s="6"/>
      <c r="ZV314" s="6"/>
      <c r="ZW314" s="6"/>
      <c r="ZX314" s="6"/>
      <c r="ZY314" s="6"/>
      <c r="ZZ314" s="6"/>
      <c r="AAA314" s="6"/>
      <c r="AAB314" s="6"/>
      <c r="AAC314" s="6"/>
      <c r="AAD314" s="6"/>
      <c r="AAE314" s="6"/>
      <c r="AAF314" s="6"/>
      <c r="AAG314" s="6"/>
      <c r="AAH314" s="6"/>
      <c r="AAI314" s="6"/>
      <c r="AAJ314" s="6"/>
      <c r="AAK314" s="6"/>
      <c r="AAL314" s="6"/>
      <c r="AAM314" s="6"/>
      <c r="AAN314" s="6"/>
      <c r="AAO314" s="6"/>
      <c r="AAP314" s="6"/>
      <c r="AAQ314" s="6"/>
      <c r="AAR314" s="6"/>
      <c r="AAS314" s="6"/>
      <c r="AAT314" s="6"/>
      <c r="AAU314" s="6"/>
      <c r="AAV314" s="6"/>
      <c r="AAW314" s="6"/>
      <c r="AAX314" s="6"/>
      <c r="AAY314" s="6"/>
      <c r="AAZ314" s="6"/>
      <c r="ABA314" s="6"/>
      <c r="ABB314" s="6"/>
      <c r="ABC314" s="6"/>
      <c r="ABD314" s="6"/>
      <c r="ABE314" s="6"/>
      <c r="ABF314" s="6"/>
      <c r="ABG314" s="6"/>
      <c r="ABH314" s="6"/>
      <c r="ABI314" s="6"/>
      <c r="ABJ314" s="6"/>
      <c r="ABK314" s="6"/>
      <c r="ABL314" s="6"/>
      <c r="ABM314" s="6"/>
      <c r="ABN314" s="6"/>
      <c r="ABO314" s="6"/>
      <c r="ABP314" s="6"/>
      <c r="ABQ314" s="6"/>
      <c r="ABR314" s="6"/>
      <c r="ABS314" s="6"/>
      <c r="ABT314" s="6"/>
      <c r="ABU314" s="6"/>
      <c r="ABV314" s="6"/>
      <c r="ABW314" s="6"/>
      <c r="ABX314" s="6"/>
      <c r="ABY314" s="6"/>
      <c r="ABZ314" s="6"/>
      <c r="ACA314" s="6"/>
      <c r="ACB314" s="6"/>
      <c r="ACC314" s="6"/>
      <c r="ACD314" s="6"/>
      <c r="ACE314" s="6"/>
      <c r="ACF314" s="6"/>
      <c r="ACG314" s="6"/>
      <c r="ACH314" s="6"/>
      <c r="ACI314" s="6"/>
      <c r="ACJ314" s="6"/>
      <c r="ACK314" s="6"/>
      <c r="ACL314" s="6"/>
      <c r="ACM314" s="6"/>
      <c r="ACN314" s="6"/>
      <c r="ACO314" s="6"/>
      <c r="ACP314" s="6"/>
      <c r="ACQ314" s="6"/>
      <c r="ACR314" s="6"/>
      <c r="ACS314" s="6"/>
      <c r="ACT314" s="6"/>
      <c r="ACU314" s="6"/>
      <c r="ACV314" s="6"/>
      <c r="ACW314" s="6"/>
      <c r="ACX314" s="6"/>
      <c r="ACY314" s="6"/>
      <c r="ACZ314" s="6"/>
      <c r="ADA314" s="6"/>
      <c r="ADB314" s="6"/>
      <c r="ADC314" s="6"/>
      <c r="ADD314" s="6"/>
      <c r="ADE314" s="6"/>
      <c r="ADF314" s="6"/>
      <c r="ADG314" s="6"/>
      <c r="ADH314" s="6"/>
      <c r="ADI314" s="6"/>
      <c r="ADJ314" s="6"/>
      <c r="ADK314" s="6"/>
      <c r="ADL314" s="6"/>
      <c r="ADM314" s="6"/>
      <c r="ADN314" s="6"/>
      <c r="ADO314" s="6"/>
      <c r="ADP314" s="6"/>
      <c r="ADQ314" s="6"/>
      <c r="ADR314" s="6"/>
      <c r="ADS314" s="6"/>
      <c r="ADT314" s="6"/>
      <c r="ADU314" s="6"/>
      <c r="ADV314" s="6"/>
      <c r="ADW314" s="6"/>
      <c r="ADX314" s="6"/>
      <c r="ADY314" s="6"/>
      <c r="ADZ314" s="6"/>
      <c r="AEA314" s="6"/>
      <c r="AEB314" s="6"/>
      <c r="AEC314" s="6"/>
      <c r="AED314" s="6"/>
      <c r="AEE314" s="6"/>
      <c r="AEF314" s="6"/>
      <c r="AEG314" s="6"/>
      <c r="AEH314" s="6"/>
      <c r="AEI314" s="6"/>
      <c r="AEJ314" s="6"/>
      <c r="AEK314" s="6"/>
      <c r="AEL314" s="6"/>
      <c r="AEM314" s="6"/>
      <c r="AEN314" s="6"/>
      <c r="AEO314" s="6"/>
      <c r="AEP314" s="6"/>
      <c r="AEQ314" s="6"/>
      <c r="AER314" s="6"/>
      <c r="AES314" s="6"/>
      <c r="AET314" s="6"/>
      <c r="AEU314" s="6"/>
      <c r="AEV314" s="6"/>
      <c r="AEW314" s="6"/>
      <c r="AEX314" s="6"/>
      <c r="AEY314" s="6"/>
      <c r="AEZ314" s="6"/>
      <c r="AFA314" s="6"/>
      <c r="AFB314" s="6"/>
      <c r="AFC314" s="6"/>
      <c r="AFD314" s="6"/>
      <c r="AFE314" s="6"/>
      <c r="AFF314" s="6"/>
      <c r="AFG314" s="6"/>
      <c r="AFH314" s="6"/>
      <c r="AFI314" s="6"/>
      <c r="AFJ314" s="6"/>
      <c r="AFK314" s="6"/>
      <c r="AFL314" s="6"/>
      <c r="AFM314" s="6"/>
      <c r="AFN314" s="6"/>
      <c r="AFO314" s="6"/>
      <c r="AFP314" s="6"/>
      <c r="AFQ314" s="6"/>
      <c r="AFR314" s="6"/>
      <c r="AFS314" s="6"/>
      <c r="AFT314" s="6"/>
      <c r="AFU314" s="6"/>
      <c r="AFV314" s="6"/>
      <c r="AFW314" s="6"/>
      <c r="AFX314" s="6"/>
      <c r="AFY314" s="6"/>
      <c r="AFZ314" s="6"/>
      <c r="AGA314" s="6"/>
      <c r="AGB314" s="6"/>
      <c r="AGC314" s="6"/>
      <c r="AGD314" s="6"/>
      <c r="AGE314" s="6"/>
      <c r="AGF314" s="6"/>
      <c r="AGG314" s="6"/>
      <c r="AGH314" s="6"/>
      <c r="AGI314" s="6"/>
      <c r="AGJ314" s="6"/>
      <c r="AGK314" s="6"/>
      <c r="AGL314" s="6"/>
      <c r="AGM314" s="6"/>
      <c r="AGN314" s="6"/>
      <c r="AGO314" s="6"/>
      <c r="AGP314" s="6"/>
      <c r="AGQ314" s="6"/>
      <c r="AGR314" s="6"/>
      <c r="AGS314" s="6"/>
      <c r="AGT314" s="6"/>
      <c r="AGU314" s="6"/>
      <c r="AGV314" s="6"/>
      <c r="AGW314" s="6"/>
      <c r="AGX314" s="6"/>
      <c r="AGY314" s="6"/>
      <c r="AGZ314" s="6"/>
      <c r="AHA314" s="6"/>
      <c r="AHB314" s="6"/>
      <c r="AHC314" s="6"/>
      <c r="AHD314" s="6"/>
      <c r="AHE314" s="6"/>
      <c r="AHF314" s="6"/>
      <c r="AHG314" s="6"/>
      <c r="AHH314" s="6"/>
      <c r="AHI314" s="6"/>
      <c r="AHJ314" s="6"/>
      <c r="AHK314" s="6"/>
      <c r="AHL314" s="6"/>
      <c r="AHM314" s="6"/>
      <c r="AHN314" s="6"/>
      <c r="AHO314" s="6"/>
      <c r="AHP314" s="6"/>
      <c r="AHQ314" s="6"/>
      <c r="AHR314" s="6"/>
      <c r="AHS314" s="6"/>
      <c r="AHT314" s="6"/>
      <c r="AHU314" s="6"/>
      <c r="AHV314" s="6"/>
      <c r="AHW314" s="6"/>
      <c r="AHX314" s="6"/>
      <c r="AHY314" s="6"/>
      <c r="AHZ314" s="6"/>
      <c r="AIA314" s="6"/>
      <c r="AIB314" s="6"/>
      <c r="AIC314" s="6"/>
      <c r="AID314" s="6"/>
      <c r="AIE314" s="6"/>
      <c r="AIF314" s="6"/>
      <c r="AIG314" s="6"/>
      <c r="AIH314" s="6"/>
      <c r="AII314" s="6"/>
      <c r="AIJ314" s="6"/>
      <c r="AIK314" s="6"/>
      <c r="AIL314" s="6"/>
      <c r="AIM314" s="6"/>
      <c r="AIN314" s="6"/>
      <c r="AIO314" s="6"/>
      <c r="AIP314" s="6"/>
      <c r="AIQ314" s="6"/>
      <c r="AIR314" s="6"/>
      <c r="AIS314" s="6"/>
      <c r="AIT314" s="6"/>
      <c r="AIU314" s="6"/>
      <c r="AIV314" s="6"/>
      <c r="AIW314" s="6"/>
      <c r="AIX314" s="6"/>
      <c r="AIY314" s="6"/>
      <c r="AIZ314" s="6"/>
      <c r="AJA314" s="6"/>
      <c r="AJB314" s="6"/>
      <c r="AJC314" s="6"/>
      <c r="AJD314" s="6"/>
      <c r="AJE314" s="6"/>
      <c r="AJF314" s="6"/>
      <c r="AJG314" s="6"/>
      <c r="AJH314" s="6"/>
      <c r="AJI314" s="6"/>
      <c r="AJJ314" s="6"/>
      <c r="AJK314" s="6"/>
      <c r="AJL314" s="6"/>
      <c r="AJM314" s="6"/>
      <c r="AJN314" s="6"/>
      <c r="AJO314" s="6"/>
      <c r="AJP314" s="6"/>
      <c r="AJQ314" s="6"/>
      <c r="AJR314" s="6"/>
      <c r="AJS314" s="6"/>
      <c r="AJT314" s="6"/>
      <c r="AJU314" s="6"/>
      <c r="AJV314" s="6"/>
      <c r="AJW314" s="6"/>
      <c r="AJX314" s="6"/>
      <c r="AJY314" s="6"/>
      <c r="AJZ314" s="6"/>
      <c r="AKA314" s="6"/>
      <c r="AKB314" s="6"/>
      <c r="AKC314" s="6"/>
      <c r="AKD314" s="6"/>
      <c r="AKE314" s="6"/>
      <c r="AKF314" s="6"/>
      <c r="AKG314" s="6"/>
      <c r="AKH314" s="6"/>
      <c r="AKI314" s="6"/>
      <c r="AKJ314" s="6"/>
      <c r="AKK314" s="6"/>
      <c r="AKL314" s="6"/>
      <c r="AKM314" s="6"/>
      <c r="AKN314" s="6"/>
      <c r="AKO314" s="6"/>
      <c r="AKP314" s="6"/>
      <c r="AKQ314" s="6"/>
      <c r="AKR314" s="6"/>
      <c r="AKS314" s="6"/>
      <c r="AKT314" s="6"/>
      <c r="AKU314" s="6"/>
      <c r="AKV314" s="6"/>
      <c r="AKW314" s="6"/>
      <c r="AKX314" s="6"/>
      <c r="AKY314" s="6"/>
      <c r="AKZ314" s="6"/>
      <c r="ALA314" s="6"/>
      <c r="ALB314" s="6"/>
      <c r="ALC314" s="6"/>
      <c r="ALD314" s="6"/>
      <c r="ALE314" s="6"/>
      <c r="ALF314" s="6"/>
      <c r="ALG314" s="6"/>
      <c r="ALH314" s="6"/>
      <c r="ALI314" s="6"/>
      <c r="ALJ314" s="6"/>
      <c r="ALK314" s="6"/>
      <c r="ALL314" s="6"/>
      <c r="ALM314" s="6"/>
      <c r="ALN314" s="6"/>
      <c r="ALO314" s="6"/>
      <c r="ALP314" s="6"/>
      <c r="ALQ314" s="6"/>
      <c r="ALR314" s="6"/>
      <c r="ALS314" s="6"/>
      <c r="ALT314" s="6"/>
      <c r="ALU314" s="6"/>
      <c r="ALV314" s="6"/>
      <c r="ALW314" s="6"/>
      <c r="ALX314" s="6"/>
      <c r="ALY314" s="6"/>
      <c r="ALZ314" s="6"/>
      <c r="AMA314" s="6"/>
      <c r="AMB314" s="6"/>
      <c r="AMC314" s="6"/>
      <c r="AMD314" s="6"/>
      <c r="AME314" s="6"/>
      <c r="AMF314" s="6"/>
      <c r="AMG314" s="6"/>
      <c r="AMH314" s="6"/>
      <c r="AMI314" s="6"/>
      <c r="AMJ314" s="6"/>
      <c r="AMK314" s="6"/>
      <c r="AML314" s="6"/>
      <c r="AMM314" s="6"/>
      <c r="AMN314" s="6"/>
      <c r="AMO314" s="6"/>
      <c r="AMP314" s="6"/>
    </row>
    <row r="315" spans="1:1030" x14ac:dyDescent="0.2">
      <c r="A315" s="3" t="str">
        <f t="shared" si="1733"/>
        <v>calcr_human__wt</v>
      </c>
      <c r="B315" s="2" t="s">
        <v>401</v>
      </c>
      <c r="C315" s="3" t="s">
        <v>100</v>
      </c>
      <c r="D315" s="3" t="str">
        <f>IFERROR(MID(VLOOKUP($B315,Seqs!$A:$B,2,0),E315,1),"")</f>
        <v>T</v>
      </c>
      <c r="E315" s="3">
        <v>132</v>
      </c>
      <c r="F315" s="3" t="str">
        <f>IFERROR(MID(VLOOKUP($B315,Seqs!$A:$B,2,0),G315,1),"")</f>
        <v>F</v>
      </c>
      <c r="G315" s="3">
        <v>173</v>
      </c>
      <c r="H315" s="3" t="str">
        <f>IFERROR(MID(VLOOKUP($B315,Seqs!$A:$B,2,0),I315,1),"")</f>
        <v>R</v>
      </c>
      <c r="I315" s="23">
        <v>174</v>
      </c>
      <c r="J315" s="3" t="str">
        <f>IFERROR(MID(VLOOKUP($B315,Seqs!$A:$B,2,0),K315,1),"")</f>
        <v>G</v>
      </c>
      <c r="K315" s="23">
        <v>177</v>
      </c>
      <c r="L315" s="3" t="str">
        <f>IFERROR(MID(VLOOKUP($B315,Seqs!$A:$B,2,0),M315,1),"")</f>
        <v>C</v>
      </c>
      <c r="M315" s="3">
        <v>178</v>
      </c>
      <c r="N315" s="3" t="str">
        <f>IFERROR(MID(VLOOKUP($B315,Seqs!$A:$B,2,0),O315,1),"")</f>
        <v>V</v>
      </c>
      <c r="O315" s="3">
        <v>205</v>
      </c>
      <c r="P315" s="3" t="str">
        <f>IFERROR(MID(VLOOKUP($B315,Seqs!$A:$B,2,0),Q315,1),"")</f>
        <v/>
      </c>
      <c r="Q315" s="3" t="s">
        <v>23</v>
      </c>
      <c r="R315" s="3" t="str">
        <f>IFERROR(MID(VLOOKUP($B315,Seqs!$A:$B,2,0),S315,1),"")</f>
        <v/>
      </c>
      <c r="S315" s="3" t="s">
        <v>23</v>
      </c>
      <c r="T315" s="3" t="str">
        <f>IFERROR(MID(VLOOKUP($B315,Seqs!$A:$B,2,0),U315,1),"")</f>
        <v>V</v>
      </c>
      <c r="U315" s="105">
        <v>217</v>
      </c>
      <c r="V315" s="3" t="str">
        <f>IFERROR(MID(VLOOKUP($B315,Seqs!$A:$B,2,0),W315,1),"")</f>
        <v>V</v>
      </c>
      <c r="W315" s="3">
        <v>250</v>
      </c>
      <c r="X315" s="3" t="str">
        <f>IFERROR(MID(VLOOKUP($B315,Seqs!$A:$B,2,0),Y315,1),"")</f>
        <v/>
      </c>
      <c r="Y315" s="3" t="s">
        <v>23</v>
      </c>
      <c r="Z315" s="3" t="str">
        <f>IFERROR(MID(VLOOKUP($B315,Seqs!$A:$B,2,0),AA315,1),"")</f>
        <v/>
      </c>
      <c r="AA315" s="3" t="s">
        <v>23</v>
      </c>
      <c r="AB315" s="3" t="str">
        <f>IFERROR(MID(VLOOKUP($B315,Seqs!$A:$B,2,0),AC315,1),"")</f>
        <v>R</v>
      </c>
      <c r="AC315" s="3">
        <v>258</v>
      </c>
      <c r="AD315" s="3" t="str">
        <f>IFERROR(MID(VLOOKUP($B315,Seqs!$A:$B,2,0),AE315,1),"")</f>
        <v>F</v>
      </c>
      <c r="AE315" s="3">
        <v>285</v>
      </c>
      <c r="AF315" s="3" t="str">
        <f>IFERROR(MID(VLOOKUP($B315,Seqs!$A:$B,2,0),AG315,1),"")</f>
        <v>C</v>
      </c>
      <c r="AG315" s="3">
        <v>289</v>
      </c>
      <c r="AH315" s="3" t="str">
        <f>IFERROR(MID(VLOOKUP($B315,Seqs!$A:$B,2,0),AI315,1),"")</f>
        <v>L</v>
      </c>
      <c r="AI315" s="3">
        <v>291</v>
      </c>
      <c r="AJ315" s="3" t="str">
        <f>IFERROR(MID(VLOOKUP($B315,Seqs!$A:$B,2,0),AK315,1),"")</f>
        <v>L</v>
      </c>
      <c r="AK315" s="3">
        <v>298</v>
      </c>
      <c r="AL315" s="3" t="str">
        <f>IFERROR(MID(VLOOKUP($B315,Seqs!$A:$B,2,0),AM315,1),"")</f>
        <v>R</v>
      </c>
      <c r="AM315" s="3">
        <v>328</v>
      </c>
      <c r="AN315" s="3" t="str">
        <f>IFERROR(MID(VLOOKUP($B315,Seqs!$A:$B,2,0),AO315,1),"")</f>
        <v>Y</v>
      </c>
      <c r="AO315" s="3">
        <v>338</v>
      </c>
      <c r="AP315" s="3" t="str">
        <f>IFERROR(MID(VLOOKUP($B315,Seqs!$A:$B,2,0),AQ315,1),"")</f>
        <v>W</v>
      </c>
      <c r="AQ315" s="3">
        <v>361</v>
      </c>
      <c r="AR315" s="3" t="str">
        <f>IFERROR(MID(VLOOKUP($B315,Seqs!$A:$B,2,0),AS315,1),"")</f>
        <v>K</v>
      </c>
      <c r="AS315" s="3">
        <v>366</v>
      </c>
      <c r="AT315" s="3" t="str">
        <f>IFERROR(MID(VLOOKUP($B315,Seqs!$A:$B,2,0),AU315,1),"")</f>
        <v>C</v>
      </c>
      <c r="AU315" s="3">
        <v>394</v>
      </c>
      <c r="AV315" s="3" t="str">
        <f>IFERROR(MID(VLOOKUP($B315,Seqs!$A:$B,2,0),AW315,1),"")</f>
        <v>N</v>
      </c>
      <c r="AW315" s="3">
        <v>395</v>
      </c>
      <c r="AX315" s="3" t="str">
        <f>IFERROR(MID(VLOOKUP($B315,Seqs!$A:$B,2,0),AY315,1),"")</f>
        <v>R</v>
      </c>
      <c r="AY315" s="3">
        <v>420</v>
      </c>
      <c r="AZ315" s="77" t="str">
        <f>VLOOKUP(B315,Classification!A:D,2,0)</f>
        <v>B1</v>
      </c>
      <c r="BA315" s="94" t="str">
        <f>VLOOKUP(B315,Classification!A:D,4,0)</f>
        <v>Calcitonin</v>
      </c>
      <c r="BB315" s="27" t="b">
        <f t="shared" si="1706"/>
        <v>1</v>
      </c>
      <c r="BC315" s="23">
        <f t="shared" si="1707"/>
        <v>251</v>
      </c>
      <c r="BD315" s="4" t="s">
        <v>23</v>
      </c>
      <c r="BE315" s="3" t="s">
        <v>23</v>
      </c>
      <c r="BF315" s="119" t="s">
        <v>23</v>
      </c>
      <c r="BG315" s="49" t="s">
        <v>1378</v>
      </c>
      <c r="BH315" s="49" t="s">
        <v>1378</v>
      </c>
      <c r="BI315" s="1"/>
      <c r="BJ315" s="70" t="s">
        <v>1288</v>
      </c>
      <c r="BK315" s="57" t="s">
        <v>1288</v>
      </c>
      <c r="BL315" s="57" t="s">
        <v>1288</v>
      </c>
      <c r="BM315" s="57" t="s">
        <v>1288</v>
      </c>
      <c r="BN315" s="57" t="s">
        <v>1288</v>
      </c>
      <c r="BO315" s="57" t="s">
        <v>1288</v>
      </c>
      <c r="BP315" s="57" t="s">
        <v>1288</v>
      </c>
      <c r="BQ315" s="57" t="s">
        <v>1288</v>
      </c>
      <c r="BR315" s="57" t="s">
        <v>1288</v>
      </c>
      <c r="BS315" s="57" t="s">
        <v>1288</v>
      </c>
      <c r="BT315" s="57" t="s">
        <v>1288</v>
      </c>
      <c r="BU315" s="57" t="s">
        <v>1288</v>
      </c>
      <c r="BV315" s="70">
        <f t="shared" si="1708"/>
        <v>132</v>
      </c>
      <c r="BW315" s="71">
        <f t="shared" si="1709"/>
        <v>174</v>
      </c>
      <c r="BX315" s="72">
        <f t="shared" si="1710"/>
        <v>178</v>
      </c>
      <c r="BY315" s="71" t="str">
        <f t="shared" si="1711"/>
        <v>-</v>
      </c>
      <c r="BZ315" s="72">
        <f t="shared" si="1712"/>
        <v>217</v>
      </c>
      <c r="CA315" s="71" t="str">
        <f t="shared" si="1713"/>
        <v>-</v>
      </c>
      <c r="CB315" s="72">
        <f t="shared" si="1714"/>
        <v>258</v>
      </c>
      <c r="CC315" s="71">
        <f t="shared" si="1715"/>
        <v>289</v>
      </c>
      <c r="CD315" s="72">
        <f t="shared" si="1716"/>
        <v>298</v>
      </c>
      <c r="CE315" s="71">
        <f t="shared" si="1717"/>
        <v>338</v>
      </c>
      <c r="CF315" s="72">
        <f t="shared" si="1718"/>
        <v>366</v>
      </c>
      <c r="CG315" s="71">
        <f t="shared" si="1719"/>
        <v>395</v>
      </c>
      <c r="CH315" s="70">
        <f t="shared" si="1720"/>
        <v>173</v>
      </c>
      <c r="CI315" s="71">
        <f t="shared" si="1721"/>
        <v>177</v>
      </c>
      <c r="CJ315" s="72">
        <f t="shared" si="1722"/>
        <v>205</v>
      </c>
      <c r="CK315" s="72" t="str">
        <f t="shared" si="1723"/>
        <v>-</v>
      </c>
      <c r="CL315" s="72">
        <f t="shared" si="1724"/>
        <v>250</v>
      </c>
      <c r="CM315" s="72" t="str">
        <f t="shared" si="1725"/>
        <v>-</v>
      </c>
      <c r="CN315" s="72">
        <f t="shared" si="1726"/>
        <v>285</v>
      </c>
      <c r="CO315" s="72">
        <f t="shared" si="1727"/>
        <v>291</v>
      </c>
      <c r="CP315" s="72">
        <f t="shared" si="1728"/>
        <v>328</v>
      </c>
      <c r="CQ315" s="72">
        <f t="shared" si="1729"/>
        <v>361</v>
      </c>
      <c r="CR315" s="72">
        <f t="shared" si="1730"/>
        <v>394</v>
      </c>
      <c r="CS315" s="72">
        <f t="shared" si="1731"/>
        <v>420</v>
      </c>
      <c r="CT315" s="23">
        <f t="shared" si="1732"/>
        <v>1</v>
      </c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/>
      <c r="EY315" s="6"/>
      <c r="EZ315" s="6"/>
      <c r="FA315" s="6"/>
      <c r="FB315" s="6"/>
      <c r="FC315" s="6"/>
      <c r="FD315" s="6"/>
      <c r="FE315" s="6"/>
      <c r="FF315" s="6"/>
      <c r="FG315" s="6"/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  <c r="FW315" s="6"/>
      <c r="FX315" s="6"/>
      <c r="FY315" s="6"/>
      <c r="FZ315" s="6"/>
      <c r="GA315" s="6"/>
      <c r="GB315" s="6"/>
      <c r="GC315" s="6"/>
      <c r="GD315" s="6"/>
      <c r="GE315" s="6"/>
      <c r="GF315" s="6"/>
      <c r="GG315" s="6"/>
      <c r="GH315" s="6"/>
      <c r="GI315" s="6"/>
      <c r="GJ315" s="6"/>
      <c r="GK315" s="6"/>
      <c r="GL315" s="6"/>
      <c r="GM315" s="6"/>
      <c r="GN315" s="6"/>
      <c r="GO315" s="6"/>
      <c r="GP315" s="6"/>
      <c r="GQ315" s="6"/>
      <c r="GR315" s="6"/>
      <c r="GS315" s="6"/>
      <c r="GT315" s="6"/>
      <c r="GU315" s="6"/>
      <c r="GV315" s="6"/>
      <c r="GW315" s="6"/>
      <c r="GX315" s="6"/>
      <c r="GY315" s="6"/>
      <c r="GZ315" s="6"/>
      <c r="HA315" s="6"/>
      <c r="HB315" s="6"/>
      <c r="HC315" s="6"/>
      <c r="HD315" s="6"/>
      <c r="HE315" s="6"/>
      <c r="HF315" s="6"/>
      <c r="HG315" s="6"/>
      <c r="HH315" s="6"/>
      <c r="HI315" s="6"/>
      <c r="HJ315" s="6"/>
      <c r="HK315" s="6"/>
      <c r="HL315" s="6"/>
      <c r="HM315" s="6"/>
      <c r="HN315" s="6"/>
      <c r="HO315" s="6"/>
      <c r="HP315" s="6"/>
      <c r="HQ315" s="6"/>
      <c r="HR315" s="6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6"/>
      <c r="II315" s="6"/>
      <c r="IJ315" s="6"/>
      <c r="IK315" s="6"/>
      <c r="IL315" s="6"/>
      <c r="IM315" s="6"/>
      <c r="IN315" s="6"/>
      <c r="IO315" s="6"/>
      <c r="IP315" s="6"/>
      <c r="IQ315" s="6"/>
      <c r="IR315" s="6"/>
      <c r="IS315" s="6"/>
      <c r="IT315" s="6"/>
      <c r="IU315" s="6"/>
      <c r="IV315" s="6"/>
      <c r="IW315" s="6"/>
      <c r="IX315" s="6"/>
      <c r="IY315" s="6"/>
      <c r="IZ315" s="6"/>
      <c r="JA315" s="6"/>
      <c r="JB315" s="6"/>
      <c r="JC315" s="6"/>
      <c r="JD315" s="6"/>
      <c r="JE315" s="6"/>
      <c r="JF315" s="6"/>
      <c r="JG315" s="6"/>
      <c r="JH315" s="6"/>
      <c r="JI315" s="6"/>
      <c r="JJ315" s="6"/>
      <c r="JK315" s="6"/>
      <c r="JL315" s="6"/>
      <c r="JM315" s="6"/>
      <c r="JN315" s="6"/>
      <c r="JO315" s="6"/>
      <c r="JP315" s="6"/>
      <c r="JQ315" s="6"/>
      <c r="JR315" s="6"/>
      <c r="JS315" s="6"/>
      <c r="JT315" s="6"/>
      <c r="JU315" s="6"/>
      <c r="JV315" s="6"/>
      <c r="JW315" s="6"/>
      <c r="JX315" s="6"/>
      <c r="JY315" s="6"/>
      <c r="JZ315" s="6"/>
      <c r="KA315" s="6"/>
      <c r="KB315" s="6"/>
      <c r="KC315" s="6"/>
      <c r="KD315" s="6"/>
      <c r="KE315" s="6"/>
      <c r="KF315" s="6"/>
      <c r="KG315" s="6"/>
      <c r="KH315" s="6"/>
      <c r="KI315" s="6"/>
      <c r="KJ315" s="6"/>
      <c r="KK315" s="6"/>
      <c r="KL315" s="6"/>
      <c r="KM315" s="6"/>
      <c r="KN315" s="6"/>
      <c r="KO315" s="6"/>
      <c r="KP315" s="6"/>
      <c r="KQ315" s="6"/>
      <c r="KR315" s="6"/>
      <c r="KS315" s="6"/>
      <c r="KT315" s="6"/>
      <c r="KU315" s="6"/>
      <c r="KV315" s="6"/>
      <c r="KW315" s="6"/>
      <c r="KX315" s="6"/>
      <c r="KY315" s="6"/>
      <c r="KZ315" s="6"/>
      <c r="LA315" s="6"/>
      <c r="LB315" s="6"/>
      <c r="LC315" s="6"/>
      <c r="LD315" s="6"/>
      <c r="LE315" s="6"/>
      <c r="LF315" s="6"/>
      <c r="LG315" s="6"/>
      <c r="LH315" s="6"/>
      <c r="LI315" s="6"/>
      <c r="LJ315" s="6"/>
      <c r="LK315" s="6"/>
      <c r="LL315" s="6"/>
      <c r="LM315" s="6"/>
      <c r="LN315" s="6"/>
      <c r="LO315" s="6"/>
      <c r="LP315" s="6"/>
      <c r="LQ315" s="6"/>
      <c r="LR315" s="6"/>
      <c r="LS315" s="6"/>
      <c r="LT315" s="6"/>
      <c r="LU315" s="6"/>
      <c r="LV315" s="6"/>
      <c r="LW315" s="6"/>
      <c r="LX315" s="6"/>
      <c r="LY315" s="6"/>
      <c r="LZ315" s="6"/>
      <c r="MA315" s="6"/>
      <c r="MB315" s="6"/>
      <c r="MC315" s="6"/>
      <c r="MD315" s="6"/>
      <c r="ME315" s="6"/>
      <c r="MF315" s="6"/>
      <c r="MG315" s="6"/>
      <c r="MH315" s="6"/>
      <c r="MI315" s="6"/>
      <c r="MJ315" s="6"/>
      <c r="MK315" s="6"/>
      <c r="ML315" s="6"/>
      <c r="MM315" s="6"/>
      <c r="MN315" s="6"/>
      <c r="MO315" s="6"/>
      <c r="MP315" s="6"/>
      <c r="MQ315" s="6"/>
      <c r="MR315" s="6"/>
      <c r="MS315" s="6"/>
      <c r="MT315" s="6"/>
      <c r="MU315" s="6"/>
      <c r="MV315" s="6"/>
      <c r="MW315" s="6"/>
      <c r="MX315" s="6"/>
      <c r="MY315" s="6"/>
      <c r="MZ315" s="6"/>
      <c r="NA315" s="6"/>
      <c r="NB315" s="6"/>
      <c r="NC315" s="6"/>
      <c r="ND315" s="6"/>
      <c r="NE315" s="6"/>
      <c r="NF315" s="6"/>
      <c r="NG315" s="6"/>
      <c r="NH315" s="6"/>
      <c r="NI315" s="6"/>
      <c r="NJ315" s="6"/>
      <c r="NK315" s="6"/>
      <c r="NL315" s="6"/>
      <c r="NM315" s="6"/>
      <c r="NN315" s="6"/>
      <c r="NO315" s="6"/>
      <c r="NP315" s="6"/>
      <c r="NQ315" s="6"/>
      <c r="NR315" s="6"/>
      <c r="NS315" s="6"/>
      <c r="NT315" s="6"/>
      <c r="NU315" s="6"/>
      <c r="NV315" s="6"/>
      <c r="NW315" s="6"/>
      <c r="NX315" s="6"/>
      <c r="NY315" s="6"/>
      <c r="NZ315" s="6"/>
      <c r="OA315" s="6"/>
      <c r="OB315" s="6"/>
      <c r="OC315" s="6"/>
      <c r="OD315" s="6"/>
      <c r="OE315" s="6"/>
      <c r="OF315" s="6"/>
      <c r="OG315" s="6"/>
      <c r="OH315" s="6"/>
      <c r="OI315" s="6"/>
      <c r="OJ315" s="6"/>
      <c r="OK315" s="6"/>
      <c r="OL315" s="6"/>
      <c r="OM315" s="6"/>
      <c r="ON315" s="6"/>
      <c r="OO315" s="6"/>
      <c r="OP315" s="6"/>
      <c r="OQ315" s="6"/>
      <c r="OR315" s="6"/>
      <c r="OS315" s="6"/>
      <c r="OT315" s="6"/>
      <c r="OU315" s="6"/>
      <c r="OV315" s="6"/>
      <c r="OW315" s="6"/>
      <c r="OX315" s="6"/>
      <c r="OY315" s="6"/>
      <c r="OZ315" s="6"/>
      <c r="PA315" s="6"/>
      <c r="PB315" s="6"/>
      <c r="PC315" s="6"/>
      <c r="PD315" s="6"/>
      <c r="PE315" s="6"/>
      <c r="PF315" s="6"/>
      <c r="PG315" s="6"/>
      <c r="PH315" s="6"/>
      <c r="PI315" s="6"/>
      <c r="PJ315" s="6"/>
      <c r="PK315" s="6"/>
      <c r="PL315" s="6"/>
      <c r="PM315" s="6"/>
      <c r="PN315" s="6"/>
      <c r="PO315" s="6"/>
      <c r="PP315" s="6"/>
      <c r="PQ315" s="6"/>
      <c r="PR315" s="6"/>
      <c r="PS315" s="6"/>
      <c r="PT315" s="6"/>
      <c r="PU315" s="6"/>
      <c r="PV315" s="6"/>
      <c r="PW315" s="6"/>
      <c r="PX315" s="6"/>
      <c r="PY315" s="6"/>
      <c r="PZ315" s="6"/>
      <c r="QA315" s="6"/>
      <c r="QB315" s="6"/>
      <c r="QC315" s="6"/>
      <c r="QD315" s="6"/>
      <c r="QE315" s="6"/>
      <c r="QF315" s="6"/>
      <c r="QG315" s="6"/>
      <c r="QH315" s="6"/>
      <c r="QI315" s="6"/>
      <c r="QJ315" s="6"/>
      <c r="QK315" s="6"/>
      <c r="QL315" s="6"/>
      <c r="QM315" s="6"/>
      <c r="QN315" s="6"/>
      <c r="QO315" s="6"/>
      <c r="QP315" s="6"/>
      <c r="QQ315" s="6"/>
      <c r="QR315" s="6"/>
      <c r="QS315" s="6"/>
      <c r="QT315" s="6"/>
      <c r="QU315" s="6"/>
      <c r="QV315" s="6"/>
      <c r="QW315" s="6"/>
      <c r="QX315" s="6"/>
      <c r="QY315" s="6"/>
      <c r="QZ315" s="6"/>
      <c r="RA315" s="6"/>
      <c r="RB315" s="6"/>
      <c r="RC315" s="6"/>
      <c r="RD315" s="6"/>
      <c r="RE315" s="6"/>
      <c r="RF315" s="6"/>
      <c r="RG315" s="6"/>
      <c r="RH315" s="6"/>
      <c r="RI315" s="6"/>
      <c r="RJ315" s="6"/>
      <c r="RK315" s="6"/>
      <c r="RL315" s="6"/>
      <c r="RM315" s="6"/>
      <c r="RN315" s="6"/>
      <c r="RO315" s="6"/>
      <c r="RP315" s="6"/>
      <c r="RQ315" s="6"/>
      <c r="RR315" s="6"/>
      <c r="RS315" s="6"/>
      <c r="RT315" s="6"/>
      <c r="RU315" s="6"/>
      <c r="RV315" s="6"/>
      <c r="RW315" s="6"/>
      <c r="RX315" s="6"/>
      <c r="RY315" s="6"/>
      <c r="RZ315" s="6"/>
      <c r="SA315" s="6"/>
      <c r="SB315" s="6"/>
      <c r="SC315" s="6"/>
      <c r="SD315" s="6"/>
      <c r="SE315" s="6"/>
      <c r="SF315" s="6"/>
      <c r="SG315" s="6"/>
      <c r="SH315" s="6"/>
      <c r="SI315" s="6"/>
      <c r="SJ315" s="6"/>
      <c r="SK315" s="6"/>
      <c r="SL315" s="6"/>
      <c r="SM315" s="6"/>
      <c r="SN315" s="6"/>
      <c r="SO315" s="6"/>
      <c r="SP315" s="6"/>
      <c r="SQ315" s="6"/>
      <c r="SR315" s="6"/>
      <c r="SS315" s="6"/>
      <c r="ST315" s="6"/>
      <c r="SU315" s="6"/>
      <c r="SV315" s="6"/>
      <c r="SW315" s="6"/>
      <c r="SX315" s="6"/>
      <c r="SY315" s="6"/>
      <c r="SZ315" s="6"/>
      <c r="TA315" s="6"/>
      <c r="TB315" s="6"/>
      <c r="TC315" s="6"/>
      <c r="TD315" s="6"/>
      <c r="TE315" s="6"/>
      <c r="TF315" s="6"/>
      <c r="TG315" s="6"/>
      <c r="TH315" s="6"/>
      <c r="TI315" s="6"/>
      <c r="TJ315" s="6"/>
      <c r="TK315" s="6"/>
      <c r="TL315" s="6"/>
      <c r="TM315" s="6"/>
      <c r="TN315" s="6"/>
      <c r="TO315" s="6"/>
      <c r="TP315" s="6"/>
      <c r="TQ315" s="6"/>
      <c r="TR315" s="6"/>
      <c r="TS315" s="6"/>
      <c r="TT315" s="6"/>
      <c r="TU315" s="6"/>
      <c r="TV315" s="6"/>
      <c r="TW315" s="6"/>
      <c r="TX315" s="6"/>
      <c r="TY315" s="6"/>
      <c r="TZ315" s="6"/>
      <c r="UA315" s="6"/>
      <c r="UB315" s="6"/>
      <c r="UC315" s="6"/>
      <c r="UD315" s="6"/>
      <c r="UE315" s="6"/>
      <c r="UF315" s="6"/>
      <c r="UG315" s="6"/>
      <c r="UH315" s="6"/>
      <c r="UI315" s="6"/>
      <c r="UJ315" s="6"/>
      <c r="UK315" s="6"/>
      <c r="UL315" s="6"/>
      <c r="UM315" s="6"/>
      <c r="UN315" s="6"/>
      <c r="UO315" s="6"/>
      <c r="UP315" s="6"/>
      <c r="UQ315" s="6"/>
      <c r="UR315" s="6"/>
      <c r="US315" s="6"/>
      <c r="UT315" s="6"/>
      <c r="UU315" s="6"/>
      <c r="UV315" s="6"/>
      <c r="UW315" s="6"/>
      <c r="UX315" s="6"/>
      <c r="UY315" s="6"/>
      <c r="UZ315" s="6"/>
      <c r="VA315" s="6"/>
      <c r="VB315" s="6"/>
      <c r="VC315" s="6"/>
      <c r="VD315" s="6"/>
      <c r="VE315" s="6"/>
      <c r="VF315" s="6"/>
      <c r="VG315" s="6"/>
      <c r="VH315" s="6"/>
      <c r="VI315" s="6"/>
      <c r="VJ315" s="6"/>
      <c r="VK315" s="6"/>
      <c r="VL315" s="6"/>
      <c r="VM315" s="6"/>
      <c r="VN315" s="6"/>
      <c r="VO315" s="6"/>
      <c r="VP315" s="6"/>
      <c r="VQ315" s="6"/>
      <c r="VR315" s="6"/>
      <c r="VS315" s="6"/>
      <c r="VT315" s="6"/>
      <c r="VU315" s="6"/>
      <c r="VV315" s="6"/>
      <c r="VW315" s="6"/>
      <c r="VX315" s="6"/>
      <c r="VY315" s="6"/>
      <c r="VZ315" s="6"/>
      <c r="WA315" s="6"/>
      <c r="WB315" s="6"/>
      <c r="WC315" s="6"/>
      <c r="WD315" s="6"/>
      <c r="WE315" s="6"/>
      <c r="WF315" s="6"/>
      <c r="WG315" s="6"/>
      <c r="WH315" s="6"/>
      <c r="WI315" s="6"/>
      <c r="WJ315" s="6"/>
      <c r="WK315" s="6"/>
      <c r="WL315" s="6"/>
      <c r="WM315" s="6"/>
      <c r="WN315" s="6"/>
      <c r="WO315" s="6"/>
      <c r="WP315" s="6"/>
      <c r="WQ315" s="6"/>
      <c r="WR315" s="6"/>
      <c r="WS315" s="6"/>
      <c r="WT315" s="6"/>
      <c r="WU315" s="6"/>
      <c r="WV315" s="6"/>
      <c r="WW315" s="6"/>
      <c r="WX315" s="6"/>
      <c r="WY315" s="6"/>
      <c r="WZ315" s="6"/>
      <c r="XA315" s="6"/>
      <c r="XB315" s="6"/>
      <c r="XC315" s="6"/>
      <c r="XD315" s="6"/>
      <c r="XE315" s="6"/>
      <c r="XF315" s="6"/>
      <c r="XG315" s="6"/>
      <c r="XH315" s="6"/>
      <c r="XI315" s="6"/>
      <c r="XJ315" s="6"/>
      <c r="XK315" s="6"/>
      <c r="XL315" s="6"/>
      <c r="XM315" s="6"/>
      <c r="XN315" s="6"/>
      <c r="XO315" s="6"/>
      <c r="XP315" s="6"/>
      <c r="XQ315" s="6"/>
      <c r="XR315" s="6"/>
      <c r="XS315" s="6"/>
      <c r="XT315" s="6"/>
      <c r="XU315" s="6"/>
      <c r="XV315" s="6"/>
      <c r="XW315" s="6"/>
      <c r="XX315" s="6"/>
      <c r="XY315" s="6"/>
      <c r="XZ315" s="6"/>
      <c r="YA315" s="6"/>
      <c r="YB315" s="6"/>
      <c r="YC315" s="6"/>
      <c r="YD315" s="6"/>
      <c r="YE315" s="6"/>
      <c r="YF315" s="6"/>
      <c r="YG315" s="6"/>
      <c r="YH315" s="6"/>
      <c r="YI315" s="6"/>
      <c r="YJ315" s="6"/>
      <c r="YK315" s="6"/>
      <c r="YL315" s="6"/>
      <c r="YM315" s="6"/>
      <c r="YN315" s="6"/>
      <c r="YO315" s="6"/>
      <c r="YP315" s="6"/>
      <c r="YQ315" s="6"/>
      <c r="YR315" s="6"/>
      <c r="YS315" s="6"/>
      <c r="YT315" s="6"/>
      <c r="YU315" s="6"/>
      <c r="YV315" s="6"/>
      <c r="YW315" s="6"/>
      <c r="YX315" s="6"/>
      <c r="YY315" s="6"/>
      <c r="YZ315" s="6"/>
      <c r="ZA315" s="6"/>
      <c r="ZB315" s="6"/>
      <c r="ZC315" s="6"/>
      <c r="ZD315" s="6"/>
      <c r="ZE315" s="6"/>
      <c r="ZF315" s="6"/>
      <c r="ZG315" s="6"/>
      <c r="ZH315" s="6"/>
      <c r="ZI315" s="6"/>
      <c r="ZJ315" s="6"/>
      <c r="ZK315" s="6"/>
      <c r="ZL315" s="6"/>
      <c r="ZM315" s="6"/>
      <c r="ZN315" s="6"/>
      <c r="ZO315" s="6"/>
      <c r="ZP315" s="6"/>
      <c r="ZQ315" s="6"/>
      <c r="ZR315" s="6"/>
      <c r="ZS315" s="6"/>
      <c r="ZT315" s="6"/>
      <c r="ZU315" s="6"/>
      <c r="ZV315" s="6"/>
      <c r="ZW315" s="6"/>
      <c r="ZX315" s="6"/>
      <c r="ZY315" s="6"/>
      <c r="ZZ315" s="6"/>
      <c r="AAA315" s="6"/>
      <c r="AAB315" s="6"/>
      <c r="AAC315" s="6"/>
      <c r="AAD315" s="6"/>
      <c r="AAE315" s="6"/>
      <c r="AAF315" s="6"/>
      <c r="AAG315" s="6"/>
      <c r="AAH315" s="6"/>
      <c r="AAI315" s="6"/>
      <c r="AAJ315" s="6"/>
      <c r="AAK315" s="6"/>
      <c r="AAL315" s="6"/>
      <c r="AAM315" s="6"/>
      <c r="AAN315" s="6"/>
      <c r="AAO315" s="6"/>
      <c r="AAP315" s="6"/>
      <c r="AAQ315" s="6"/>
      <c r="AAR315" s="6"/>
      <c r="AAS315" s="6"/>
      <c r="AAT315" s="6"/>
      <c r="AAU315" s="6"/>
      <c r="AAV315" s="6"/>
      <c r="AAW315" s="6"/>
      <c r="AAX315" s="6"/>
      <c r="AAY315" s="6"/>
      <c r="AAZ315" s="6"/>
      <c r="ABA315" s="6"/>
      <c r="ABB315" s="6"/>
      <c r="ABC315" s="6"/>
      <c r="ABD315" s="6"/>
      <c r="ABE315" s="6"/>
      <c r="ABF315" s="6"/>
      <c r="ABG315" s="6"/>
      <c r="ABH315" s="6"/>
      <c r="ABI315" s="6"/>
      <c r="ABJ315" s="6"/>
      <c r="ABK315" s="6"/>
      <c r="ABL315" s="6"/>
      <c r="ABM315" s="6"/>
      <c r="ABN315" s="6"/>
      <c r="ABO315" s="6"/>
      <c r="ABP315" s="6"/>
      <c r="ABQ315" s="6"/>
      <c r="ABR315" s="6"/>
      <c r="ABS315" s="6"/>
      <c r="ABT315" s="6"/>
      <c r="ABU315" s="6"/>
      <c r="ABV315" s="6"/>
      <c r="ABW315" s="6"/>
      <c r="ABX315" s="6"/>
      <c r="ABY315" s="6"/>
      <c r="ABZ315" s="6"/>
      <c r="ACA315" s="6"/>
      <c r="ACB315" s="6"/>
      <c r="ACC315" s="6"/>
      <c r="ACD315" s="6"/>
      <c r="ACE315" s="6"/>
      <c r="ACF315" s="6"/>
      <c r="ACG315" s="6"/>
      <c r="ACH315" s="6"/>
      <c r="ACI315" s="6"/>
      <c r="ACJ315" s="6"/>
      <c r="ACK315" s="6"/>
      <c r="ACL315" s="6"/>
      <c r="ACM315" s="6"/>
      <c r="ACN315" s="6"/>
      <c r="ACO315" s="6"/>
      <c r="ACP315" s="6"/>
      <c r="ACQ315" s="6"/>
      <c r="ACR315" s="6"/>
      <c r="ACS315" s="6"/>
      <c r="ACT315" s="6"/>
      <c r="ACU315" s="6"/>
      <c r="ACV315" s="6"/>
      <c r="ACW315" s="6"/>
      <c r="ACX315" s="6"/>
      <c r="ACY315" s="6"/>
      <c r="ACZ315" s="6"/>
      <c r="ADA315" s="6"/>
      <c r="ADB315" s="6"/>
      <c r="ADC315" s="6"/>
      <c r="ADD315" s="6"/>
      <c r="ADE315" s="6"/>
      <c r="ADF315" s="6"/>
      <c r="ADG315" s="6"/>
      <c r="ADH315" s="6"/>
      <c r="ADI315" s="6"/>
      <c r="ADJ315" s="6"/>
      <c r="ADK315" s="6"/>
      <c r="ADL315" s="6"/>
      <c r="ADM315" s="6"/>
      <c r="ADN315" s="6"/>
      <c r="ADO315" s="6"/>
      <c r="ADP315" s="6"/>
      <c r="ADQ315" s="6"/>
      <c r="ADR315" s="6"/>
      <c r="ADS315" s="6"/>
      <c r="ADT315" s="6"/>
      <c r="ADU315" s="6"/>
      <c r="ADV315" s="6"/>
      <c r="ADW315" s="6"/>
      <c r="ADX315" s="6"/>
      <c r="ADY315" s="6"/>
      <c r="ADZ315" s="6"/>
      <c r="AEA315" s="6"/>
      <c r="AEB315" s="6"/>
      <c r="AEC315" s="6"/>
      <c r="AED315" s="6"/>
      <c r="AEE315" s="6"/>
      <c r="AEF315" s="6"/>
      <c r="AEG315" s="6"/>
      <c r="AEH315" s="6"/>
      <c r="AEI315" s="6"/>
      <c r="AEJ315" s="6"/>
      <c r="AEK315" s="6"/>
      <c r="AEL315" s="6"/>
      <c r="AEM315" s="6"/>
      <c r="AEN315" s="6"/>
      <c r="AEO315" s="6"/>
      <c r="AEP315" s="6"/>
      <c r="AEQ315" s="6"/>
      <c r="AER315" s="6"/>
      <c r="AES315" s="6"/>
      <c r="AET315" s="6"/>
      <c r="AEU315" s="6"/>
      <c r="AEV315" s="6"/>
      <c r="AEW315" s="6"/>
      <c r="AEX315" s="6"/>
      <c r="AEY315" s="6"/>
      <c r="AEZ315" s="6"/>
      <c r="AFA315" s="6"/>
      <c r="AFB315" s="6"/>
      <c r="AFC315" s="6"/>
      <c r="AFD315" s="6"/>
      <c r="AFE315" s="6"/>
      <c r="AFF315" s="6"/>
      <c r="AFG315" s="6"/>
      <c r="AFH315" s="6"/>
      <c r="AFI315" s="6"/>
      <c r="AFJ315" s="6"/>
      <c r="AFK315" s="6"/>
      <c r="AFL315" s="6"/>
      <c r="AFM315" s="6"/>
      <c r="AFN315" s="6"/>
      <c r="AFO315" s="6"/>
      <c r="AFP315" s="6"/>
      <c r="AFQ315" s="6"/>
      <c r="AFR315" s="6"/>
      <c r="AFS315" s="6"/>
      <c r="AFT315" s="6"/>
      <c r="AFU315" s="6"/>
      <c r="AFV315" s="6"/>
      <c r="AFW315" s="6"/>
      <c r="AFX315" s="6"/>
      <c r="AFY315" s="6"/>
      <c r="AFZ315" s="6"/>
      <c r="AGA315" s="6"/>
      <c r="AGB315" s="6"/>
      <c r="AGC315" s="6"/>
      <c r="AGD315" s="6"/>
      <c r="AGE315" s="6"/>
      <c r="AGF315" s="6"/>
      <c r="AGG315" s="6"/>
      <c r="AGH315" s="6"/>
      <c r="AGI315" s="6"/>
      <c r="AGJ315" s="6"/>
      <c r="AGK315" s="6"/>
      <c r="AGL315" s="6"/>
      <c r="AGM315" s="6"/>
      <c r="AGN315" s="6"/>
      <c r="AGO315" s="6"/>
      <c r="AGP315" s="6"/>
      <c r="AGQ315" s="6"/>
      <c r="AGR315" s="6"/>
      <c r="AGS315" s="6"/>
      <c r="AGT315" s="6"/>
      <c r="AGU315" s="6"/>
      <c r="AGV315" s="6"/>
      <c r="AGW315" s="6"/>
      <c r="AGX315" s="6"/>
      <c r="AGY315" s="6"/>
      <c r="AGZ315" s="6"/>
      <c r="AHA315" s="6"/>
      <c r="AHB315" s="6"/>
      <c r="AHC315" s="6"/>
      <c r="AHD315" s="6"/>
      <c r="AHE315" s="6"/>
      <c r="AHF315" s="6"/>
      <c r="AHG315" s="6"/>
      <c r="AHH315" s="6"/>
      <c r="AHI315" s="6"/>
      <c r="AHJ315" s="6"/>
      <c r="AHK315" s="6"/>
      <c r="AHL315" s="6"/>
      <c r="AHM315" s="6"/>
      <c r="AHN315" s="6"/>
      <c r="AHO315" s="6"/>
      <c r="AHP315" s="6"/>
      <c r="AHQ315" s="6"/>
      <c r="AHR315" s="6"/>
      <c r="AHS315" s="6"/>
      <c r="AHT315" s="6"/>
      <c r="AHU315" s="6"/>
      <c r="AHV315" s="6"/>
      <c r="AHW315" s="6"/>
      <c r="AHX315" s="6"/>
      <c r="AHY315" s="6"/>
      <c r="AHZ315" s="6"/>
      <c r="AIA315" s="6"/>
      <c r="AIB315" s="6"/>
      <c r="AIC315" s="6"/>
      <c r="AID315" s="6"/>
      <c r="AIE315" s="6"/>
      <c r="AIF315" s="6"/>
      <c r="AIG315" s="6"/>
      <c r="AIH315" s="6"/>
      <c r="AII315" s="6"/>
      <c r="AIJ315" s="6"/>
      <c r="AIK315" s="6"/>
      <c r="AIL315" s="6"/>
      <c r="AIM315" s="6"/>
      <c r="AIN315" s="6"/>
      <c r="AIO315" s="6"/>
      <c r="AIP315" s="6"/>
      <c r="AIQ315" s="6"/>
      <c r="AIR315" s="6"/>
      <c r="AIS315" s="6"/>
      <c r="AIT315" s="6"/>
      <c r="AIU315" s="6"/>
      <c r="AIV315" s="6"/>
      <c r="AIW315" s="6"/>
      <c r="AIX315" s="6"/>
      <c r="AIY315" s="6"/>
      <c r="AIZ315" s="6"/>
      <c r="AJA315" s="6"/>
      <c r="AJB315" s="6"/>
      <c r="AJC315" s="6"/>
      <c r="AJD315" s="6"/>
      <c r="AJE315" s="6"/>
      <c r="AJF315" s="6"/>
      <c r="AJG315" s="6"/>
      <c r="AJH315" s="6"/>
      <c r="AJI315" s="6"/>
      <c r="AJJ315" s="6"/>
      <c r="AJK315" s="6"/>
      <c r="AJL315" s="6"/>
      <c r="AJM315" s="6"/>
      <c r="AJN315" s="6"/>
      <c r="AJO315" s="6"/>
      <c r="AJP315" s="6"/>
      <c r="AJQ315" s="6"/>
      <c r="AJR315" s="6"/>
      <c r="AJS315" s="6"/>
      <c r="AJT315" s="6"/>
      <c r="AJU315" s="6"/>
      <c r="AJV315" s="6"/>
      <c r="AJW315" s="6"/>
      <c r="AJX315" s="6"/>
      <c r="AJY315" s="6"/>
      <c r="AJZ315" s="6"/>
      <c r="AKA315" s="6"/>
      <c r="AKB315" s="6"/>
      <c r="AKC315" s="6"/>
      <c r="AKD315" s="6"/>
      <c r="AKE315" s="6"/>
      <c r="AKF315" s="6"/>
      <c r="AKG315" s="6"/>
      <c r="AKH315" s="6"/>
      <c r="AKI315" s="6"/>
      <c r="AKJ315" s="6"/>
      <c r="AKK315" s="6"/>
      <c r="AKL315" s="6"/>
      <c r="AKM315" s="6"/>
      <c r="AKN315" s="6"/>
      <c r="AKO315" s="6"/>
      <c r="AKP315" s="6"/>
      <c r="AKQ315" s="6"/>
      <c r="AKR315" s="6"/>
      <c r="AKS315" s="6"/>
      <c r="AKT315" s="6"/>
      <c r="AKU315" s="6"/>
      <c r="AKV315" s="6"/>
      <c r="AKW315" s="6"/>
      <c r="AKX315" s="6"/>
      <c r="AKY315" s="6"/>
      <c r="AKZ315" s="6"/>
      <c r="ALA315" s="6"/>
      <c r="ALB315" s="6"/>
      <c r="ALC315" s="6"/>
      <c r="ALD315" s="6"/>
      <c r="ALE315" s="6"/>
      <c r="ALF315" s="6"/>
      <c r="ALG315" s="6"/>
      <c r="ALH315" s="6"/>
      <c r="ALI315" s="6"/>
      <c r="ALJ315" s="6"/>
      <c r="ALK315" s="6"/>
      <c r="ALL315" s="6"/>
      <c r="ALM315" s="6"/>
      <c r="ALN315" s="6"/>
      <c r="ALO315" s="6"/>
      <c r="ALP315" s="6"/>
      <c r="ALQ315" s="6"/>
      <c r="ALR315" s="6"/>
      <c r="ALS315" s="6"/>
      <c r="ALT315" s="6"/>
      <c r="ALU315" s="6"/>
      <c r="ALV315" s="6"/>
      <c r="ALW315" s="6"/>
      <c r="ALX315" s="6"/>
      <c r="ALY315" s="6"/>
      <c r="ALZ315" s="6"/>
      <c r="AMA315" s="6"/>
      <c r="AMB315" s="6"/>
      <c r="AMC315" s="6"/>
      <c r="AMD315" s="6"/>
      <c r="AME315" s="6"/>
      <c r="AMF315" s="6"/>
      <c r="AMG315" s="6"/>
      <c r="AMH315" s="6"/>
      <c r="AMI315" s="6"/>
      <c r="AMJ315" s="6"/>
      <c r="AMK315" s="6"/>
      <c r="AML315" s="6"/>
      <c r="AMM315" s="6"/>
      <c r="AMN315" s="6"/>
      <c r="AMO315" s="6"/>
      <c r="AMP315" s="6"/>
    </row>
    <row r="316" spans="1:1030" x14ac:dyDescent="0.2">
      <c r="A316" s="3" t="str">
        <f t="shared" si="1733"/>
        <v>calcr_human_5UZ7</v>
      </c>
      <c r="B316" s="2" t="s">
        <v>401</v>
      </c>
      <c r="C316" s="3" t="s">
        <v>1402</v>
      </c>
      <c r="D316" s="3" t="str">
        <f>IFERROR(MID(VLOOKUP($B316,Seqs!$A:$B,2,0),E316,1),"")</f>
        <v>A</v>
      </c>
      <c r="E316" s="3">
        <v>136</v>
      </c>
      <c r="F316" s="3" t="str">
        <f>IFERROR(MID(VLOOKUP($B316,Seqs!$A:$B,2,0),G316,1),"")</f>
        <v>F</v>
      </c>
      <c r="G316" s="3">
        <v>173</v>
      </c>
      <c r="H316" s="3" t="str">
        <f>IFERROR(MID(VLOOKUP($B316,Seqs!$A:$B,2,0),I316,1),"")</f>
        <v>R</v>
      </c>
      <c r="I316" s="23">
        <v>174</v>
      </c>
      <c r="J316" s="3" t="str">
        <f>IFERROR(MID(VLOOKUP($B316,Seqs!$A:$B,2,0),K316,1),"")</f>
        <v>G</v>
      </c>
      <c r="K316" s="23">
        <v>177</v>
      </c>
      <c r="L316" s="3" t="str">
        <f>IFERROR(MID(VLOOKUP($B316,Seqs!$A:$B,2,0),M316,1),"")</f>
        <v>C</v>
      </c>
      <c r="M316" s="3">
        <v>178</v>
      </c>
      <c r="N316" s="3" t="str">
        <f>IFERROR(MID(VLOOKUP($B316,Seqs!$A:$B,2,0),O316,1),"")</f>
        <v>V</v>
      </c>
      <c r="O316" s="3">
        <v>205</v>
      </c>
      <c r="P316" s="3" t="str">
        <f>IFERROR(MID(VLOOKUP($B316,Seqs!$A:$B,2,0),Q316,1),"")</f>
        <v/>
      </c>
      <c r="Q316" s="3" t="s">
        <v>23</v>
      </c>
      <c r="R316" s="3" t="str">
        <f>IFERROR(MID(VLOOKUP($B316,Seqs!$A:$B,2,0),S316,1),"")</f>
        <v/>
      </c>
      <c r="S316" s="3" t="s">
        <v>23</v>
      </c>
      <c r="T316" s="3" t="str">
        <f>IFERROR(MID(VLOOKUP($B316,Seqs!$A:$B,2,0),U316,1),"")</f>
        <v>D</v>
      </c>
      <c r="U316" s="3">
        <v>215</v>
      </c>
      <c r="V316" s="3" t="str">
        <f>IFERROR(MID(VLOOKUP($B316,Seqs!$A:$B,2,0),W316,1),"")</f>
        <v>V</v>
      </c>
      <c r="W316" s="3">
        <v>250</v>
      </c>
      <c r="X316" s="3" t="str">
        <f>IFERROR(MID(VLOOKUP($B316,Seqs!$A:$B,2,0),Y316,1),"")</f>
        <v/>
      </c>
      <c r="Y316" s="3" t="s">
        <v>23</v>
      </c>
      <c r="Z316" s="3" t="str">
        <f>IFERROR(MID(VLOOKUP($B316,Seqs!$A:$B,2,0),AA316,1),"")</f>
        <v/>
      </c>
      <c r="AA316" s="3" t="s">
        <v>23</v>
      </c>
      <c r="AB316" s="3" t="str">
        <f>IFERROR(MID(VLOOKUP($B316,Seqs!$A:$B,2,0),AC316,1),"")</f>
        <v>R</v>
      </c>
      <c r="AC316" s="3">
        <v>258</v>
      </c>
      <c r="AD316" s="3" t="str">
        <f>IFERROR(MID(VLOOKUP($B316,Seqs!$A:$B,2,0),AE316,1),"")</f>
        <v>F</v>
      </c>
      <c r="AE316" s="3">
        <v>285</v>
      </c>
      <c r="AF316" s="3" t="str">
        <f>IFERROR(MID(VLOOKUP($B316,Seqs!$A:$B,2,0),AG316,1),"")</f>
        <v>C</v>
      </c>
      <c r="AG316" s="3">
        <v>289</v>
      </c>
      <c r="AH316" s="3" t="str">
        <f>IFERROR(MID(VLOOKUP($B316,Seqs!$A:$B,2,0),AI316,1),"")</f>
        <v>L</v>
      </c>
      <c r="AI316" s="3">
        <v>291</v>
      </c>
      <c r="AJ316" s="3" t="str">
        <f>IFERROR(MID(VLOOKUP($B316,Seqs!$A:$B,2,0),AK316,1),"")</f>
        <v>L</v>
      </c>
      <c r="AK316" s="3">
        <v>298</v>
      </c>
      <c r="AL316" s="3" t="str">
        <f>IFERROR(MID(VLOOKUP($B316,Seqs!$A:$B,2,0),AM316,1),"")</f>
        <v>R</v>
      </c>
      <c r="AM316" s="3">
        <v>328</v>
      </c>
      <c r="AN316" s="3" t="str">
        <f>IFERROR(MID(VLOOKUP($B316,Seqs!$A:$B,2,0),AO316,1),"")</f>
        <v>L</v>
      </c>
      <c r="AO316" s="3">
        <v>352</v>
      </c>
      <c r="AP316" s="3" t="str">
        <f>IFERROR(MID(VLOOKUP($B316,Seqs!$A:$B,2,0),AQ316,1),"")</f>
        <v>P</v>
      </c>
      <c r="AQ316" s="3">
        <v>360</v>
      </c>
      <c r="AR316" s="3" t="str">
        <f>IFERROR(MID(VLOOKUP($B316,Seqs!$A:$B,2,0),AS316,1),"")</f>
        <v>K</v>
      </c>
      <c r="AS316" s="3">
        <v>366</v>
      </c>
      <c r="AT316" s="3" t="str">
        <f>IFERROR(MID(VLOOKUP($B316,Seqs!$A:$B,2,0),AU316,1),"")</f>
        <v>C</v>
      </c>
      <c r="AU316" s="3">
        <v>394</v>
      </c>
      <c r="AV316" s="3" t="str">
        <f>IFERROR(MID(VLOOKUP($B316,Seqs!$A:$B,2,0),AW316,1),"")</f>
        <v>N</v>
      </c>
      <c r="AW316" s="3">
        <v>395</v>
      </c>
      <c r="AX316" s="3" t="str">
        <f>IFERROR(MID(VLOOKUP($B316,Seqs!$A:$B,2,0),AY316,1),"")</f>
        <v>G</v>
      </c>
      <c r="AY316" s="3">
        <v>418</v>
      </c>
      <c r="AZ316" s="77" t="str">
        <f>VLOOKUP(B316,Classification!A:D,2,0)</f>
        <v>B1</v>
      </c>
      <c r="BA316" s="94" t="str">
        <f>VLOOKUP(B316,Classification!A:D,4,0)</f>
        <v>Calcitonin</v>
      </c>
      <c r="BB316" s="27" t="b">
        <f t="shared" si="1706"/>
        <v>1</v>
      </c>
      <c r="BC316" s="23">
        <f t="shared" si="1707"/>
        <v>232</v>
      </c>
      <c r="BD316" s="4" t="s">
        <v>23</v>
      </c>
      <c r="BE316" s="3" t="s">
        <v>1292</v>
      </c>
      <c r="BF316" s="119">
        <v>4.0999999999999996</v>
      </c>
      <c r="BG316" s="49" t="s">
        <v>1378</v>
      </c>
      <c r="BH316" s="49" t="s">
        <v>1378</v>
      </c>
      <c r="BI316" s="1"/>
      <c r="BJ316" s="70" t="s">
        <v>1288</v>
      </c>
      <c r="BK316" s="57" t="s">
        <v>1288</v>
      </c>
      <c r="BL316" s="57" t="s">
        <v>1288</v>
      </c>
      <c r="BM316" s="57" t="s">
        <v>1288</v>
      </c>
      <c r="BN316" s="57" t="s">
        <v>1288</v>
      </c>
      <c r="BO316" s="57" t="s">
        <v>1288</v>
      </c>
      <c r="BP316" s="57" t="s">
        <v>1288</v>
      </c>
      <c r="BQ316" s="57" t="s">
        <v>1288</v>
      </c>
      <c r="BR316" s="57" t="s">
        <v>1288</v>
      </c>
      <c r="BS316" s="57" t="s">
        <v>1288</v>
      </c>
      <c r="BT316" s="57" t="s">
        <v>1288</v>
      </c>
      <c r="BU316" s="57" t="s">
        <v>1288</v>
      </c>
      <c r="BV316" s="70">
        <f t="shared" si="1708"/>
        <v>136</v>
      </c>
      <c r="BW316" s="71">
        <f t="shared" si="1709"/>
        <v>174</v>
      </c>
      <c r="BX316" s="72">
        <f t="shared" si="1710"/>
        <v>178</v>
      </c>
      <c r="BY316" s="71" t="str">
        <f t="shared" si="1711"/>
        <v>-</v>
      </c>
      <c r="BZ316" s="72">
        <f t="shared" si="1712"/>
        <v>215</v>
      </c>
      <c r="CA316" s="71" t="str">
        <f t="shared" si="1713"/>
        <v>-</v>
      </c>
      <c r="CB316" s="72">
        <f t="shared" si="1714"/>
        <v>258</v>
      </c>
      <c r="CC316" s="71">
        <f t="shared" si="1715"/>
        <v>289</v>
      </c>
      <c r="CD316" s="72">
        <f t="shared" si="1716"/>
        <v>298</v>
      </c>
      <c r="CE316" s="71">
        <f t="shared" si="1717"/>
        <v>352</v>
      </c>
      <c r="CF316" s="72">
        <f t="shared" si="1718"/>
        <v>366</v>
      </c>
      <c r="CG316" s="71">
        <f t="shared" si="1719"/>
        <v>395</v>
      </c>
      <c r="CH316" s="70">
        <f t="shared" si="1720"/>
        <v>173</v>
      </c>
      <c r="CI316" s="71">
        <f t="shared" si="1721"/>
        <v>177</v>
      </c>
      <c r="CJ316" s="72">
        <f t="shared" si="1722"/>
        <v>205</v>
      </c>
      <c r="CK316" s="72" t="str">
        <f t="shared" si="1723"/>
        <v>-</v>
      </c>
      <c r="CL316" s="72">
        <f t="shared" si="1724"/>
        <v>250</v>
      </c>
      <c r="CM316" s="72" t="str">
        <f t="shared" si="1725"/>
        <v>-</v>
      </c>
      <c r="CN316" s="72">
        <f t="shared" si="1726"/>
        <v>285</v>
      </c>
      <c r="CO316" s="72">
        <f t="shared" si="1727"/>
        <v>291</v>
      </c>
      <c r="CP316" s="72">
        <f t="shared" si="1728"/>
        <v>328</v>
      </c>
      <c r="CQ316" s="72">
        <f t="shared" si="1729"/>
        <v>360</v>
      </c>
      <c r="CR316" s="72">
        <f t="shared" si="1730"/>
        <v>394</v>
      </c>
      <c r="CS316" s="72">
        <f t="shared" si="1731"/>
        <v>418</v>
      </c>
      <c r="CT316" s="23">
        <f t="shared" si="1732"/>
        <v>1</v>
      </c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  <c r="EA316" s="6"/>
      <c r="EB316" s="6"/>
      <c r="EC316" s="6"/>
      <c r="ED316" s="6"/>
      <c r="EE316" s="6"/>
      <c r="EF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/>
      <c r="EV316" s="6"/>
      <c r="EW316" s="6"/>
      <c r="EX316" s="6"/>
      <c r="EY316" s="6"/>
      <c r="EZ316" s="6"/>
      <c r="FA316" s="6"/>
      <c r="FB316" s="6"/>
      <c r="FC316" s="6"/>
      <c r="FD316" s="6"/>
      <c r="FE316" s="6"/>
      <c r="FF316" s="6"/>
      <c r="FG316" s="6"/>
      <c r="FH316" s="6"/>
      <c r="FI316" s="6"/>
      <c r="FJ316" s="6"/>
      <c r="FK316" s="6"/>
      <c r="FL316" s="6"/>
      <c r="FM316" s="6"/>
      <c r="FN316" s="6"/>
      <c r="FO316" s="6"/>
      <c r="FP316" s="6"/>
      <c r="FQ316" s="6"/>
      <c r="FR316" s="6"/>
      <c r="FS316" s="6"/>
      <c r="FT316" s="6"/>
      <c r="FU316" s="6"/>
      <c r="FV316" s="6"/>
      <c r="FW316" s="6"/>
      <c r="FX316" s="6"/>
      <c r="FY316" s="6"/>
      <c r="FZ316" s="6"/>
      <c r="GA316" s="6"/>
      <c r="GB316" s="6"/>
      <c r="GC316" s="6"/>
      <c r="GD316" s="6"/>
      <c r="GE316" s="6"/>
      <c r="GF316" s="6"/>
      <c r="GG316" s="6"/>
      <c r="GH316" s="6"/>
      <c r="GI316" s="6"/>
      <c r="GJ316" s="6"/>
      <c r="GK316" s="6"/>
      <c r="GL316" s="6"/>
      <c r="GM316" s="6"/>
      <c r="GN316" s="6"/>
      <c r="GO316" s="6"/>
      <c r="GP316" s="6"/>
      <c r="GQ316" s="6"/>
      <c r="GR316" s="6"/>
      <c r="GS316" s="6"/>
      <c r="GT316" s="6"/>
      <c r="GU316" s="6"/>
      <c r="GV316" s="6"/>
      <c r="GW316" s="6"/>
      <c r="GX316" s="6"/>
      <c r="GY316" s="6"/>
      <c r="GZ316" s="6"/>
      <c r="HA316" s="6"/>
      <c r="HB316" s="6"/>
      <c r="HC316" s="6"/>
      <c r="HD316" s="6"/>
      <c r="HE316" s="6"/>
      <c r="HF316" s="6"/>
      <c r="HG316" s="6"/>
      <c r="HH316" s="6"/>
      <c r="HI316" s="6"/>
      <c r="HJ316" s="6"/>
      <c r="HK316" s="6"/>
      <c r="HL316" s="6"/>
      <c r="HM316" s="6"/>
      <c r="HN316" s="6"/>
      <c r="HO316" s="6"/>
      <c r="HP316" s="6"/>
      <c r="HQ316" s="6"/>
      <c r="HR316" s="6"/>
      <c r="HS316" s="6"/>
      <c r="HT316" s="6"/>
      <c r="HU316" s="6"/>
      <c r="HV316" s="6"/>
      <c r="HW316" s="6"/>
      <c r="HX316" s="6"/>
      <c r="HY316" s="6"/>
      <c r="HZ316" s="6"/>
      <c r="IA316" s="6"/>
      <c r="IB316" s="6"/>
      <c r="IC316" s="6"/>
      <c r="ID316" s="6"/>
      <c r="IE316" s="6"/>
      <c r="IF316" s="6"/>
      <c r="IG316" s="6"/>
      <c r="IH316" s="6"/>
      <c r="II316" s="6"/>
      <c r="IJ316" s="6"/>
      <c r="IK316" s="6"/>
      <c r="IL316" s="6"/>
      <c r="IM316" s="6"/>
      <c r="IN316" s="6"/>
      <c r="IO316" s="6"/>
      <c r="IP316" s="6"/>
      <c r="IQ316" s="6"/>
      <c r="IR316" s="6"/>
      <c r="IS316" s="6"/>
      <c r="IT316" s="6"/>
      <c r="IU316" s="6"/>
      <c r="IV316" s="6"/>
      <c r="IW316" s="6"/>
      <c r="IX316" s="6"/>
      <c r="IY316" s="6"/>
      <c r="IZ316" s="6"/>
      <c r="JA316" s="6"/>
      <c r="JB316" s="6"/>
      <c r="JC316" s="6"/>
      <c r="JD316" s="6"/>
      <c r="JE316" s="6"/>
      <c r="JF316" s="6"/>
      <c r="JG316" s="6"/>
      <c r="JH316" s="6"/>
      <c r="JI316" s="6"/>
      <c r="JJ316" s="6"/>
      <c r="JK316" s="6"/>
      <c r="JL316" s="6"/>
      <c r="JM316" s="6"/>
      <c r="JN316" s="6"/>
      <c r="JO316" s="6"/>
      <c r="JP316" s="6"/>
      <c r="JQ316" s="6"/>
      <c r="JR316" s="6"/>
      <c r="JS316" s="6"/>
      <c r="JT316" s="6"/>
      <c r="JU316" s="6"/>
      <c r="JV316" s="6"/>
      <c r="JW316" s="6"/>
      <c r="JX316" s="6"/>
      <c r="JY316" s="6"/>
      <c r="JZ316" s="6"/>
      <c r="KA316" s="6"/>
      <c r="KB316" s="6"/>
      <c r="KC316" s="6"/>
      <c r="KD316" s="6"/>
      <c r="KE316" s="6"/>
      <c r="KF316" s="6"/>
      <c r="KG316" s="6"/>
      <c r="KH316" s="6"/>
      <c r="KI316" s="6"/>
      <c r="KJ316" s="6"/>
      <c r="KK316" s="6"/>
      <c r="KL316" s="6"/>
      <c r="KM316" s="6"/>
      <c r="KN316" s="6"/>
      <c r="KO316" s="6"/>
      <c r="KP316" s="6"/>
      <c r="KQ316" s="6"/>
      <c r="KR316" s="6"/>
      <c r="KS316" s="6"/>
      <c r="KT316" s="6"/>
      <c r="KU316" s="6"/>
      <c r="KV316" s="6"/>
      <c r="KW316" s="6"/>
      <c r="KX316" s="6"/>
      <c r="KY316" s="6"/>
      <c r="KZ316" s="6"/>
      <c r="LA316" s="6"/>
      <c r="LB316" s="6"/>
      <c r="LC316" s="6"/>
      <c r="LD316" s="6"/>
      <c r="LE316" s="6"/>
      <c r="LF316" s="6"/>
      <c r="LG316" s="6"/>
      <c r="LH316" s="6"/>
      <c r="LI316" s="6"/>
      <c r="LJ316" s="6"/>
      <c r="LK316" s="6"/>
      <c r="LL316" s="6"/>
      <c r="LM316" s="6"/>
      <c r="LN316" s="6"/>
      <c r="LO316" s="6"/>
      <c r="LP316" s="6"/>
      <c r="LQ316" s="6"/>
      <c r="LR316" s="6"/>
      <c r="LS316" s="6"/>
      <c r="LT316" s="6"/>
      <c r="LU316" s="6"/>
      <c r="LV316" s="6"/>
      <c r="LW316" s="6"/>
      <c r="LX316" s="6"/>
      <c r="LY316" s="6"/>
      <c r="LZ316" s="6"/>
      <c r="MA316" s="6"/>
      <c r="MB316" s="6"/>
      <c r="MC316" s="6"/>
      <c r="MD316" s="6"/>
      <c r="ME316" s="6"/>
      <c r="MF316" s="6"/>
      <c r="MG316" s="6"/>
      <c r="MH316" s="6"/>
      <c r="MI316" s="6"/>
      <c r="MJ316" s="6"/>
      <c r="MK316" s="6"/>
      <c r="ML316" s="6"/>
      <c r="MM316" s="6"/>
      <c r="MN316" s="6"/>
      <c r="MO316" s="6"/>
      <c r="MP316" s="6"/>
      <c r="MQ316" s="6"/>
      <c r="MR316" s="6"/>
      <c r="MS316" s="6"/>
      <c r="MT316" s="6"/>
      <c r="MU316" s="6"/>
      <c r="MV316" s="6"/>
      <c r="MW316" s="6"/>
      <c r="MX316" s="6"/>
      <c r="MY316" s="6"/>
      <c r="MZ316" s="6"/>
      <c r="NA316" s="6"/>
      <c r="NB316" s="6"/>
      <c r="NC316" s="6"/>
      <c r="ND316" s="6"/>
      <c r="NE316" s="6"/>
      <c r="NF316" s="6"/>
      <c r="NG316" s="6"/>
      <c r="NH316" s="6"/>
      <c r="NI316" s="6"/>
      <c r="NJ316" s="6"/>
      <c r="NK316" s="6"/>
      <c r="NL316" s="6"/>
      <c r="NM316" s="6"/>
      <c r="NN316" s="6"/>
      <c r="NO316" s="6"/>
      <c r="NP316" s="6"/>
      <c r="NQ316" s="6"/>
      <c r="NR316" s="6"/>
      <c r="NS316" s="6"/>
      <c r="NT316" s="6"/>
      <c r="NU316" s="6"/>
      <c r="NV316" s="6"/>
      <c r="NW316" s="6"/>
      <c r="NX316" s="6"/>
      <c r="NY316" s="6"/>
      <c r="NZ316" s="6"/>
      <c r="OA316" s="6"/>
      <c r="OB316" s="6"/>
      <c r="OC316" s="6"/>
      <c r="OD316" s="6"/>
      <c r="OE316" s="6"/>
      <c r="OF316" s="6"/>
      <c r="OG316" s="6"/>
      <c r="OH316" s="6"/>
      <c r="OI316" s="6"/>
      <c r="OJ316" s="6"/>
      <c r="OK316" s="6"/>
      <c r="OL316" s="6"/>
      <c r="OM316" s="6"/>
      <c r="ON316" s="6"/>
      <c r="OO316" s="6"/>
      <c r="OP316" s="6"/>
      <c r="OQ316" s="6"/>
      <c r="OR316" s="6"/>
      <c r="OS316" s="6"/>
      <c r="OT316" s="6"/>
      <c r="OU316" s="6"/>
      <c r="OV316" s="6"/>
      <c r="OW316" s="6"/>
      <c r="OX316" s="6"/>
      <c r="OY316" s="6"/>
      <c r="OZ316" s="6"/>
      <c r="PA316" s="6"/>
      <c r="PB316" s="6"/>
      <c r="PC316" s="6"/>
      <c r="PD316" s="6"/>
      <c r="PE316" s="6"/>
      <c r="PF316" s="6"/>
      <c r="PG316" s="6"/>
      <c r="PH316" s="6"/>
      <c r="PI316" s="6"/>
      <c r="PJ316" s="6"/>
      <c r="PK316" s="6"/>
      <c r="PL316" s="6"/>
      <c r="PM316" s="6"/>
      <c r="PN316" s="6"/>
      <c r="PO316" s="6"/>
      <c r="PP316" s="6"/>
      <c r="PQ316" s="6"/>
      <c r="PR316" s="6"/>
      <c r="PS316" s="6"/>
      <c r="PT316" s="6"/>
      <c r="PU316" s="6"/>
      <c r="PV316" s="6"/>
      <c r="PW316" s="6"/>
      <c r="PX316" s="6"/>
      <c r="PY316" s="6"/>
      <c r="PZ316" s="6"/>
      <c r="QA316" s="6"/>
      <c r="QB316" s="6"/>
      <c r="QC316" s="6"/>
      <c r="QD316" s="6"/>
      <c r="QE316" s="6"/>
      <c r="QF316" s="6"/>
      <c r="QG316" s="6"/>
      <c r="QH316" s="6"/>
      <c r="QI316" s="6"/>
      <c r="QJ316" s="6"/>
      <c r="QK316" s="6"/>
      <c r="QL316" s="6"/>
      <c r="QM316" s="6"/>
      <c r="QN316" s="6"/>
      <c r="QO316" s="6"/>
      <c r="QP316" s="6"/>
      <c r="QQ316" s="6"/>
      <c r="QR316" s="6"/>
      <c r="QS316" s="6"/>
      <c r="QT316" s="6"/>
      <c r="QU316" s="6"/>
      <c r="QV316" s="6"/>
      <c r="QW316" s="6"/>
      <c r="QX316" s="6"/>
      <c r="QY316" s="6"/>
      <c r="QZ316" s="6"/>
      <c r="RA316" s="6"/>
      <c r="RB316" s="6"/>
      <c r="RC316" s="6"/>
      <c r="RD316" s="6"/>
      <c r="RE316" s="6"/>
      <c r="RF316" s="6"/>
      <c r="RG316" s="6"/>
      <c r="RH316" s="6"/>
      <c r="RI316" s="6"/>
      <c r="RJ316" s="6"/>
      <c r="RK316" s="6"/>
      <c r="RL316" s="6"/>
      <c r="RM316" s="6"/>
      <c r="RN316" s="6"/>
      <c r="RO316" s="6"/>
      <c r="RP316" s="6"/>
      <c r="RQ316" s="6"/>
      <c r="RR316" s="6"/>
      <c r="RS316" s="6"/>
      <c r="RT316" s="6"/>
      <c r="RU316" s="6"/>
      <c r="RV316" s="6"/>
      <c r="RW316" s="6"/>
      <c r="RX316" s="6"/>
      <c r="RY316" s="6"/>
      <c r="RZ316" s="6"/>
      <c r="SA316" s="6"/>
      <c r="SB316" s="6"/>
      <c r="SC316" s="6"/>
      <c r="SD316" s="6"/>
      <c r="SE316" s="6"/>
      <c r="SF316" s="6"/>
      <c r="SG316" s="6"/>
      <c r="SH316" s="6"/>
      <c r="SI316" s="6"/>
      <c r="SJ316" s="6"/>
      <c r="SK316" s="6"/>
      <c r="SL316" s="6"/>
      <c r="SM316" s="6"/>
      <c r="SN316" s="6"/>
      <c r="SO316" s="6"/>
      <c r="SP316" s="6"/>
      <c r="SQ316" s="6"/>
      <c r="SR316" s="6"/>
      <c r="SS316" s="6"/>
      <c r="ST316" s="6"/>
      <c r="SU316" s="6"/>
      <c r="SV316" s="6"/>
      <c r="SW316" s="6"/>
      <c r="SX316" s="6"/>
      <c r="SY316" s="6"/>
      <c r="SZ316" s="6"/>
      <c r="TA316" s="6"/>
      <c r="TB316" s="6"/>
      <c r="TC316" s="6"/>
      <c r="TD316" s="6"/>
      <c r="TE316" s="6"/>
      <c r="TF316" s="6"/>
      <c r="TG316" s="6"/>
      <c r="TH316" s="6"/>
      <c r="TI316" s="6"/>
      <c r="TJ316" s="6"/>
      <c r="TK316" s="6"/>
      <c r="TL316" s="6"/>
      <c r="TM316" s="6"/>
      <c r="TN316" s="6"/>
      <c r="TO316" s="6"/>
      <c r="TP316" s="6"/>
      <c r="TQ316" s="6"/>
      <c r="TR316" s="6"/>
      <c r="TS316" s="6"/>
      <c r="TT316" s="6"/>
      <c r="TU316" s="6"/>
      <c r="TV316" s="6"/>
      <c r="TW316" s="6"/>
      <c r="TX316" s="6"/>
      <c r="TY316" s="6"/>
      <c r="TZ316" s="6"/>
      <c r="UA316" s="6"/>
      <c r="UB316" s="6"/>
      <c r="UC316" s="6"/>
      <c r="UD316" s="6"/>
      <c r="UE316" s="6"/>
      <c r="UF316" s="6"/>
      <c r="UG316" s="6"/>
      <c r="UH316" s="6"/>
      <c r="UI316" s="6"/>
      <c r="UJ316" s="6"/>
      <c r="UK316" s="6"/>
      <c r="UL316" s="6"/>
      <c r="UM316" s="6"/>
      <c r="UN316" s="6"/>
      <c r="UO316" s="6"/>
      <c r="UP316" s="6"/>
      <c r="UQ316" s="6"/>
      <c r="UR316" s="6"/>
      <c r="US316" s="6"/>
      <c r="UT316" s="6"/>
      <c r="UU316" s="6"/>
      <c r="UV316" s="6"/>
      <c r="UW316" s="6"/>
      <c r="UX316" s="6"/>
      <c r="UY316" s="6"/>
      <c r="UZ316" s="6"/>
      <c r="VA316" s="6"/>
      <c r="VB316" s="6"/>
      <c r="VC316" s="6"/>
      <c r="VD316" s="6"/>
      <c r="VE316" s="6"/>
      <c r="VF316" s="6"/>
      <c r="VG316" s="6"/>
      <c r="VH316" s="6"/>
      <c r="VI316" s="6"/>
      <c r="VJ316" s="6"/>
      <c r="VK316" s="6"/>
      <c r="VL316" s="6"/>
      <c r="VM316" s="6"/>
      <c r="VN316" s="6"/>
      <c r="VO316" s="6"/>
      <c r="VP316" s="6"/>
      <c r="VQ316" s="6"/>
      <c r="VR316" s="6"/>
      <c r="VS316" s="6"/>
      <c r="VT316" s="6"/>
      <c r="VU316" s="6"/>
      <c r="VV316" s="6"/>
      <c r="VW316" s="6"/>
      <c r="VX316" s="6"/>
      <c r="VY316" s="6"/>
      <c r="VZ316" s="6"/>
      <c r="WA316" s="6"/>
      <c r="WB316" s="6"/>
      <c r="WC316" s="6"/>
      <c r="WD316" s="6"/>
      <c r="WE316" s="6"/>
      <c r="WF316" s="6"/>
      <c r="WG316" s="6"/>
      <c r="WH316" s="6"/>
      <c r="WI316" s="6"/>
      <c r="WJ316" s="6"/>
      <c r="WK316" s="6"/>
      <c r="WL316" s="6"/>
      <c r="WM316" s="6"/>
      <c r="WN316" s="6"/>
      <c r="WO316" s="6"/>
      <c r="WP316" s="6"/>
      <c r="WQ316" s="6"/>
      <c r="WR316" s="6"/>
      <c r="WS316" s="6"/>
      <c r="WT316" s="6"/>
      <c r="WU316" s="6"/>
      <c r="WV316" s="6"/>
      <c r="WW316" s="6"/>
      <c r="WX316" s="6"/>
      <c r="WY316" s="6"/>
      <c r="WZ316" s="6"/>
      <c r="XA316" s="6"/>
      <c r="XB316" s="6"/>
      <c r="XC316" s="6"/>
      <c r="XD316" s="6"/>
      <c r="XE316" s="6"/>
      <c r="XF316" s="6"/>
      <c r="XG316" s="6"/>
      <c r="XH316" s="6"/>
      <c r="XI316" s="6"/>
      <c r="XJ316" s="6"/>
      <c r="XK316" s="6"/>
      <c r="XL316" s="6"/>
      <c r="XM316" s="6"/>
      <c r="XN316" s="6"/>
      <c r="XO316" s="6"/>
      <c r="XP316" s="6"/>
      <c r="XQ316" s="6"/>
      <c r="XR316" s="6"/>
      <c r="XS316" s="6"/>
      <c r="XT316" s="6"/>
      <c r="XU316" s="6"/>
      <c r="XV316" s="6"/>
      <c r="XW316" s="6"/>
      <c r="XX316" s="6"/>
      <c r="XY316" s="6"/>
      <c r="XZ316" s="6"/>
      <c r="YA316" s="6"/>
      <c r="YB316" s="6"/>
      <c r="YC316" s="6"/>
      <c r="YD316" s="6"/>
      <c r="YE316" s="6"/>
      <c r="YF316" s="6"/>
      <c r="YG316" s="6"/>
      <c r="YH316" s="6"/>
      <c r="YI316" s="6"/>
      <c r="YJ316" s="6"/>
      <c r="YK316" s="6"/>
      <c r="YL316" s="6"/>
      <c r="YM316" s="6"/>
      <c r="YN316" s="6"/>
      <c r="YO316" s="6"/>
      <c r="YP316" s="6"/>
      <c r="YQ316" s="6"/>
      <c r="YR316" s="6"/>
      <c r="YS316" s="6"/>
      <c r="YT316" s="6"/>
      <c r="YU316" s="6"/>
      <c r="YV316" s="6"/>
      <c r="YW316" s="6"/>
      <c r="YX316" s="6"/>
      <c r="YY316" s="6"/>
      <c r="YZ316" s="6"/>
      <c r="ZA316" s="6"/>
      <c r="ZB316" s="6"/>
      <c r="ZC316" s="6"/>
      <c r="ZD316" s="6"/>
      <c r="ZE316" s="6"/>
      <c r="ZF316" s="6"/>
      <c r="ZG316" s="6"/>
      <c r="ZH316" s="6"/>
      <c r="ZI316" s="6"/>
      <c r="ZJ316" s="6"/>
      <c r="ZK316" s="6"/>
      <c r="ZL316" s="6"/>
      <c r="ZM316" s="6"/>
      <c r="ZN316" s="6"/>
      <c r="ZO316" s="6"/>
      <c r="ZP316" s="6"/>
      <c r="ZQ316" s="6"/>
      <c r="ZR316" s="6"/>
      <c r="ZS316" s="6"/>
      <c r="ZT316" s="6"/>
      <c r="ZU316" s="6"/>
      <c r="ZV316" s="6"/>
      <c r="ZW316" s="6"/>
      <c r="ZX316" s="6"/>
      <c r="ZY316" s="6"/>
      <c r="ZZ316" s="6"/>
      <c r="AAA316" s="6"/>
      <c r="AAB316" s="6"/>
      <c r="AAC316" s="6"/>
      <c r="AAD316" s="6"/>
      <c r="AAE316" s="6"/>
      <c r="AAF316" s="6"/>
      <c r="AAG316" s="6"/>
      <c r="AAH316" s="6"/>
      <c r="AAI316" s="6"/>
      <c r="AAJ316" s="6"/>
      <c r="AAK316" s="6"/>
      <c r="AAL316" s="6"/>
      <c r="AAM316" s="6"/>
      <c r="AAN316" s="6"/>
      <c r="AAO316" s="6"/>
      <c r="AAP316" s="6"/>
      <c r="AAQ316" s="6"/>
      <c r="AAR316" s="6"/>
      <c r="AAS316" s="6"/>
      <c r="AAT316" s="6"/>
      <c r="AAU316" s="6"/>
      <c r="AAV316" s="6"/>
      <c r="AAW316" s="6"/>
      <c r="AAX316" s="6"/>
      <c r="AAY316" s="6"/>
      <c r="AAZ316" s="6"/>
      <c r="ABA316" s="6"/>
      <c r="ABB316" s="6"/>
      <c r="ABC316" s="6"/>
      <c r="ABD316" s="6"/>
      <c r="ABE316" s="6"/>
      <c r="ABF316" s="6"/>
      <c r="ABG316" s="6"/>
      <c r="ABH316" s="6"/>
      <c r="ABI316" s="6"/>
      <c r="ABJ316" s="6"/>
      <c r="ABK316" s="6"/>
      <c r="ABL316" s="6"/>
      <c r="ABM316" s="6"/>
      <c r="ABN316" s="6"/>
      <c r="ABO316" s="6"/>
      <c r="ABP316" s="6"/>
      <c r="ABQ316" s="6"/>
      <c r="ABR316" s="6"/>
      <c r="ABS316" s="6"/>
      <c r="ABT316" s="6"/>
      <c r="ABU316" s="6"/>
      <c r="ABV316" s="6"/>
      <c r="ABW316" s="6"/>
      <c r="ABX316" s="6"/>
      <c r="ABY316" s="6"/>
      <c r="ABZ316" s="6"/>
      <c r="ACA316" s="6"/>
      <c r="ACB316" s="6"/>
      <c r="ACC316" s="6"/>
      <c r="ACD316" s="6"/>
      <c r="ACE316" s="6"/>
      <c r="ACF316" s="6"/>
      <c r="ACG316" s="6"/>
      <c r="ACH316" s="6"/>
      <c r="ACI316" s="6"/>
      <c r="ACJ316" s="6"/>
      <c r="ACK316" s="6"/>
      <c r="ACL316" s="6"/>
      <c r="ACM316" s="6"/>
      <c r="ACN316" s="6"/>
      <c r="ACO316" s="6"/>
      <c r="ACP316" s="6"/>
      <c r="ACQ316" s="6"/>
      <c r="ACR316" s="6"/>
      <c r="ACS316" s="6"/>
      <c r="ACT316" s="6"/>
      <c r="ACU316" s="6"/>
      <c r="ACV316" s="6"/>
      <c r="ACW316" s="6"/>
      <c r="ACX316" s="6"/>
      <c r="ACY316" s="6"/>
      <c r="ACZ316" s="6"/>
      <c r="ADA316" s="6"/>
      <c r="ADB316" s="6"/>
      <c r="ADC316" s="6"/>
      <c r="ADD316" s="6"/>
      <c r="ADE316" s="6"/>
      <c r="ADF316" s="6"/>
      <c r="ADG316" s="6"/>
      <c r="ADH316" s="6"/>
      <c r="ADI316" s="6"/>
      <c r="ADJ316" s="6"/>
      <c r="ADK316" s="6"/>
      <c r="ADL316" s="6"/>
      <c r="ADM316" s="6"/>
      <c r="ADN316" s="6"/>
      <c r="ADO316" s="6"/>
      <c r="ADP316" s="6"/>
      <c r="ADQ316" s="6"/>
      <c r="ADR316" s="6"/>
      <c r="ADS316" s="6"/>
      <c r="ADT316" s="6"/>
      <c r="ADU316" s="6"/>
      <c r="ADV316" s="6"/>
      <c r="ADW316" s="6"/>
      <c r="ADX316" s="6"/>
      <c r="ADY316" s="6"/>
      <c r="ADZ316" s="6"/>
      <c r="AEA316" s="6"/>
      <c r="AEB316" s="6"/>
      <c r="AEC316" s="6"/>
      <c r="AED316" s="6"/>
      <c r="AEE316" s="6"/>
      <c r="AEF316" s="6"/>
      <c r="AEG316" s="6"/>
      <c r="AEH316" s="6"/>
      <c r="AEI316" s="6"/>
      <c r="AEJ316" s="6"/>
      <c r="AEK316" s="6"/>
      <c r="AEL316" s="6"/>
      <c r="AEM316" s="6"/>
      <c r="AEN316" s="6"/>
      <c r="AEO316" s="6"/>
      <c r="AEP316" s="6"/>
      <c r="AEQ316" s="6"/>
      <c r="AER316" s="6"/>
      <c r="AES316" s="6"/>
      <c r="AET316" s="6"/>
      <c r="AEU316" s="6"/>
      <c r="AEV316" s="6"/>
      <c r="AEW316" s="6"/>
      <c r="AEX316" s="6"/>
      <c r="AEY316" s="6"/>
      <c r="AEZ316" s="6"/>
      <c r="AFA316" s="6"/>
      <c r="AFB316" s="6"/>
      <c r="AFC316" s="6"/>
      <c r="AFD316" s="6"/>
      <c r="AFE316" s="6"/>
      <c r="AFF316" s="6"/>
      <c r="AFG316" s="6"/>
      <c r="AFH316" s="6"/>
      <c r="AFI316" s="6"/>
      <c r="AFJ316" s="6"/>
      <c r="AFK316" s="6"/>
      <c r="AFL316" s="6"/>
      <c r="AFM316" s="6"/>
      <c r="AFN316" s="6"/>
      <c r="AFO316" s="6"/>
      <c r="AFP316" s="6"/>
      <c r="AFQ316" s="6"/>
      <c r="AFR316" s="6"/>
      <c r="AFS316" s="6"/>
      <c r="AFT316" s="6"/>
      <c r="AFU316" s="6"/>
      <c r="AFV316" s="6"/>
      <c r="AFW316" s="6"/>
      <c r="AFX316" s="6"/>
      <c r="AFY316" s="6"/>
      <c r="AFZ316" s="6"/>
      <c r="AGA316" s="6"/>
      <c r="AGB316" s="6"/>
      <c r="AGC316" s="6"/>
      <c r="AGD316" s="6"/>
      <c r="AGE316" s="6"/>
      <c r="AGF316" s="6"/>
      <c r="AGG316" s="6"/>
      <c r="AGH316" s="6"/>
      <c r="AGI316" s="6"/>
      <c r="AGJ316" s="6"/>
      <c r="AGK316" s="6"/>
      <c r="AGL316" s="6"/>
      <c r="AGM316" s="6"/>
      <c r="AGN316" s="6"/>
      <c r="AGO316" s="6"/>
      <c r="AGP316" s="6"/>
      <c r="AGQ316" s="6"/>
      <c r="AGR316" s="6"/>
      <c r="AGS316" s="6"/>
      <c r="AGT316" s="6"/>
      <c r="AGU316" s="6"/>
      <c r="AGV316" s="6"/>
      <c r="AGW316" s="6"/>
      <c r="AGX316" s="6"/>
      <c r="AGY316" s="6"/>
      <c r="AGZ316" s="6"/>
      <c r="AHA316" s="6"/>
      <c r="AHB316" s="6"/>
      <c r="AHC316" s="6"/>
      <c r="AHD316" s="6"/>
      <c r="AHE316" s="6"/>
      <c r="AHF316" s="6"/>
      <c r="AHG316" s="6"/>
      <c r="AHH316" s="6"/>
      <c r="AHI316" s="6"/>
      <c r="AHJ316" s="6"/>
      <c r="AHK316" s="6"/>
      <c r="AHL316" s="6"/>
      <c r="AHM316" s="6"/>
      <c r="AHN316" s="6"/>
      <c r="AHO316" s="6"/>
      <c r="AHP316" s="6"/>
      <c r="AHQ316" s="6"/>
      <c r="AHR316" s="6"/>
      <c r="AHS316" s="6"/>
      <c r="AHT316" s="6"/>
      <c r="AHU316" s="6"/>
      <c r="AHV316" s="6"/>
      <c r="AHW316" s="6"/>
      <c r="AHX316" s="6"/>
      <c r="AHY316" s="6"/>
      <c r="AHZ316" s="6"/>
      <c r="AIA316" s="6"/>
      <c r="AIB316" s="6"/>
      <c r="AIC316" s="6"/>
      <c r="AID316" s="6"/>
      <c r="AIE316" s="6"/>
      <c r="AIF316" s="6"/>
      <c r="AIG316" s="6"/>
      <c r="AIH316" s="6"/>
      <c r="AII316" s="6"/>
      <c r="AIJ316" s="6"/>
      <c r="AIK316" s="6"/>
      <c r="AIL316" s="6"/>
      <c r="AIM316" s="6"/>
      <c r="AIN316" s="6"/>
      <c r="AIO316" s="6"/>
      <c r="AIP316" s="6"/>
      <c r="AIQ316" s="6"/>
      <c r="AIR316" s="6"/>
      <c r="AIS316" s="6"/>
      <c r="AIT316" s="6"/>
      <c r="AIU316" s="6"/>
      <c r="AIV316" s="6"/>
      <c r="AIW316" s="6"/>
      <c r="AIX316" s="6"/>
      <c r="AIY316" s="6"/>
      <c r="AIZ316" s="6"/>
      <c r="AJA316" s="6"/>
      <c r="AJB316" s="6"/>
      <c r="AJC316" s="6"/>
      <c r="AJD316" s="6"/>
      <c r="AJE316" s="6"/>
      <c r="AJF316" s="6"/>
      <c r="AJG316" s="6"/>
      <c r="AJH316" s="6"/>
      <c r="AJI316" s="6"/>
      <c r="AJJ316" s="6"/>
      <c r="AJK316" s="6"/>
      <c r="AJL316" s="6"/>
      <c r="AJM316" s="6"/>
      <c r="AJN316" s="6"/>
      <c r="AJO316" s="6"/>
      <c r="AJP316" s="6"/>
      <c r="AJQ316" s="6"/>
      <c r="AJR316" s="6"/>
      <c r="AJS316" s="6"/>
      <c r="AJT316" s="6"/>
      <c r="AJU316" s="6"/>
      <c r="AJV316" s="6"/>
      <c r="AJW316" s="6"/>
      <c r="AJX316" s="6"/>
      <c r="AJY316" s="6"/>
      <c r="AJZ316" s="6"/>
      <c r="AKA316" s="6"/>
      <c r="AKB316" s="6"/>
      <c r="AKC316" s="6"/>
      <c r="AKD316" s="6"/>
      <c r="AKE316" s="6"/>
      <c r="AKF316" s="6"/>
      <c r="AKG316" s="6"/>
      <c r="AKH316" s="6"/>
      <c r="AKI316" s="6"/>
      <c r="AKJ316" s="6"/>
      <c r="AKK316" s="6"/>
      <c r="AKL316" s="6"/>
      <c r="AKM316" s="6"/>
      <c r="AKN316" s="6"/>
      <c r="AKO316" s="6"/>
      <c r="AKP316" s="6"/>
      <c r="AKQ316" s="6"/>
      <c r="AKR316" s="6"/>
      <c r="AKS316" s="6"/>
      <c r="AKT316" s="6"/>
      <c r="AKU316" s="6"/>
      <c r="AKV316" s="6"/>
      <c r="AKW316" s="6"/>
      <c r="AKX316" s="6"/>
      <c r="AKY316" s="6"/>
      <c r="AKZ316" s="6"/>
      <c r="ALA316" s="6"/>
      <c r="ALB316" s="6"/>
      <c r="ALC316" s="6"/>
      <c r="ALD316" s="6"/>
      <c r="ALE316" s="6"/>
      <c r="ALF316" s="6"/>
      <c r="ALG316" s="6"/>
      <c r="ALH316" s="6"/>
      <c r="ALI316" s="6"/>
      <c r="ALJ316" s="6"/>
      <c r="ALK316" s="6"/>
      <c r="ALL316" s="6"/>
      <c r="ALM316" s="6"/>
      <c r="ALN316" s="6"/>
      <c r="ALO316" s="6"/>
      <c r="ALP316" s="6"/>
      <c r="ALQ316" s="6"/>
      <c r="ALR316" s="6"/>
      <c r="ALS316" s="6"/>
      <c r="ALT316" s="6"/>
      <c r="ALU316" s="6"/>
      <c r="ALV316" s="6"/>
      <c r="ALW316" s="6"/>
      <c r="ALX316" s="6"/>
      <c r="ALY316" s="6"/>
      <c r="ALZ316" s="6"/>
      <c r="AMA316" s="6"/>
      <c r="AMB316" s="6"/>
      <c r="AMC316" s="6"/>
      <c r="AMD316" s="6"/>
      <c r="AME316" s="6"/>
      <c r="AMF316" s="6"/>
      <c r="AMG316" s="6"/>
      <c r="AMH316" s="6"/>
      <c r="AMI316" s="6"/>
      <c r="AMJ316" s="6"/>
      <c r="AMK316" s="6"/>
      <c r="AML316" s="6"/>
      <c r="AMM316" s="6"/>
      <c r="AMN316" s="6"/>
      <c r="AMO316" s="6"/>
      <c r="AMP316" s="6"/>
    </row>
    <row r="317" spans="1:1030" s="12" customFormat="1" x14ac:dyDescent="0.2">
      <c r="A317" s="9" t="str">
        <f t="shared" ref="A317" si="1790">CONCATENATE(B317,"_",C317)</f>
        <v>calcr_human_6NIY</v>
      </c>
      <c r="B317" s="40" t="s">
        <v>401</v>
      </c>
      <c r="C317" s="9" t="s">
        <v>1552</v>
      </c>
      <c r="D317" s="9" t="str">
        <f>IFERROR(MID(VLOOKUP($B317,Seqs!$A:$B,2,0),E317,1),"")</f>
        <v>T</v>
      </c>
      <c r="E317" s="9">
        <v>138</v>
      </c>
      <c r="F317" s="9" t="str">
        <f>IFERROR(MID(VLOOKUP($B317,Seqs!$A:$B,2,0),G317,1),"")</f>
        <v>F</v>
      </c>
      <c r="G317" s="9">
        <v>173</v>
      </c>
      <c r="H317" s="9" t="str">
        <f>IFERROR(MID(VLOOKUP($B317,Seqs!$A:$B,2,0),I317,1),"")</f>
        <v>R</v>
      </c>
      <c r="I317" s="109">
        <v>174</v>
      </c>
      <c r="J317" s="9" t="str">
        <f>IFERROR(MID(VLOOKUP($B317,Seqs!$A:$B,2,0),K317,1),"")</f>
        <v>G</v>
      </c>
      <c r="K317" s="109">
        <v>177</v>
      </c>
      <c r="L317" s="9" t="str">
        <f>IFERROR(MID(VLOOKUP($B317,Seqs!$A:$B,2,0),M317,1),"")</f>
        <v>C</v>
      </c>
      <c r="M317" s="9">
        <v>178</v>
      </c>
      <c r="N317" s="9" t="str">
        <f>IFERROR(MID(VLOOKUP($B317,Seqs!$A:$B,2,0),O317,1),"")</f>
        <v>V</v>
      </c>
      <c r="O317" s="9">
        <v>205</v>
      </c>
      <c r="P317" s="9" t="str">
        <f>IFERROR(MID(VLOOKUP($B317,Seqs!$A:$B,2,0),Q317,1),"")</f>
        <v/>
      </c>
      <c r="Q317" s="9" t="s">
        <v>23</v>
      </c>
      <c r="R317" s="9" t="str">
        <f>IFERROR(MID(VLOOKUP($B317,Seqs!$A:$B,2,0),S317,1),"")</f>
        <v/>
      </c>
      <c r="S317" s="9" t="s">
        <v>23</v>
      </c>
      <c r="T317" s="9" t="str">
        <f>IFERROR(MID(VLOOKUP($B317,Seqs!$A:$B,2,0),U317,1),"")</f>
        <v>V</v>
      </c>
      <c r="U317" s="9">
        <v>217</v>
      </c>
      <c r="V317" s="9" t="str">
        <f>IFERROR(MID(VLOOKUP($B317,Seqs!$A:$B,2,0),W317,1),"")</f>
        <v>V</v>
      </c>
      <c r="W317" s="9">
        <v>250</v>
      </c>
      <c r="X317" s="9" t="str">
        <f>IFERROR(MID(VLOOKUP($B317,Seqs!$A:$B,2,0),Y317,1),"")</f>
        <v/>
      </c>
      <c r="Y317" s="9" t="s">
        <v>23</v>
      </c>
      <c r="Z317" s="9" t="str">
        <f>IFERROR(MID(VLOOKUP($B317,Seqs!$A:$B,2,0),AA317,1),"")</f>
        <v/>
      </c>
      <c r="AA317" s="9" t="s">
        <v>23</v>
      </c>
      <c r="AB317" s="9" t="str">
        <f>IFERROR(MID(VLOOKUP($B317,Seqs!$A:$B,2,0),AC317,1),"")</f>
        <v>R</v>
      </c>
      <c r="AC317" s="9">
        <v>258</v>
      </c>
      <c r="AD317" s="9" t="str">
        <f>IFERROR(MID(VLOOKUP($B317,Seqs!$A:$B,2,0),AE317,1),"")</f>
        <v>F</v>
      </c>
      <c r="AE317" s="9">
        <v>285</v>
      </c>
      <c r="AF317" s="9" t="str">
        <f>IFERROR(MID(VLOOKUP($B317,Seqs!$A:$B,2,0),AG317,1),"")</f>
        <v>C</v>
      </c>
      <c r="AG317" s="9">
        <v>289</v>
      </c>
      <c r="AH317" s="9" t="str">
        <f>IFERROR(MID(VLOOKUP($B317,Seqs!$A:$B,2,0),AI317,1),"")</f>
        <v>L</v>
      </c>
      <c r="AI317" s="9">
        <v>291</v>
      </c>
      <c r="AJ317" s="9" t="str">
        <f>IFERROR(MID(VLOOKUP($B317,Seqs!$A:$B,2,0),AK317,1),"")</f>
        <v>L</v>
      </c>
      <c r="AK317" s="9">
        <v>298</v>
      </c>
      <c r="AL317" s="9" t="str">
        <f>IFERROR(MID(VLOOKUP($B317,Seqs!$A:$B,2,0),AM317,1),"")</f>
        <v>T</v>
      </c>
      <c r="AM317" s="9">
        <v>330</v>
      </c>
      <c r="AN317" s="9" t="str">
        <f>IFERROR(MID(VLOOKUP($B317,Seqs!$A:$B,2,0),AO317,1),"")</f>
        <v>H</v>
      </c>
      <c r="AO317" s="9">
        <v>336</v>
      </c>
      <c r="AP317" s="9" t="str">
        <f>IFERROR(MID(VLOOKUP($B317,Seqs!$A:$B,2,0),AQ317,1),"")</f>
        <v>F</v>
      </c>
      <c r="AQ317" s="9">
        <v>359</v>
      </c>
      <c r="AR317" s="9" t="str">
        <f>IFERROR(MID(VLOOKUP($B317,Seqs!$A:$B,2,0),AS317,1),"")</f>
        <v>N</v>
      </c>
      <c r="AS317" s="9">
        <v>365</v>
      </c>
      <c r="AT317" s="9" t="str">
        <f>IFERROR(MID(VLOOKUP($B317,Seqs!$A:$B,2,0),AU317,1),"")</f>
        <v>C</v>
      </c>
      <c r="AU317" s="9">
        <v>394</v>
      </c>
      <c r="AV317" s="9" t="str">
        <f>IFERROR(MID(VLOOKUP($B317,Seqs!$A:$B,2,0),AW317,1),"")</f>
        <v>N</v>
      </c>
      <c r="AW317" s="9">
        <v>395</v>
      </c>
      <c r="AX317" s="9" t="str">
        <f>IFERROR(MID(VLOOKUP($B317,Seqs!$A:$B,2,0),AY317,1),"")</f>
        <v>Q</v>
      </c>
      <c r="AY317" s="9">
        <v>412</v>
      </c>
      <c r="AZ317" s="110" t="str">
        <f>VLOOKUP(B317,Classification!A:D,2,0)</f>
        <v>B1</v>
      </c>
      <c r="BA317" s="98" t="str">
        <f>VLOOKUP(B317,Classification!A:D,4,0)</f>
        <v>Calcitonin</v>
      </c>
      <c r="BB317" s="36" t="b">
        <f t="shared" ref="BB317" si="1791">AND(E317&lt;G317,OR(G317&lt;I317,I317="-"),OR(I317&lt;K317,I317="-"),OR(K317&lt;M317,K317="-"),M317&lt;O317,OR(O317&lt;Q317,Q317="-"),OR(Q317&lt;S317,Q317="-"),OR(S317&lt;U317,S317="-"),U317&lt;W317,OR(W317&lt;Y317,Y317="-"),OR(Y317&lt;AA317,Y317="-"),OR(AA317&lt;AC317,AA317="-"),AC317&lt;AE317,OR(AE317&lt;AG317,AG317="-"),OR(AG317&lt;AI317,AG317="-"),OR(AI317&lt;AK317,AI317="-"),AK317&lt;AM317,AM317&lt;AO317,AO317&lt;AQ317,AQ317&lt;AS317,AS317&lt;AU317,OR(AU317&lt;AW317,AW317="-"),OR(AW317&lt;AY317,AW317="-"))</f>
        <v>1</v>
      </c>
      <c r="BC317" s="109">
        <f t="shared" ref="BC317" si="1792">_xlfn.AGGREGATE(9,6,CH317:CS317)-_xlfn.AGGREGATE(9,6,BV317:CG317)+12</f>
        <v>240</v>
      </c>
      <c r="BD317" s="11" t="s">
        <v>1376</v>
      </c>
      <c r="BE317" s="9" t="s">
        <v>1292</v>
      </c>
      <c r="BF317" s="120">
        <v>3.34</v>
      </c>
      <c r="BG317" s="51" t="s">
        <v>1423</v>
      </c>
      <c r="BH317" s="51" t="s">
        <v>1423</v>
      </c>
      <c r="BJ317" s="111" t="s">
        <v>1288</v>
      </c>
      <c r="BK317" s="112" t="s">
        <v>1288</v>
      </c>
      <c r="BL317" s="112" t="s">
        <v>1288</v>
      </c>
      <c r="BM317" s="112" t="s">
        <v>1288</v>
      </c>
      <c r="BN317" s="112" t="s">
        <v>1288</v>
      </c>
      <c r="BO317" s="112" t="s">
        <v>1288</v>
      </c>
      <c r="BP317" s="112" t="s">
        <v>1288</v>
      </c>
      <c r="BQ317" s="112" t="s">
        <v>1288</v>
      </c>
      <c r="BR317" s="112" t="s">
        <v>1288</v>
      </c>
      <c r="BS317" s="112" t="s">
        <v>1288</v>
      </c>
      <c r="BT317" s="112" t="s">
        <v>1288</v>
      </c>
      <c r="BU317" s="112" t="s">
        <v>1288</v>
      </c>
      <c r="BV317" s="111">
        <f t="shared" ref="BV317" si="1793">E317</f>
        <v>138</v>
      </c>
      <c r="BW317" s="113">
        <f t="shared" ref="BW317" si="1794">I317</f>
        <v>174</v>
      </c>
      <c r="BX317" s="114">
        <f t="shared" ref="BX317" si="1795">M317</f>
        <v>178</v>
      </c>
      <c r="BY317" s="113" t="str">
        <f t="shared" ref="BY317" si="1796">Q317</f>
        <v>-</v>
      </c>
      <c r="BZ317" s="114">
        <f t="shared" ref="BZ317" si="1797">U317</f>
        <v>217</v>
      </c>
      <c r="CA317" s="113" t="str">
        <f t="shared" ref="CA317" si="1798">Y317</f>
        <v>-</v>
      </c>
      <c r="CB317" s="114">
        <f t="shared" ref="CB317" si="1799">AC317</f>
        <v>258</v>
      </c>
      <c r="CC317" s="113">
        <f t="shared" ref="CC317" si="1800">AG317</f>
        <v>289</v>
      </c>
      <c r="CD317" s="114">
        <f t="shared" ref="CD317" si="1801">AK317</f>
        <v>298</v>
      </c>
      <c r="CE317" s="113">
        <f t="shared" ref="CE317" si="1802">AO317</f>
        <v>336</v>
      </c>
      <c r="CF317" s="114">
        <f t="shared" ref="CF317" si="1803">AS317</f>
        <v>365</v>
      </c>
      <c r="CG317" s="113">
        <f t="shared" ref="CG317" si="1804">AW317</f>
        <v>395</v>
      </c>
      <c r="CH317" s="111">
        <f t="shared" ref="CH317" si="1805">G317</f>
        <v>173</v>
      </c>
      <c r="CI317" s="113">
        <f t="shared" ref="CI317" si="1806">K317</f>
        <v>177</v>
      </c>
      <c r="CJ317" s="114">
        <f t="shared" ref="CJ317" si="1807">O317</f>
        <v>205</v>
      </c>
      <c r="CK317" s="114" t="str">
        <f t="shared" ref="CK317" si="1808">S317</f>
        <v>-</v>
      </c>
      <c r="CL317" s="114">
        <f t="shared" ref="CL317" si="1809">W317</f>
        <v>250</v>
      </c>
      <c r="CM317" s="114" t="str">
        <f t="shared" ref="CM317" si="1810">AA317</f>
        <v>-</v>
      </c>
      <c r="CN317" s="114">
        <f t="shared" ref="CN317" si="1811">AE317</f>
        <v>285</v>
      </c>
      <c r="CO317" s="114">
        <f t="shared" ref="CO317" si="1812">AI317</f>
        <v>291</v>
      </c>
      <c r="CP317" s="114">
        <f t="shared" ref="CP317" si="1813">AM317</f>
        <v>330</v>
      </c>
      <c r="CQ317" s="114">
        <f t="shared" ref="CQ317" si="1814">AQ317</f>
        <v>359</v>
      </c>
      <c r="CR317" s="114">
        <f t="shared" ref="CR317" si="1815">AU317</f>
        <v>394</v>
      </c>
      <c r="CS317" s="114">
        <f t="shared" ref="CS317" si="1816">AY317</f>
        <v>412</v>
      </c>
      <c r="CT317" s="109">
        <f t="shared" ref="CT317" si="1817">M317-K317</f>
        <v>1</v>
      </c>
      <c r="CU317" s="129"/>
      <c r="CV317" s="129"/>
      <c r="CW317" s="129"/>
      <c r="CX317" s="129"/>
      <c r="CY317" s="129"/>
      <c r="CZ317" s="129"/>
      <c r="DA317" s="129"/>
      <c r="DB317" s="129"/>
      <c r="DC317" s="129"/>
      <c r="DD317" s="129"/>
      <c r="DE317" s="129"/>
      <c r="DF317" s="129"/>
      <c r="DG317" s="129"/>
      <c r="DH317" s="129"/>
      <c r="DI317" s="129"/>
      <c r="DJ317" s="129"/>
      <c r="DK317" s="129"/>
      <c r="DL317" s="129"/>
      <c r="DM317" s="129"/>
      <c r="DN317" s="129"/>
      <c r="DO317" s="129"/>
      <c r="DP317" s="129"/>
      <c r="DQ317" s="129"/>
      <c r="DR317" s="129"/>
      <c r="DS317" s="129"/>
      <c r="DT317" s="129"/>
      <c r="DU317" s="129"/>
      <c r="DV317" s="129"/>
      <c r="DW317" s="129"/>
      <c r="DX317" s="129"/>
      <c r="DY317" s="129"/>
      <c r="DZ317" s="129"/>
      <c r="EA317" s="129"/>
      <c r="EB317" s="129"/>
      <c r="EC317" s="129"/>
      <c r="ED317" s="129"/>
      <c r="EE317" s="129"/>
      <c r="EF317" s="129"/>
      <c r="EG317" s="129"/>
      <c r="EH317" s="129"/>
      <c r="EI317" s="129"/>
      <c r="EJ317" s="129"/>
      <c r="EK317" s="129"/>
      <c r="EL317" s="129"/>
      <c r="EM317" s="129"/>
      <c r="EN317" s="129"/>
      <c r="EO317" s="129"/>
      <c r="EP317" s="129"/>
      <c r="EQ317" s="129"/>
      <c r="ER317" s="129"/>
      <c r="ES317" s="129"/>
      <c r="ET317" s="129"/>
      <c r="EU317" s="129"/>
      <c r="EV317" s="129"/>
      <c r="EW317" s="129"/>
      <c r="EX317" s="129"/>
      <c r="EY317" s="129"/>
      <c r="EZ317" s="129"/>
      <c r="FA317" s="129"/>
      <c r="FB317" s="129"/>
      <c r="FC317" s="129"/>
      <c r="FD317" s="129"/>
      <c r="FE317" s="129"/>
      <c r="FF317" s="129"/>
      <c r="FG317" s="129"/>
      <c r="FH317" s="129"/>
      <c r="FI317" s="129"/>
      <c r="FJ317" s="129"/>
      <c r="FK317" s="129"/>
      <c r="FL317" s="129"/>
      <c r="FM317" s="129"/>
      <c r="FN317" s="129"/>
      <c r="FO317" s="129"/>
      <c r="FP317" s="129"/>
      <c r="FQ317" s="129"/>
      <c r="FR317" s="129"/>
      <c r="FS317" s="129"/>
      <c r="FT317" s="129"/>
      <c r="FU317" s="129"/>
      <c r="FV317" s="129"/>
      <c r="FW317" s="129"/>
      <c r="FX317" s="129"/>
      <c r="FY317" s="129"/>
      <c r="FZ317" s="129"/>
      <c r="GA317" s="129"/>
      <c r="GB317" s="129"/>
      <c r="GC317" s="129"/>
      <c r="GD317" s="129"/>
      <c r="GE317" s="129"/>
      <c r="GF317" s="129"/>
      <c r="GG317" s="129"/>
      <c r="GH317" s="129"/>
      <c r="GI317" s="129"/>
      <c r="GJ317" s="129"/>
      <c r="GK317" s="129"/>
      <c r="GL317" s="129"/>
      <c r="GM317" s="129"/>
      <c r="GN317" s="129"/>
      <c r="GO317" s="129"/>
      <c r="GP317" s="129"/>
      <c r="GQ317" s="129"/>
      <c r="GR317" s="129"/>
      <c r="GS317" s="129"/>
      <c r="GT317" s="129"/>
      <c r="GU317" s="129"/>
      <c r="GV317" s="129"/>
      <c r="GW317" s="129"/>
      <c r="GX317" s="129"/>
      <c r="GY317" s="129"/>
      <c r="GZ317" s="129"/>
      <c r="HA317" s="129"/>
      <c r="HB317" s="129"/>
      <c r="HC317" s="129"/>
      <c r="HD317" s="129"/>
      <c r="HE317" s="129"/>
      <c r="HF317" s="129"/>
      <c r="HG317" s="129"/>
      <c r="HH317" s="129"/>
      <c r="HI317" s="129"/>
      <c r="HJ317" s="129"/>
      <c r="HK317" s="129"/>
      <c r="HL317" s="129"/>
      <c r="HM317" s="129"/>
      <c r="HN317" s="129"/>
      <c r="HO317" s="129"/>
      <c r="HP317" s="129"/>
      <c r="HQ317" s="129"/>
      <c r="HR317" s="129"/>
      <c r="HS317" s="129"/>
      <c r="HT317" s="129"/>
      <c r="HU317" s="129"/>
      <c r="HV317" s="129"/>
      <c r="HW317" s="129"/>
      <c r="HX317" s="129"/>
      <c r="HY317" s="129"/>
      <c r="HZ317" s="129"/>
      <c r="IA317" s="129"/>
      <c r="IB317" s="129"/>
      <c r="IC317" s="129"/>
      <c r="ID317" s="129"/>
      <c r="IE317" s="129"/>
      <c r="IF317" s="129"/>
      <c r="IG317" s="129"/>
      <c r="IH317" s="129"/>
      <c r="II317" s="129"/>
      <c r="IJ317" s="129"/>
      <c r="IK317" s="129"/>
      <c r="IL317" s="129"/>
      <c r="IM317" s="129"/>
      <c r="IN317" s="129"/>
      <c r="IO317" s="129"/>
      <c r="IP317" s="129"/>
      <c r="IQ317" s="129"/>
      <c r="IR317" s="129"/>
      <c r="IS317" s="129"/>
      <c r="IT317" s="129"/>
      <c r="IU317" s="129"/>
      <c r="IV317" s="129"/>
      <c r="IW317" s="129"/>
      <c r="IX317" s="129"/>
      <c r="IY317" s="129"/>
      <c r="IZ317" s="129"/>
      <c r="JA317" s="129"/>
      <c r="JB317" s="129"/>
      <c r="JC317" s="129"/>
      <c r="JD317" s="129"/>
      <c r="JE317" s="129"/>
      <c r="JF317" s="129"/>
      <c r="JG317" s="129"/>
      <c r="JH317" s="129"/>
      <c r="JI317" s="129"/>
      <c r="JJ317" s="129"/>
      <c r="JK317" s="129"/>
      <c r="JL317" s="129"/>
      <c r="JM317" s="129"/>
      <c r="JN317" s="129"/>
      <c r="JO317" s="129"/>
      <c r="JP317" s="129"/>
      <c r="JQ317" s="129"/>
      <c r="JR317" s="129"/>
      <c r="JS317" s="129"/>
      <c r="JT317" s="129"/>
      <c r="JU317" s="129"/>
      <c r="JV317" s="129"/>
      <c r="JW317" s="129"/>
      <c r="JX317" s="129"/>
      <c r="JY317" s="129"/>
      <c r="JZ317" s="129"/>
      <c r="KA317" s="129"/>
      <c r="KB317" s="129"/>
      <c r="KC317" s="129"/>
      <c r="KD317" s="129"/>
      <c r="KE317" s="129"/>
      <c r="KF317" s="129"/>
      <c r="KG317" s="129"/>
      <c r="KH317" s="129"/>
      <c r="KI317" s="129"/>
      <c r="KJ317" s="129"/>
      <c r="KK317" s="129"/>
      <c r="KL317" s="129"/>
      <c r="KM317" s="129"/>
      <c r="KN317" s="129"/>
      <c r="KO317" s="129"/>
      <c r="KP317" s="129"/>
      <c r="KQ317" s="129"/>
      <c r="KR317" s="129"/>
      <c r="KS317" s="129"/>
      <c r="KT317" s="129"/>
      <c r="KU317" s="129"/>
      <c r="KV317" s="129"/>
      <c r="KW317" s="129"/>
      <c r="KX317" s="129"/>
      <c r="KY317" s="129"/>
      <c r="KZ317" s="129"/>
      <c r="LA317" s="129"/>
      <c r="LB317" s="129"/>
      <c r="LC317" s="129"/>
      <c r="LD317" s="129"/>
      <c r="LE317" s="129"/>
      <c r="LF317" s="129"/>
      <c r="LG317" s="129"/>
      <c r="LH317" s="129"/>
      <c r="LI317" s="129"/>
      <c r="LJ317" s="129"/>
      <c r="LK317" s="129"/>
      <c r="LL317" s="129"/>
      <c r="LM317" s="129"/>
      <c r="LN317" s="129"/>
      <c r="LO317" s="129"/>
      <c r="LP317" s="129"/>
      <c r="LQ317" s="129"/>
      <c r="LR317" s="129"/>
      <c r="LS317" s="129"/>
      <c r="LT317" s="129"/>
      <c r="LU317" s="129"/>
      <c r="LV317" s="129"/>
      <c r="LW317" s="129"/>
      <c r="LX317" s="129"/>
      <c r="LY317" s="129"/>
      <c r="LZ317" s="129"/>
      <c r="MA317" s="129"/>
      <c r="MB317" s="129"/>
      <c r="MC317" s="129"/>
      <c r="MD317" s="129"/>
      <c r="ME317" s="129"/>
      <c r="MF317" s="129"/>
      <c r="MG317" s="129"/>
      <c r="MH317" s="129"/>
      <c r="MI317" s="129"/>
      <c r="MJ317" s="129"/>
      <c r="MK317" s="129"/>
      <c r="ML317" s="129"/>
      <c r="MM317" s="129"/>
      <c r="MN317" s="129"/>
      <c r="MO317" s="129"/>
      <c r="MP317" s="129"/>
      <c r="MQ317" s="129"/>
      <c r="MR317" s="129"/>
      <c r="MS317" s="129"/>
      <c r="MT317" s="129"/>
      <c r="MU317" s="129"/>
      <c r="MV317" s="129"/>
      <c r="MW317" s="129"/>
      <c r="MX317" s="129"/>
      <c r="MY317" s="129"/>
      <c r="MZ317" s="129"/>
      <c r="NA317" s="129"/>
      <c r="NB317" s="129"/>
      <c r="NC317" s="129"/>
      <c r="ND317" s="129"/>
      <c r="NE317" s="129"/>
      <c r="NF317" s="129"/>
      <c r="NG317" s="129"/>
      <c r="NH317" s="129"/>
      <c r="NI317" s="129"/>
      <c r="NJ317" s="129"/>
      <c r="NK317" s="129"/>
      <c r="NL317" s="129"/>
      <c r="NM317" s="129"/>
      <c r="NN317" s="129"/>
      <c r="NO317" s="129"/>
      <c r="NP317" s="129"/>
      <c r="NQ317" s="129"/>
      <c r="NR317" s="129"/>
      <c r="NS317" s="129"/>
      <c r="NT317" s="129"/>
      <c r="NU317" s="129"/>
      <c r="NV317" s="129"/>
      <c r="NW317" s="129"/>
      <c r="NX317" s="129"/>
      <c r="NY317" s="129"/>
      <c r="NZ317" s="129"/>
      <c r="OA317" s="129"/>
      <c r="OB317" s="129"/>
      <c r="OC317" s="129"/>
      <c r="OD317" s="129"/>
      <c r="OE317" s="129"/>
      <c r="OF317" s="129"/>
      <c r="OG317" s="129"/>
      <c r="OH317" s="129"/>
      <c r="OI317" s="129"/>
      <c r="OJ317" s="129"/>
      <c r="OK317" s="129"/>
      <c r="OL317" s="129"/>
      <c r="OM317" s="129"/>
      <c r="ON317" s="129"/>
      <c r="OO317" s="129"/>
      <c r="OP317" s="129"/>
      <c r="OQ317" s="129"/>
      <c r="OR317" s="129"/>
      <c r="OS317" s="129"/>
      <c r="OT317" s="129"/>
      <c r="OU317" s="129"/>
      <c r="OV317" s="129"/>
      <c r="OW317" s="129"/>
      <c r="OX317" s="129"/>
      <c r="OY317" s="129"/>
      <c r="OZ317" s="129"/>
      <c r="PA317" s="129"/>
      <c r="PB317" s="129"/>
      <c r="PC317" s="129"/>
      <c r="PD317" s="129"/>
      <c r="PE317" s="129"/>
      <c r="PF317" s="129"/>
      <c r="PG317" s="129"/>
      <c r="PH317" s="129"/>
      <c r="PI317" s="129"/>
      <c r="PJ317" s="129"/>
      <c r="PK317" s="129"/>
      <c r="PL317" s="129"/>
      <c r="PM317" s="129"/>
      <c r="PN317" s="129"/>
      <c r="PO317" s="129"/>
      <c r="PP317" s="129"/>
      <c r="PQ317" s="129"/>
      <c r="PR317" s="129"/>
      <c r="PS317" s="129"/>
      <c r="PT317" s="129"/>
      <c r="PU317" s="129"/>
      <c r="PV317" s="129"/>
      <c r="PW317" s="129"/>
      <c r="PX317" s="129"/>
      <c r="PY317" s="129"/>
      <c r="PZ317" s="129"/>
      <c r="QA317" s="129"/>
      <c r="QB317" s="129"/>
      <c r="QC317" s="129"/>
      <c r="QD317" s="129"/>
      <c r="QE317" s="129"/>
      <c r="QF317" s="129"/>
      <c r="QG317" s="129"/>
      <c r="QH317" s="129"/>
      <c r="QI317" s="129"/>
      <c r="QJ317" s="129"/>
      <c r="QK317" s="129"/>
      <c r="QL317" s="129"/>
      <c r="QM317" s="129"/>
      <c r="QN317" s="129"/>
      <c r="QO317" s="129"/>
      <c r="QP317" s="129"/>
      <c r="QQ317" s="129"/>
      <c r="QR317" s="129"/>
      <c r="QS317" s="129"/>
      <c r="QT317" s="129"/>
      <c r="QU317" s="129"/>
      <c r="QV317" s="129"/>
      <c r="QW317" s="129"/>
      <c r="QX317" s="129"/>
      <c r="QY317" s="129"/>
      <c r="QZ317" s="129"/>
      <c r="RA317" s="129"/>
      <c r="RB317" s="129"/>
      <c r="RC317" s="129"/>
      <c r="RD317" s="129"/>
      <c r="RE317" s="129"/>
      <c r="RF317" s="129"/>
      <c r="RG317" s="129"/>
      <c r="RH317" s="129"/>
      <c r="RI317" s="129"/>
      <c r="RJ317" s="129"/>
      <c r="RK317" s="129"/>
      <c r="RL317" s="129"/>
      <c r="RM317" s="129"/>
      <c r="RN317" s="129"/>
      <c r="RO317" s="129"/>
      <c r="RP317" s="129"/>
      <c r="RQ317" s="129"/>
      <c r="RR317" s="129"/>
      <c r="RS317" s="129"/>
      <c r="RT317" s="129"/>
      <c r="RU317" s="129"/>
      <c r="RV317" s="129"/>
      <c r="RW317" s="129"/>
      <c r="RX317" s="129"/>
      <c r="RY317" s="129"/>
      <c r="RZ317" s="129"/>
      <c r="SA317" s="129"/>
      <c r="SB317" s="129"/>
      <c r="SC317" s="129"/>
      <c r="SD317" s="129"/>
      <c r="SE317" s="129"/>
      <c r="SF317" s="129"/>
      <c r="SG317" s="129"/>
      <c r="SH317" s="129"/>
      <c r="SI317" s="129"/>
      <c r="SJ317" s="129"/>
      <c r="SK317" s="129"/>
      <c r="SL317" s="129"/>
      <c r="SM317" s="129"/>
      <c r="SN317" s="129"/>
      <c r="SO317" s="129"/>
      <c r="SP317" s="129"/>
      <c r="SQ317" s="129"/>
      <c r="SR317" s="129"/>
      <c r="SS317" s="129"/>
      <c r="ST317" s="129"/>
      <c r="SU317" s="129"/>
      <c r="SV317" s="129"/>
      <c r="SW317" s="129"/>
      <c r="SX317" s="129"/>
      <c r="SY317" s="129"/>
      <c r="SZ317" s="129"/>
      <c r="TA317" s="129"/>
      <c r="TB317" s="129"/>
      <c r="TC317" s="129"/>
      <c r="TD317" s="129"/>
      <c r="TE317" s="129"/>
      <c r="TF317" s="129"/>
      <c r="TG317" s="129"/>
      <c r="TH317" s="129"/>
      <c r="TI317" s="129"/>
      <c r="TJ317" s="129"/>
      <c r="TK317" s="129"/>
      <c r="TL317" s="129"/>
      <c r="TM317" s="129"/>
      <c r="TN317" s="129"/>
      <c r="TO317" s="129"/>
      <c r="TP317" s="129"/>
      <c r="TQ317" s="129"/>
      <c r="TR317" s="129"/>
      <c r="TS317" s="129"/>
      <c r="TT317" s="129"/>
      <c r="TU317" s="129"/>
      <c r="TV317" s="129"/>
      <c r="TW317" s="129"/>
      <c r="TX317" s="129"/>
      <c r="TY317" s="129"/>
      <c r="TZ317" s="129"/>
      <c r="UA317" s="129"/>
      <c r="UB317" s="129"/>
      <c r="UC317" s="129"/>
      <c r="UD317" s="129"/>
      <c r="UE317" s="129"/>
      <c r="UF317" s="129"/>
      <c r="UG317" s="129"/>
      <c r="UH317" s="129"/>
      <c r="UI317" s="129"/>
      <c r="UJ317" s="129"/>
      <c r="UK317" s="129"/>
      <c r="UL317" s="129"/>
      <c r="UM317" s="129"/>
      <c r="UN317" s="129"/>
      <c r="UO317" s="129"/>
      <c r="UP317" s="129"/>
      <c r="UQ317" s="129"/>
      <c r="UR317" s="129"/>
      <c r="US317" s="129"/>
      <c r="UT317" s="129"/>
      <c r="UU317" s="129"/>
      <c r="UV317" s="129"/>
      <c r="UW317" s="129"/>
      <c r="UX317" s="129"/>
      <c r="UY317" s="129"/>
      <c r="UZ317" s="129"/>
      <c r="VA317" s="129"/>
      <c r="VB317" s="129"/>
      <c r="VC317" s="129"/>
      <c r="VD317" s="129"/>
      <c r="VE317" s="129"/>
      <c r="VF317" s="129"/>
      <c r="VG317" s="129"/>
      <c r="VH317" s="129"/>
      <c r="VI317" s="129"/>
      <c r="VJ317" s="129"/>
      <c r="VK317" s="129"/>
      <c r="VL317" s="129"/>
      <c r="VM317" s="129"/>
      <c r="VN317" s="129"/>
      <c r="VO317" s="129"/>
      <c r="VP317" s="129"/>
      <c r="VQ317" s="129"/>
      <c r="VR317" s="129"/>
      <c r="VS317" s="129"/>
      <c r="VT317" s="129"/>
      <c r="VU317" s="129"/>
      <c r="VV317" s="129"/>
      <c r="VW317" s="129"/>
      <c r="VX317" s="129"/>
      <c r="VY317" s="129"/>
      <c r="VZ317" s="129"/>
      <c r="WA317" s="129"/>
      <c r="WB317" s="129"/>
      <c r="WC317" s="129"/>
      <c r="WD317" s="129"/>
      <c r="WE317" s="129"/>
      <c r="WF317" s="129"/>
      <c r="WG317" s="129"/>
      <c r="WH317" s="129"/>
      <c r="WI317" s="129"/>
      <c r="WJ317" s="129"/>
      <c r="WK317" s="129"/>
      <c r="WL317" s="129"/>
      <c r="WM317" s="129"/>
      <c r="WN317" s="129"/>
      <c r="WO317" s="129"/>
      <c r="WP317" s="129"/>
      <c r="WQ317" s="129"/>
      <c r="WR317" s="129"/>
      <c r="WS317" s="129"/>
      <c r="WT317" s="129"/>
      <c r="WU317" s="129"/>
      <c r="WV317" s="129"/>
      <c r="WW317" s="129"/>
      <c r="WX317" s="129"/>
      <c r="WY317" s="129"/>
      <c r="WZ317" s="129"/>
      <c r="XA317" s="129"/>
      <c r="XB317" s="129"/>
      <c r="XC317" s="129"/>
      <c r="XD317" s="129"/>
      <c r="XE317" s="129"/>
      <c r="XF317" s="129"/>
      <c r="XG317" s="129"/>
      <c r="XH317" s="129"/>
      <c r="XI317" s="129"/>
      <c r="XJ317" s="129"/>
      <c r="XK317" s="129"/>
      <c r="XL317" s="129"/>
      <c r="XM317" s="129"/>
      <c r="XN317" s="129"/>
      <c r="XO317" s="129"/>
      <c r="XP317" s="129"/>
      <c r="XQ317" s="129"/>
      <c r="XR317" s="129"/>
      <c r="XS317" s="129"/>
      <c r="XT317" s="129"/>
      <c r="XU317" s="129"/>
      <c r="XV317" s="129"/>
      <c r="XW317" s="129"/>
      <c r="XX317" s="129"/>
      <c r="XY317" s="129"/>
      <c r="XZ317" s="129"/>
      <c r="YA317" s="129"/>
      <c r="YB317" s="129"/>
      <c r="YC317" s="129"/>
      <c r="YD317" s="129"/>
      <c r="YE317" s="129"/>
      <c r="YF317" s="129"/>
      <c r="YG317" s="129"/>
      <c r="YH317" s="129"/>
      <c r="YI317" s="129"/>
      <c r="YJ317" s="129"/>
      <c r="YK317" s="129"/>
      <c r="YL317" s="129"/>
      <c r="YM317" s="129"/>
      <c r="YN317" s="129"/>
      <c r="YO317" s="129"/>
      <c r="YP317" s="129"/>
      <c r="YQ317" s="129"/>
      <c r="YR317" s="129"/>
      <c r="YS317" s="129"/>
      <c r="YT317" s="129"/>
      <c r="YU317" s="129"/>
      <c r="YV317" s="129"/>
      <c r="YW317" s="129"/>
      <c r="YX317" s="129"/>
      <c r="YY317" s="129"/>
      <c r="YZ317" s="129"/>
      <c r="ZA317" s="129"/>
      <c r="ZB317" s="129"/>
      <c r="ZC317" s="129"/>
      <c r="ZD317" s="129"/>
      <c r="ZE317" s="129"/>
      <c r="ZF317" s="129"/>
      <c r="ZG317" s="129"/>
      <c r="ZH317" s="129"/>
      <c r="ZI317" s="129"/>
      <c r="ZJ317" s="129"/>
      <c r="ZK317" s="129"/>
      <c r="ZL317" s="129"/>
      <c r="ZM317" s="129"/>
      <c r="ZN317" s="129"/>
      <c r="ZO317" s="129"/>
      <c r="ZP317" s="129"/>
      <c r="ZQ317" s="129"/>
      <c r="ZR317" s="129"/>
      <c r="ZS317" s="129"/>
      <c r="ZT317" s="129"/>
      <c r="ZU317" s="129"/>
      <c r="ZV317" s="129"/>
      <c r="ZW317" s="129"/>
      <c r="ZX317" s="129"/>
      <c r="ZY317" s="129"/>
      <c r="ZZ317" s="129"/>
      <c r="AAA317" s="129"/>
      <c r="AAB317" s="129"/>
      <c r="AAC317" s="129"/>
      <c r="AAD317" s="129"/>
      <c r="AAE317" s="129"/>
      <c r="AAF317" s="129"/>
      <c r="AAG317" s="129"/>
      <c r="AAH317" s="129"/>
      <c r="AAI317" s="129"/>
      <c r="AAJ317" s="129"/>
      <c r="AAK317" s="129"/>
      <c r="AAL317" s="129"/>
      <c r="AAM317" s="129"/>
      <c r="AAN317" s="129"/>
      <c r="AAO317" s="129"/>
      <c r="AAP317" s="129"/>
      <c r="AAQ317" s="129"/>
      <c r="AAR317" s="129"/>
      <c r="AAS317" s="129"/>
      <c r="AAT317" s="129"/>
      <c r="AAU317" s="129"/>
      <c r="AAV317" s="129"/>
      <c r="AAW317" s="129"/>
      <c r="AAX317" s="129"/>
      <c r="AAY317" s="129"/>
      <c r="AAZ317" s="129"/>
      <c r="ABA317" s="129"/>
      <c r="ABB317" s="129"/>
      <c r="ABC317" s="129"/>
      <c r="ABD317" s="129"/>
      <c r="ABE317" s="129"/>
      <c r="ABF317" s="129"/>
      <c r="ABG317" s="129"/>
      <c r="ABH317" s="129"/>
      <c r="ABI317" s="129"/>
      <c r="ABJ317" s="129"/>
      <c r="ABK317" s="129"/>
      <c r="ABL317" s="129"/>
      <c r="ABM317" s="129"/>
      <c r="ABN317" s="129"/>
      <c r="ABO317" s="129"/>
      <c r="ABP317" s="129"/>
      <c r="ABQ317" s="129"/>
      <c r="ABR317" s="129"/>
      <c r="ABS317" s="129"/>
      <c r="ABT317" s="129"/>
      <c r="ABU317" s="129"/>
      <c r="ABV317" s="129"/>
      <c r="ABW317" s="129"/>
      <c r="ABX317" s="129"/>
      <c r="ABY317" s="129"/>
      <c r="ABZ317" s="129"/>
      <c r="ACA317" s="129"/>
      <c r="ACB317" s="129"/>
      <c r="ACC317" s="129"/>
      <c r="ACD317" s="129"/>
      <c r="ACE317" s="129"/>
      <c r="ACF317" s="129"/>
      <c r="ACG317" s="129"/>
      <c r="ACH317" s="129"/>
      <c r="ACI317" s="129"/>
      <c r="ACJ317" s="129"/>
      <c r="ACK317" s="129"/>
      <c r="ACL317" s="129"/>
      <c r="ACM317" s="129"/>
      <c r="ACN317" s="129"/>
      <c r="ACO317" s="129"/>
      <c r="ACP317" s="129"/>
      <c r="ACQ317" s="129"/>
      <c r="ACR317" s="129"/>
      <c r="ACS317" s="129"/>
      <c r="ACT317" s="129"/>
      <c r="ACU317" s="129"/>
      <c r="ACV317" s="129"/>
      <c r="ACW317" s="129"/>
      <c r="ACX317" s="129"/>
      <c r="ACY317" s="129"/>
      <c r="ACZ317" s="129"/>
      <c r="ADA317" s="129"/>
      <c r="ADB317" s="129"/>
      <c r="ADC317" s="129"/>
      <c r="ADD317" s="129"/>
      <c r="ADE317" s="129"/>
      <c r="ADF317" s="129"/>
      <c r="ADG317" s="129"/>
      <c r="ADH317" s="129"/>
      <c r="ADI317" s="129"/>
      <c r="ADJ317" s="129"/>
      <c r="ADK317" s="129"/>
      <c r="ADL317" s="129"/>
      <c r="ADM317" s="129"/>
      <c r="ADN317" s="129"/>
      <c r="ADO317" s="129"/>
      <c r="ADP317" s="129"/>
      <c r="ADQ317" s="129"/>
      <c r="ADR317" s="129"/>
      <c r="ADS317" s="129"/>
      <c r="ADT317" s="129"/>
      <c r="ADU317" s="129"/>
      <c r="ADV317" s="129"/>
      <c r="ADW317" s="129"/>
      <c r="ADX317" s="129"/>
      <c r="ADY317" s="129"/>
      <c r="ADZ317" s="129"/>
      <c r="AEA317" s="129"/>
      <c r="AEB317" s="129"/>
      <c r="AEC317" s="129"/>
      <c r="AED317" s="129"/>
      <c r="AEE317" s="129"/>
      <c r="AEF317" s="129"/>
      <c r="AEG317" s="129"/>
      <c r="AEH317" s="129"/>
      <c r="AEI317" s="129"/>
      <c r="AEJ317" s="129"/>
      <c r="AEK317" s="129"/>
      <c r="AEL317" s="129"/>
      <c r="AEM317" s="129"/>
      <c r="AEN317" s="129"/>
      <c r="AEO317" s="129"/>
      <c r="AEP317" s="129"/>
      <c r="AEQ317" s="129"/>
      <c r="AER317" s="129"/>
      <c r="AES317" s="129"/>
      <c r="AET317" s="129"/>
      <c r="AEU317" s="129"/>
      <c r="AEV317" s="129"/>
      <c r="AEW317" s="129"/>
      <c r="AEX317" s="129"/>
      <c r="AEY317" s="129"/>
      <c r="AEZ317" s="129"/>
      <c r="AFA317" s="129"/>
      <c r="AFB317" s="129"/>
      <c r="AFC317" s="129"/>
      <c r="AFD317" s="129"/>
      <c r="AFE317" s="129"/>
      <c r="AFF317" s="129"/>
      <c r="AFG317" s="129"/>
      <c r="AFH317" s="129"/>
      <c r="AFI317" s="129"/>
      <c r="AFJ317" s="129"/>
      <c r="AFK317" s="129"/>
      <c r="AFL317" s="129"/>
      <c r="AFM317" s="129"/>
      <c r="AFN317" s="129"/>
      <c r="AFO317" s="129"/>
      <c r="AFP317" s="129"/>
      <c r="AFQ317" s="129"/>
      <c r="AFR317" s="129"/>
      <c r="AFS317" s="129"/>
      <c r="AFT317" s="129"/>
      <c r="AFU317" s="129"/>
      <c r="AFV317" s="129"/>
      <c r="AFW317" s="129"/>
      <c r="AFX317" s="129"/>
      <c r="AFY317" s="129"/>
      <c r="AFZ317" s="129"/>
      <c r="AGA317" s="129"/>
      <c r="AGB317" s="129"/>
      <c r="AGC317" s="129"/>
      <c r="AGD317" s="129"/>
      <c r="AGE317" s="129"/>
      <c r="AGF317" s="129"/>
      <c r="AGG317" s="129"/>
      <c r="AGH317" s="129"/>
      <c r="AGI317" s="129"/>
      <c r="AGJ317" s="129"/>
      <c r="AGK317" s="129"/>
      <c r="AGL317" s="129"/>
      <c r="AGM317" s="129"/>
      <c r="AGN317" s="129"/>
      <c r="AGO317" s="129"/>
      <c r="AGP317" s="129"/>
      <c r="AGQ317" s="129"/>
      <c r="AGR317" s="129"/>
      <c r="AGS317" s="129"/>
      <c r="AGT317" s="129"/>
      <c r="AGU317" s="129"/>
      <c r="AGV317" s="129"/>
      <c r="AGW317" s="129"/>
      <c r="AGX317" s="129"/>
      <c r="AGY317" s="129"/>
      <c r="AGZ317" s="129"/>
      <c r="AHA317" s="129"/>
      <c r="AHB317" s="129"/>
      <c r="AHC317" s="129"/>
      <c r="AHD317" s="129"/>
      <c r="AHE317" s="129"/>
      <c r="AHF317" s="129"/>
      <c r="AHG317" s="129"/>
      <c r="AHH317" s="129"/>
      <c r="AHI317" s="129"/>
      <c r="AHJ317" s="129"/>
      <c r="AHK317" s="129"/>
      <c r="AHL317" s="129"/>
      <c r="AHM317" s="129"/>
      <c r="AHN317" s="129"/>
      <c r="AHO317" s="129"/>
      <c r="AHP317" s="129"/>
      <c r="AHQ317" s="129"/>
      <c r="AHR317" s="129"/>
      <c r="AHS317" s="129"/>
      <c r="AHT317" s="129"/>
      <c r="AHU317" s="129"/>
      <c r="AHV317" s="129"/>
      <c r="AHW317" s="129"/>
      <c r="AHX317" s="129"/>
      <c r="AHY317" s="129"/>
      <c r="AHZ317" s="129"/>
      <c r="AIA317" s="129"/>
      <c r="AIB317" s="129"/>
      <c r="AIC317" s="129"/>
      <c r="AID317" s="129"/>
      <c r="AIE317" s="129"/>
      <c r="AIF317" s="129"/>
      <c r="AIG317" s="129"/>
      <c r="AIH317" s="129"/>
      <c r="AII317" s="129"/>
      <c r="AIJ317" s="129"/>
      <c r="AIK317" s="129"/>
      <c r="AIL317" s="129"/>
      <c r="AIM317" s="129"/>
      <c r="AIN317" s="129"/>
      <c r="AIO317" s="129"/>
      <c r="AIP317" s="129"/>
      <c r="AIQ317" s="129"/>
      <c r="AIR317" s="129"/>
      <c r="AIS317" s="129"/>
      <c r="AIT317" s="129"/>
      <c r="AIU317" s="129"/>
      <c r="AIV317" s="129"/>
      <c r="AIW317" s="129"/>
      <c r="AIX317" s="129"/>
      <c r="AIY317" s="129"/>
      <c r="AIZ317" s="129"/>
      <c r="AJA317" s="129"/>
      <c r="AJB317" s="129"/>
      <c r="AJC317" s="129"/>
      <c r="AJD317" s="129"/>
      <c r="AJE317" s="129"/>
      <c r="AJF317" s="129"/>
      <c r="AJG317" s="129"/>
      <c r="AJH317" s="129"/>
      <c r="AJI317" s="129"/>
      <c r="AJJ317" s="129"/>
      <c r="AJK317" s="129"/>
      <c r="AJL317" s="129"/>
      <c r="AJM317" s="129"/>
      <c r="AJN317" s="129"/>
      <c r="AJO317" s="129"/>
      <c r="AJP317" s="129"/>
      <c r="AJQ317" s="129"/>
      <c r="AJR317" s="129"/>
      <c r="AJS317" s="129"/>
      <c r="AJT317" s="129"/>
      <c r="AJU317" s="129"/>
      <c r="AJV317" s="129"/>
      <c r="AJW317" s="129"/>
      <c r="AJX317" s="129"/>
      <c r="AJY317" s="129"/>
      <c r="AJZ317" s="129"/>
      <c r="AKA317" s="129"/>
      <c r="AKB317" s="129"/>
      <c r="AKC317" s="129"/>
      <c r="AKD317" s="129"/>
      <c r="AKE317" s="129"/>
      <c r="AKF317" s="129"/>
      <c r="AKG317" s="129"/>
      <c r="AKH317" s="129"/>
      <c r="AKI317" s="129"/>
      <c r="AKJ317" s="129"/>
      <c r="AKK317" s="129"/>
      <c r="AKL317" s="129"/>
      <c r="AKM317" s="129"/>
      <c r="AKN317" s="129"/>
      <c r="AKO317" s="129"/>
      <c r="AKP317" s="129"/>
      <c r="AKQ317" s="129"/>
      <c r="AKR317" s="129"/>
      <c r="AKS317" s="129"/>
      <c r="AKT317" s="129"/>
      <c r="AKU317" s="129"/>
      <c r="AKV317" s="129"/>
      <c r="AKW317" s="129"/>
      <c r="AKX317" s="129"/>
      <c r="AKY317" s="129"/>
      <c r="AKZ317" s="129"/>
      <c r="ALA317" s="129"/>
      <c r="ALB317" s="129"/>
      <c r="ALC317" s="129"/>
      <c r="ALD317" s="129"/>
      <c r="ALE317" s="129"/>
      <c r="ALF317" s="129"/>
      <c r="ALG317" s="129"/>
      <c r="ALH317" s="129"/>
      <c r="ALI317" s="129"/>
      <c r="ALJ317" s="129"/>
      <c r="ALK317" s="129"/>
      <c r="ALL317" s="129"/>
      <c r="ALM317" s="129"/>
      <c r="ALN317" s="129"/>
      <c r="ALO317" s="129"/>
      <c r="ALP317" s="129"/>
      <c r="ALQ317" s="129"/>
      <c r="ALR317" s="129"/>
      <c r="ALS317" s="129"/>
      <c r="ALT317" s="129"/>
      <c r="ALU317" s="129"/>
      <c r="ALV317" s="129"/>
      <c r="ALW317" s="129"/>
      <c r="ALX317" s="129"/>
      <c r="ALY317" s="129"/>
      <c r="ALZ317" s="129"/>
      <c r="AMA317" s="129"/>
      <c r="AMB317" s="129"/>
      <c r="AMC317" s="129"/>
      <c r="AMD317" s="129"/>
      <c r="AME317" s="129"/>
      <c r="AMF317" s="129"/>
      <c r="AMG317" s="129"/>
      <c r="AMH317" s="129"/>
      <c r="AMI317" s="129"/>
      <c r="AMJ317" s="129"/>
      <c r="AMK317" s="129"/>
      <c r="AML317" s="129"/>
      <c r="AMM317" s="129"/>
      <c r="AMN317" s="129"/>
      <c r="AMO317" s="129"/>
      <c r="AMP317" s="129"/>
    </row>
    <row r="318" spans="1:1030" x14ac:dyDescent="0.2">
      <c r="A318" s="3" t="str">
        <f t="shared" si="1733"/>
        <v>calrl_human__wt</v>
      </c>
      <c r="B318" s="2" t="s">
        <v>402</v>
      </c>
      <c r="C318" s="3" t="s">
        <v>100</v>
      </c>
      <c r="D318" s="3" t="str">
        <f>IFERROR(MID(VLOOKUP($B318,Seqs!$A:$B,2,0),E318,1),"")</f>
        <v>N</v>
      </c>
      <c r="E318" s="3">
        <v>130</v>
      </c>
      <c r="F318" s="3" t="str">
        <f>IFERROR(MID(VLOOKUP($B318,Seqs!$A:$B,2,0),G318,1),"")</f>
        <v>F</v>
      </c>
      <c r="G318" s="3">
        <v>166</v>
      </c>
      <c r="H318" s="3" t="str">
        <f>IFERROR(MID(VLOOKUP($B318,Seqs!$A:$B,2,0),I318,1),"")</f>
        <v>K</v>
      </c>
      <c r="I318" s="23">
        <v>167</v>
      </c>
      <c r="J318" s="3" t="str">
        <f>IFERROR(MID(VLOOKUP($B318,Seqs!$A:$B,2,0),K318,1),"")</f>
        <v>S</v>
      </c>
      <c r="K318" s="23">
        <v>170</v>
      </c>
      <c r="L318" s="3" t="str">
        <f>IFERROR(MID(VLOOKUP($B318,Seqs!$A:$B,2,0),M318,1),"")</f>
        <v>C</v>
      </c>
      <c r="M318" s="3">
        <v>171</v>
      </c>
      <c r="N318" s="3" t="str">
        <f>IFERROR(MID(VLOOKUP($B318,Seqs!$A:$B,2,0),O318,1),"")</f>
        <v>V</v>
      </c>
      <c r="O318" s="3">
        <v>198</v>
      </c>
      <c r="P318" s="3" t="str">
        <f>IFERROR(MID(VLOOKUP($B318,Seqs!$A:$B,2,0),Q318,1),"")</f>
        <v/>
      </c>
      <c r="Q318" s="3" t="s">
        <v>23</v>
      </c>
      <c r="R318" s="3" t="str">
        <f>IFERROR(MID(VLOOKUP($B318,Seqs!$A:$B,2,0),S318,1),"")</f>
        <v/>
      </c>
      <c r="S318" s="3" t="s">
        <v>23</v>
      </c>
      <c r="T318" s="3" t="str">
        <f>IFERROR(MID(VLOOKUP($B318,Seqs!$A:$B,2,0),U318,1),"")</f>
        <v>V</v>
      </c>
      <c r="U318" s="3">
        <v>210</v>
      </c>
      <c r="V318" s="3" t="str">
        <f>IFERROR(MID(VLOOKUP($B318,Seqs!$A:$B,2,0),W318,1),"")</f>
        <v>V</v>
      </c>
      <c r="W318" s="3">
        <v>243</v>
      </c>
      <c r="X318" s="3" t="str">
        <f>IFERROR(MID(VLOOKUP($B318,Seqs!$A:$B,2,0),Y318,1),"")</f>
        <v/>
      </c>
      <c r="Y318" s="3" t="s">
        <v>23</v>
      </c>
      <c r="Z318" s="3" t="str">
        <f>IFERROR(MID(VLOOKUP($B318,Seqs!$A:$B,2,0),AA318,1),"")</f>
        <v/>
      </c>
      <c r="AA318" s="3" t="s">
        <v>23</v>
      </c>
      <c r="AB318" s="3" t="str">
        <f>IFERROR(MID(VLOOKUP($B318,Seqs!$A:$B,2,0),AC318,1),"")</f>
        <v>H</v>
      </c>
      <c r="AC318" s="3">
        <v>251</v>
      </c>
      <c r="AD318" s="3" t="str">
        <f>IFERROR(MID(VLOOKUP($B318,Seqs!$A:$B,2,0),AE318,1),"")</f>
        <v>Y</v>
      </c>
      <c r="AE318" s="3">
        <v>277</v>
      </c>
      <c r="AF318" s="3" t="str">
        <f>IFERROR(MID(VLOOKUP($B318,Seqs!$A:$B,2,0),AG318,1),"")</f>
        <v>C</v>
      </c>
      <c r="AG318" s="3">
        <v>282</v>
      </c>
      <c r="AH318" s="3" t="str">
        <f>IFERROR(MID(VLOOKUP($B318,Seqs!$A:$B,2,0),AI318,1),"")</f>
        <v>I</v>
      </c>
      <c r="AI318" s="3">
        <v>284</v>
      </c>
      <c r="AJ318" s="3" t="str">
        <f>IFERROR(MID(VLOOKUP($B318,Seqs!$A:$B,2,0),AK318,1),"")</f>
        <v>L</v>
      </c>
      <c r="AK318" s="3">
        <v>290</v>
      </c>
      <c r="AL318" s="3" t="str">
        <f>IFERROR(MID(VLOOKUP($B318,Seqs!$A:$B,2,0),AM318,1),"")</f>
        <v>K</v>
      </c>
      <c r="AM318" s="3">
        <v>321</v>
      </c>
      <c r="AN318" s="3" t="str">
        <f>IFERROR(MID(VLOOKUP($B318,Seqs!$A:$B,2,0),AO318,1),"")</f>
        <v>Y</v>
      </c>
      <c r="AO318" s="3">
        <v>331</v>
      </c>
      <c r="AP318" s="3" t="str">
        <f>IFERROR(MID(VLOOKUP($B318,Seqs!$A:$B,2,0),AQ318,1),"")</f>
        <v>W</v>
      </c>
      <c r="AQ318" s="3">
        <v>354</v>
      </c>
      <c r="AR318" s="3" t="str">
        <f>IFERROR(MID(VLOOKUP($B318,Seqs!$A:$B,2,0),AS318,1),"")</f>
        <v>K</v>
      </c>
      <c r="AS318" s="3">
        <v>359</v>
      </c>
      <c r="AT318" s="3" t="str">
        <f>IFERROR(MID(VLOOKUP($B318,Seqs!$A:$B,2,0),AU318,1),"")</f>
        <v>F</v>
      </c>
      <c r="AU318" s="3">
        <v>387</v>
      </c>
      <c r="AV318" s="3" t="str">
        <f>IFERROR(MID(VLOOKUP($B318,Seqs!$A:$B,2,0),AW318,1),"")</f>
        <v>N</v>
      </c>
      <c r="AW318" s="3">
        <v>388</v>
      </c>
      <c r="AX318" s="3" t="str">
        <f>IFERROR(MID(VLOOKUP($B318,Seqs!$A:$B,2,0),AY318,1),"")</f>
        <v>S</v>
      </c>
      <c r="AY318" s="3">
        <v>413</v>
      </c>
      <c r="AZ318" s="77" t="str">
        <f>VLOOKUP(B318,Classification!A:D,2,0)</f>
        <v>B1</v>
      </c>
      <c r="BA318" s="94" t="str">
        <f>VLOOKUP(B318,Classification!A:D,4,0)</f>
        <v>Calcitonin</v>
      </c>
      <c r="BB318" s="27" t="b">
        <f t="shared" ref="BB318" si="1818">AND(E318&lt;G318,OR(G318&lt;I318,I318="-"),OR(I318&lt;K318,I318="-"),OR(K318&lt;M318,K318="-"),M318&lt;O318,OR(O318&lt;Q318,Q318="-"),OR(Q318&lt;S318,Q318="-"),OR(S318&lt;U318,S318="-"),U318&lt;W318,OR(W318&lt;Y318,Y318="-"),OR(Y318&lt;AA318,Y318="-"),OR(AA318&lt;AC318,AA318="-"),AC318&lt;AE318,OR(AE318&lt;AG318,AG318="-"),OR(AG318&lt;AI318,AG318="-"),OR(AI318&lt;AK318,AI318="-"),AK318&lt;AM318,AM318&lt;AO318,AO318&lt;AQ318,AQ318&lt;AS318,AS318&lt;AU318,OR(AU318&lt;AW318,AW318="-"),OR(AW318&lt;AY318,AW318="-"))</f>
        <v>1</v>
      </c>
      <c r="BC318" s="23">
        <f t="shared" ref="BC318" si="1819">_xlfn.AGGREGATE(9,6,CH318:CS318)-_xlfn.AGGREGATE(9,6,BV318:CG318)+12</f>
        <v>246</v>
      </c>
      <c r="BD318" s="4" t="s">
        <v>23</v>
      </c>
      <c r="BE318" s="3" t="s">
        <v>23</v>
      </c>
      <c r="BF318" s="119" t="s">
        <v>23</v>
      </c>
      <c r="BG318" s="49" t="s">
        <v>1378</v>
      </c>
      <c r="BH318" s="49" t="s">
        <v>1378</v>
      </c>
      <c r="BI318" s="1"/>
      <c r="BJ318" s="70" t="s">
        <v>1288</v>
      </c>
      <c r="BK318" s="57" t="s">
        <v>1288</v>
      </c>
      <c r="BL318" s="57" t="s">
        <v>1288</v>
      </c>
      <c r="BM318" s="57" t="s">
        <v>1288</v>
      </c>
      <c r="BN318" s="57" t="s">
        <v>1288</v>
      </c>
      <c r="BO318" s="57" t="s">
        <v>1288</v>
      </c>
      <c r="BP318" s="57" t="s">
        <v>1288</v>
      </c>
      <c r="BQ318" s="57" t="s">
        <v>1288</v>
      </c>
      <c r="BR318" s="57" t="s">
        <v>1288</v>
      </c>
      <c r="BS318" s="57" t="s">
        <v>1288</v>
      </c>
      <c r="BT318" s="57" t="s">
        <v>1288</v>
      </c>
      <c r="BU318" s="57" t="s">
        <v>1288</v>
      </c>
      <c r="BV318" s="70">
        <f t="shared" ref="BV318" si="1820">E318</f>
        <v>130</v>
      </c>
      <c r="BW318" s="71">
        <f t="shared" ref="BW318" si="1821">I318</f>
        <v>167</v>
      </c>
      <c r="BX318" s="72">
        <f t="shared" ref="BX318" si="1822">M318</f>
        <v>171</v>
      </c>
      <c r="BY318" s="71" t="str">
        <f t="shared" ref="BY318" si="1823">Q318</f>
        <v>-</v>
      </c>
      <c r="BZ318" s="72">
        <f t="shared" ref="BZ318" si="1824">U318</f>
        <v>210</v>
      </c>
      <c r="CA318" s="71" t="str">
        <f t="shared" ref="CA318" si="1825">Y318</f>
        <v>-</v>
      </c>
      <c r="CB318" s="72">
        <f t="shared" ref="CB318" si="1826">AC318</f>
        <v>251</v>
      </c>
      <c r="CC318" s="71">
        <f t="shared" ref="CC318" si="1827">AG318</f>
        <v>282</v>
      </c>
      <c r="CD318" s="72">
        <f t="shared" ref="CD318" si="1828">AK318</f>
        <v>290</v>
      </c>
      <c r="CE318" s="71">
        <f t="shared" ref="CE318" si="1829">AO318</f>
        <v>331</v>
      </c>
      <c r="CF318" s="72">
        <f t="shared" ref="CF318" si="1830">AS318</f>
        <v>359</v>
      </c>
      <c r="CG318" s="71">
        <f t="shared" ref="CG318" si="1831">AW318</f>
        <v>388</v>
      </c>
      <c r="CH318" s="70">
        <f t="shared" ref="CH318" si="1832">G318</f>
        <v>166</v>
      </c>
      <c r="CI318" s="71">
        <f t="shared" ref="CI318" si="1833">K318</f>
        <v>170</v>
      </c>
      <c r="CJ318" s="72">
        <f t="shared" ref="CJ318" si="1834">O318</f>
        <v>198</v>
      </c>
      <c r="CK318" s="72" t="str">
        <f t="shared" ref="CK318" si="1835">S318</f>
        <v>-</v>
      </c>
      <c r="CL318" s="72">
        <f t="shared" ref="CL318" si="1836">W318</f>
        <v>243</v>
      </c>
      <c r="CM318" s="72" t="str">
        <f t="shared" ref="CM318" si="1837">AA318</f>
        <v>-</v>
      </c>
      <c r="CN318" s="72">
        <f t="shared" ref="CN318" si="1838">AE318</f>
        <v>277</v>
      </c>
      <c r="CO318" s="72">
        <f t="shared" ref="CO318" si="1839">AI318</f>
        <v>284</v>
      </c>
      <c r="CP318" s="72">
        <f t="shared" ref="CP318" si="1840">AM318</f>
        <v>321</v>
      </c>
      <c r="CQ318" s="72">
        <f t="shared" ref="CQ318" si="1841">AQ318</f>
        <v>354</v>
      </c>
      <c r="CR318" s="72">
        <f t="shared" ref="CR318" si="1842">AU318</f>
        <v>387</v>
      </c>
      <c r="CS318" s="72">
        <f t="shared" ref="CS318" si="1843">AY318</f>
        <v>413</v>
      </c>
      <c r="CT318" s="23">
        <f t="shared" ref="CT318" si="1844">M318-K318</f>
        <v>1</v>
      </c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  <c r="EA318" s="6"/>
      <c r="EB318" s="6"/>
      <c r="EC318" s="6"/>
      <c r="ED318" s="6"/>
      <c r="EE318" s="6"/>
      <c r="EF318" s="6"/>
      <c r="EG318" s="6"/>
      <c r="EH318" s="6"/>
      <c r="EI318" s="6"/>
      <c r="EJ318" s="6"/>
      <c r="EK318" s="6"/>
      <c r="EL318" s="6"/>
      <c r="EM318" s="6"/>
      <c r="EN318" s="6"/>
      <c r="EO318" s="6"/>
      <c r="EP318" s="6"/>
      <c r="EQ318" s="6"/>
      <c r="ER318" s="6"/>
      <c r="ES318" s="6"/>
      <c r="ET318" s="6"/>
      <c r="EU318" s="6"/>
      <c r="EV318" s="6"/>
      <c r="EW318" s="6"/>
      <c r="EX318" s="6"/>
      <c r="EY318" s="6"/>
      <c r="EZ318" s="6"/>
      <c r="FA318" s="6"/>
      <c r="FB318" s="6"/>
      <c r="FC318" s="6"/>
      <c r="FD318" s="6"/>
      <c r="FE318" s="6"/>
      <c r="FF318" s="6"/>
      <c r="FG318" s="6"/>
      <c r="FH318" s="6"/>
      <c r="FI318" s="6"/>
      <c r="FJ318" s="6"/>
      <c r="FK318" s="6"/>
      <c r="FL318" s="6"/>
      <c r="FM318" s="6"/>
      <c r="FN318" s="6"/>
      <c r="FO318" s="6"/>
      <c r="FP318" s="6"/>
      <c r="FQ318" s="6"/>
      <c r="FR318" s="6"/>
      <c r="FS318" s="6"/>
      <c r="FT318" s="6"/>
      <c r="FU318" s="6"/>
      <c r="FV318" s="6"/>
      <c r="FW318" s="6"/>
      <c r="FX318" s="6"/>
      <c r="FY318" s="6"/>
      <c r="FZ318" s="6"/>
      <c r="GA318" s="6"/>
      <c r="GB318" s="6"/>
      <c r="GC318" s="6"/>
      <c r="GD318" s="6"/>
      <c r="GE318" s="6"/>
      <c r="GF318" s="6"/>
      <c r="GG318" s="6"/>
      <c r="GH318" s="6"/>
      <c r="GI318" s="6"/>
      <c r="GJ318" s="6"/>
      <c r="GK318" s="6"/>
      <c r="GL318" s="6"/>
      <c r="GM318" s="6"/>
      <c r="GN318" s="6"/>
      <c r="GO318" s="6"/>
      <c r="GP318" s="6"/>
      <c r="GQ318" s="6"/>
      <c r="GR318" s="6"/>
      <c r="GS318" s="6"/>
      <c r="GT318" s="6"/>
      <c r="GU318" s="6"/>
      <c r="GV318" s="6"/>
      <c r="GW318" s="6"/>
      <c r="GX318" s="6"/>
      <c r="GY318" s="6"/>
      <c r="GZ318" s="6"/>
      <c r="HA318" s="6"/>
      <c r="HB318" s="6"/>
      <c r="HC318" s="6"/>
      <c r="HD318" s="6"/>
      <c r="HE318" s="6"/>
      <c r="HF318" s="6"/>
      <c r="HG318" s="6"/>
      <c r="HH318" s="6"/>
      <c r="HI318" s="6"/>
      <c r="HJ318" s="6"/>
      <c r="HK318" s="6"/>
      <c r="HL318" s="6"/>
      <c r="HM318" s="6"/>
      <c r="HN318" s="6"/>
      <c r="HO318" s="6"/>
      <c r="HP318" s="6"/>
      <c r="HQ318" s="6"/>
      <c r="HR318" s="6"/>
      <c r="HS318" s="6"/>
      <c r="HT318" s="6"/>
      <c r="HU318" s="6"/>
      <c r="HV318" s="6"/>
      <c r="HW318" s="6"/>
      <c r="HX318" s="6"/>
      <c r="HY318" s="6"/>
      <c r="HZ318" s="6"/>
      <c r="IA318" s="6"/>
      <c r="IB318" s="6"/>
      <c r="IC318" s="6"/>
      <c r="ID318" s="6"/>
      <c r="IE318" s="6"/>
      <c r="IF318" s="6"/>
      <c r="IG318" s="6"/>
      <c r="IH318" s="6"/>
      <c r="II318" s="6"/>
      <c r="IJ318" s="6"/>
      <c r="IK318" s="6"/>
      <c r="IL318" s="6"/>
      <c r="IM318" s="6"/>
      <c r="IN318" s="6"/>
      <c r="IO318" s="6"/>
      <c r="IP318" s="6"/>
      <c r="IQ318" s="6"/>
      <c r="IR318" s="6"/>
      <c r="IS318" s="6"/>
      <c r="IT318" s="6"/>
      <c r="IU318" s="6"/>
      <c r="IV318" s="6"/>
      <c r="IW318" s="6"/>
      <c r="IX318" s="6"/>
      <c r="IY318" s="6"/>
      <c r="IZ318" s="6"/>
      <c r="JA318" s="6"/>
      <c r="JB318" s="6"/>
      <c r="JC318" s="6"/>
      <c r="JD318" s="6"/>
      <c r="JE318" s="6"/>
      <c r="JF318" s="6"/>
      <c r="JG318" s="6"/>
      <c r="JH318" s="6"/>
      <c r="JI318" s="6"/>
      <c r="JJ318" s="6"/>
      <c r="JK318" s="6"/>
      <c r="JL318" s="6"/>
      <c r="JM318" s="6"/>
      <c r="JN318" s="6"/>
      <c r="JO318" s="6"/>
      <c r="JP318" s="6"/>
      <c r="JQ318" s="6"/>
      <c r="JR318" s="6"/>
      <c r="JS318" s="6"/>
      <c r="JT318" s="6"/>
      <c r="JU318" s="6"/>
      <c r="JV318" s="6"/>
      <c r="JW318" s="6"/>
      <c r="JX318" s="6"/>
      <c r="JY318" s="6"/>
      <c r="JZ318" s="6"/>
      <c r="KA318" s="6"/>
      <c r="KB318" s="6"/>
      <c r="KC318" s="6"/>
      <c r="KD318" s="6"/>
      <c r="KE318" s="6"/>
      <c r="KF318" s="6"/>
      <c r="KG318" s="6"/>
      <c r="KH318" s="6"/>
      <c r="KI318" s="6"/>
      <c r="KJ318" s="6"/>
      <c r="KK318" s="6"/>
      <c r="KL318" s="6"/>
      <c r="KM318" s="6"/>
      <c r="KN318" s="6"/>
      <c r="KO318" s="6"/>
      <c r="KP318" s="6"/>
      <c r="KQ318" s="6"/>
      <c r="KR318" s="6"/>
      <c r="KS318" s="6"/>
      <c r="KT318" s="6"/>
      <c r="KU318" s="6"/>
      <c r="KV318" s="6"/>
      <c r="KW318" s="6"/>
      <c r="KX318" s="6"/>
      <c r="KY318" s="6"/>
      <c r="KZ318" s="6"/>
      <c r="LA318" s="6"/>
      <c r="LB318" s="6"/>
      <c r="LC318" s="6"/>
      <c r="LD318" s="6"/>
      <c r="LE318" s="6"/>
      <c r="LF318" s="6"/>
      <c r="LG318" s="6"/>
      <c r="LH318" s="6"/>
      <c r="LI318" s="6"/>
      <c r="LJ318" s="6"/>
      <c r="LK318" s="6"/>
      <c r="LL318" s="6"/>
      <c r="LM318" s="6"/>
      <c r="LN318" s="6"/>
      <c r="LO318" s="6"/>
      <c r="LP318" s="6"/>
      <c r="LQ318" s="6"/>
      <c r="LR318" s="6"/>
      <c r="LS318" s="6"/>
      <c r="LT318" s="6"/>
      <c r="LU318" s="6"/>
      <c r="LV318" s="6"/>
      <c r="LW318" s="6"/>
      <c r="LX318" s="6"/>
      <c r="LY318" s="6"/>
      <c r="LZ318" s="6"/>
      <c r="MA318" s="6"/>
      <c r="MB318" s="6"/>
      <c r="MC318" s="6"/>
      <c r="MD318" s="6"/>
      <c r="ME318" s="6"/>
      <c r="MF318" s="6"/>
      <c r="MG318" s="6"/>
      <c r="MH318" s="6"/>
      <c r="MI318" s="6"/>
      <c r="MJ318" s="6"/>
      <c r="MK318" s="6"/>
      <c r="ML318" s="6"/>
      <c r="MM318" s="6"/>
      <c r="MN318" s="6"/>
      <c r="MO318" s="6"/>
      <c r="MP318" s="6"/>
      <c r="MQ318" s="6"/>
      <c r="MR318" s="6"/>
      <c r="MS318" s="6"/>
      <c r="MT318" s="6"/>
      <c r="MU318" s="6"/>
      <c r="MV318" s="6"/>
      <c r="MW318" s="6"/>
      <c r="MX318" s="6"/>
      <c r="MY318" s="6"/>
      <c r="MZ318" s="6"/>
      <c r="NA318" s="6"/>
      <c r="NB318" s="6"/>
      <c r="NC318" s="6"/>
      <c r="ND318" s="6"/>
      <c r="NE318" s="6"/>
      <c r="NF318" s="6"/>
      <c r="NG318" s="6"/>
      <c r="NH318" s="6"/>
      <c r="NI318" s="6"/>
      <c r="NJ318" s="6"/>
      <c r="NK318" s="6"/>
      <c r="NL318" s="6"/>
      <c r="NM318" s="6"/>
      <c r="NN318" s="6"/>
      <c r="NO318" s="6"/>
      <c r="NP318" s="6"/>
      <c r="NQ318" s="6"/>
      <c r="NR318" s="6"/>
      <c r="NS318" s="6"/>
      <c r="NT318" s="6"/>
      <c r="NU318" s="6"/>
      <c r="NV318" s="6"/>
      <c r="NW318" s="6"/>
      <c r="NX318" s="6"/>
      <c r="NY318" s="6"/>
      <c r="NZ318" s="6"/>
      <c r="OA318" s="6"/>
      <c r="OB318" s="6"/>
      <c r="OC318" s="6"/>
      <c r="OD318" s="6"/>
      <c r="OE318" s="6"/>
      <c r="OF318" s="6"/>
      <c r="OG318" s="6"/>
      <c r="OH318" s="6"/>
      <c r="OI318" s="6"/>
      <c r="OJ318" s="6"/>
      <c r="OK318" s="6"/>
      <c r="OL318" s="6"/>
      <c r="OM318" s="6"/>
      <c r="ON318" s="6"/>
      <c r="OO318" s="6"/>
      <c r="OP318" s="6"/>
      <c r="OQ318" s="6"/>
      <c r="OR318" s="6"/>
      <c r="OS318" s="6"/>
      <c r="OT318" s="6"/>
      <c r="OU318" s="6"/>
      <c r="OV318" s="6"/>
      <c r="OW318" s="6"/>
      <c r="OX318" s="6"/>
      <c r="OY318" s="6"/>
      <c r="OZ318" s="6"/>
      <c r="PA318" s="6"/>
      <c r="PB318" s="6"/>
      <c r="PC318" s="6"/>
      <c r="PD318" s="6"/>
      <c r="PE318" s="6"/>
      <c r="PF318" s="6"/>
      <c r="PG318" s="6"/>
      <c r="PH318" s="6"/>
      <c r="PI318" s="6"/>
      <c r="PJ318" s="6"/>
      <c r="PK318" s="6"/>
      <c r="PL318" s="6"/>
      <c r="PM318" s="6"/>
      <c r="PN318" s="6"/>
      <c r="PO318" s="6"/>
      <c r="PP318" s="6"/>
      <c r="PQ318" s="6"/>
      <c r="PR318" s="6"/>
      <c r="PS318" s="6"/>
      <c r="PT318" s="6"/>
      <c r="PU318" s="6"/>
      <c r="PV318" s="6"/>
      <c r="PW318" s="6"/>
      <c r="PX318" s="6"/>
      <c r="PY318" s="6"/>
      <c r="PZ318" s="6"/>
      <c r="QA318" s="6"/>
      <c r="QB318" s="6"/>
      <c r="QC318" s="6"/>
      <c r="QD318" s="6"/>
      <c r="QE318" s="6"/>
      <c r="QF318" s="6"/>
      <c r="QG318" s="6"/>
      <c r="QH318" s="6"/>
      <c r="QI318" s="6"/>
      <c r="QJ318" s="6"/>
      <c r="QK318" s="6"/>
      <c r="QL318" s="6"/>
      <c r="QM318" s="6"/>
      <c r="QN318" s="6"/>
      <c r="QO318" s="6"/>
      <c r="QP318" s="6"/>
      <c r="QQ318" s="6"/>
      <c r="QR318" s="6"/>
      <c r="QS318" s="6"/>
      <c r="QT318" s="6"/>
      <c r="QU318" s="6"/>
      <c r="QV318" s="6"/>
      <c r="QW318" s="6"/>
      <c r="QX318" s="6"/>
      <c r="QY318" s="6"/>
      <c r="QZ318" s="6"/>
      <c r="RA318" s="6"/>
      <c r="RB318" s="6"/>
      <c r="RC318" s="6"/>
      <c r="RD318" s="6"/>
      <c r="RE318" s="6"/>
      <c r="RF318" s="6"/>
      <c r="RG318" s="6"/>
      <c r="RH318" s="6"/>
      <c r="RI318" s="6"/>
      <c r="RJ318" s="6"/>
      <c r="RK318" s="6"/>
      <c r="RL318" s="6"/>
      <c r="RM318" s="6"/>
      <c r="RN318" s="6"/>
      <c r="RO318" s="6"/>
      <c r="RP318" s="6"/>
      <c r="RQ318" s="6"/>
      <c r="RR318" s="6"/>
      <c r="RS318" s="6"/>
      <c r="RT318" s="6"/>
      <c r="RU318" s="6"/>
      <c r="RV318" s="6"/>
      <c r="RW318" s="6"/>
      <c r="RX318" s="6"/>
      <c r="RY318" s="6"/>
      <c r="RZ318" s="6"/>
      <c r="SA318" s="6"/>
      <c r="SB318" s="6"/>
      <c r="SC318" s="6"/>
      <c r="SD318" s="6"/>
      <c r="SE318" s="6"/>
      <c r="SF318" s="6"/>
      <c r="SG318" s="6"/>
      <c r="SH318" s="6"/>
      <c r="SI318" s="6"/>
      <c r="SJ318" s="6"/>
      <c r="SK318" s="6"/>
      <c r="SL318" s="6"/>
      <c r="SM318" s="6"/>
      <c r="SN318" s="6"/>
      <c r="SO318" s="6"/>
      <c r="SP318" s="6"/>
      <c r="SQ318" s="6"/>
      <c r="SR318" s="6"/>
      <c r="SS318" s="6"/>
      <c r="ST318" s="6"/>
      <c r="SU318" s="6"/>
      <c r="SV318" s="6"/>
      <c r="SW318" s="6"/>
      <c r="SX318" s="6"/>
      <c r="SY318" s="6"/>
      <c r="SZ318" s="6"/>
      <c r="TA318" s="6"/>
      <c r="TB318" s="6"/>
      <c r="TC318" s="6"/>
      <c r="TD318" s="6"/>
      <c r="TE318" s="6"/>
      <c r="TF318" s="6"/>
      <c r="TG318" s="6"/>
      <c r="TH318" s="6"/>
      <c r="TI318" s="6"/>
      <c r="TJ318" s="6"/>
      <c r="TK318" s="6"/>
      <c r="TL318" s="6"/>
      <c r="TM318" s="6"/>
      <c r="TN318" s="6"/>
      <c r="TO318" s="6"/>
      <c r="TP318" s="6"/>
      <c r="TQ318" s="6"/>
      <c r="TR318" s="6"/>
      <c r="TS318" s="6"/>
      <c r="TT318" s="6"/>
      <c r="TU318" s="6"/>
      <c r="TV318" s="6"/>
      <c r="TW318" s="6"/>
      <c r="TX318" s="6"/>
      <c r="TY318" s="6"/>
      <c r="TZ318" s="6"/>
      <c r="UA318" s="6"/>
      <c r="UB318" s="6"/>
      <c r="UC318" s="6"/>
      <c r="UD318" s="6"/>
      <c r="UE318" s="6"/>
      <c r="UF318" s="6"/>
      <c r="UG318" s="6"/>
      <c r="UH318" s="6"/>
      <c r="UI318" s="6"/>
      <c r="UJ318" s="6"/>
      <c r="UK318" s="6"/>
      <c r="UL318" s="6"/>
      <c r="UM318" s="6"/>
      <c r="UN318" s="6"/>
      <c r="UO318" s="6"/>
      <c r="UP318" s="6"/>
      <c r="UQ318" s="6"/>
      <c r="UR318" s="6"/>
      <c r="US318" s="6"/>
      <c r="UT318" s="6"/>
      <c r="UU318" s="6"/>
      <c r="UV318" s="6"/>
      <c r="UW318" s="6"/>
      <c r="UX318" s="6"/>
      <c r="UY318" s="6"/>
      <c r="UZ318" s="6"/>
      <c r="VA318" s="6"/>
      <c r="VB318" s="6"/>
      <c r="VC318" s="6"/>
      <c r="VD318" s="6"/>
      <c r="VE318" s="6"/>
      <c r="VF318" s="6"/>
      <c r="VG318" s="6"/>
      <c r="VH318" s="6"/>
      <c r="VI318" s="6"/>
      <c r="VJ318" s="6"/>
      <c r="VK318" s="6"/>
      <c r="VL318" s="6"/>
      <c r="VM318" s="6"/>
      <c r="VN318" s="6"/>
      <c r="VO318" s="6"/>
      <c r="VP318" s="6"/>
      <c r="VQ318" s="6"/>
      <c r="VR318" s="6"/>
      <c r="VS318" s="6"/>
      <c r="VT318" s="6"/>
      <c r="VU318" s="6"/>
      <c r="VV318" s="6"/>
      <c r="VW318" s="6"/>
      <c r="VX318" s="6"/>
      <c r="VY318" s="6"/>
      <c r="VZ318" s="6"/>
      <c r="WA318" s="6"/>
      <c r="WB318" s="6"/>
      <c r="WC318" s="6"/>
      <c r="WD318" s="6"/>
      <c r="WE318" s="6"/>
      <c r="WF318" s="6"/>
      <c r="WG318" s="6"/>
      <c r="WH318" s="6"/>
      <c r="WI318" s="6"/>
      <c r="WJ318" s="6"/>
      <c r="WK318" s="6"/>
      <c r="WL318" s="6"/>
      <c r="WM318" s="6"/>
      <c r="WN318" s="6"/>
      <c r="WO318" s="6"/>
      <c r="WP318" s="6"/>
      <c r="WQ318" s="6"/>
      <c r="WR318" s="6"/>
      <c r="WS318" s="6"/>
      <c r="WT318" s="6"/>
      <c r="WU318" s="6"/>
      <c r="WV318" s="6"/>
      <c r="WW318" s="6"/>
      <c r="WX318" s="6"/>
      <c r="WY318" s="6"/>
      <c r="WZ318" s="6"/>
      <c r="XA318" s="6"/>
      <c r="XB318" s="6"/>
      <c r="XC318" s="6"/>
      <c r="XD318" s="6"/>
      <c r="XE318" s="6"/>
      <c r="XF318" s="6"/>
      <c r="XG318" s="6"/>
      <c r="XH318" s="6"/>
      <c r="XI318" s="6"/>
      <c r="XJ318" s="6"/>
      <c r="XK318" s="6"/>
      <c r="XL318" s="6"/>
      <c r="XM318" s="6"/>
      <c r="XN318" s="6"/>
      <c r="XO318" s="6"/>
      <c r="XP318" s="6"/>
      <c r="XQ318" s="6"/>
      <c r="XR318" s="6"/>
      <c r="XS318" s="6"/>
      <c r="XT318" s="6"/>
      <c r="XU318" s="6"/>
      <c r="XV318" s="6"/>
      <c r="XW318" s="6"/>
      <c r="XX318" s="6"/>
      <c r="XY318" s="6"/>
      <c r="XZ318" s="6"/>
      <c r="YA318" s="6"/>
      <c r="YB318" s="6"/>
      <c r="YC318" s="6"/>
      <c r="YD318" s="6"/>
      <c r="YE318" s="6"/>
      <c r="YF318" s="6"/>
      <c r="YG318" s="6"/>
      <c r="YH318" s="6"/>
      <c r="YI318" s="6"/>
      <c r="YJ318" s="6"/>
      <c r="YK318" s="6"/>
      <c r="YL318" s="6"/>
      <c r="YM318" s="6"/>
      <c r="YN318" s="6"/>
      <c r="YO318" s="6"/>
      <c r="YP318" s="6"/>
      <c r="YQ318" s="6"/>
      <c r="YR318" s="6"/>
      <c r="YS318" s="6"/>
      <c r="YT318" s="6"/>
      <c r="YU318" s="6"/>
      <c r="YV318" s="6"/>
      <c r="YW318" s="6"/>
      <c r="YX318" s="6"/>
      <c r="YY318" s="6"/>
      <c r="YZ318" s="6"/>
      <c r="ZA318" s="6"/>
      <c r="ZB318" s="6"/>
      <c r="ZC318" s="6"/>
      <c r="ZD318" s="6"/>
      <c r="ZE318" s="6"/>
      <c r="ZF318" s="6"/>
      <c r="ZG318" s="6"/>
      <c r="ZH318" s="6"/>
      <c r="ZI318" s="6"/>
      <c r="ZJ318" s="6"/>
      <c r="ZK318" s="6"/>
      <c r="ZL318" s="6"/>
      <c r="ZM318" s="6"/>
      <c r="ZN318" s="6"/>
      <c r="ZO318" s="6"/>
      <c r="ZP318" s="6"/>
      <c r="ZQ318" s="6"/>
      <c r="ZR318" s="6"/>
      <c r="ZS318" s="6"/>
      <c r="ZT318" s="6"/>
      <c r="ZU318" s="6"/>
      <c r="ZV318" s="6"/>
      <c r="ZW318" s="6"/>
      <c r="ZX318" s="6"/>
      <c r="ZY318" s="6"/>
      <c r="ZZ318" s="6"/>
      <c r="AAA318" s="6"/>
      <c r="AAB318" s="6"/>
      <c r="AAC318" s="6"/>
      <c r="AAD318" s="6"/>
      <c r="AAE318" s="6"/>
      <c r="AAF318" s="6"/>
      <c r="AAG318" s="6"/>
      <c r="AAH318" s="6"/>
      <c r="AAI318" s="6"/>
      <c r="AAJ318" s="6"/>
      <c r="AAK318" s="6"/>
      <c r="AAL318" s="6"/>
      <c r="AAM318" s="6"/>
      <c r="AAN318" s="6"/>
      <c r="AAO318" s="6"/>
      <c r="AAP318" s="6"/>
      <c r="AAQ318" s="6"/>
      <c r="AAR318" s="6"/>
      <c r="AAS318" s="6"/>
      <c r="AAT318" s="6"/>
      <c r="AAU318" s="6"/>
      <c r="AAV318" s="6"/>
      <c r="AAW318" s="6"/>
      <c r="AAX318" s="6"/>
      <c r="AAY318" s="6"/>
      <c r="AAZ318" s="6"/>
      <c r="ABA318" s="6"/>
      <c r="ABB318" s="6"/>
      <c r="ABC318" s="6"/>
      <c r="ABD318" s="6"/>
      <c r="ABE318" s="6"/>
      <c r="ABF318" s="6"/>
      <c r="ABG318" s="6"/>
      <c r="ABH318" s="6"/>
      <c r="ABI318" s="6"/>
      <c r="ABJ318" s="6"/>
      <c r="ABK318" s="6"/>
      <c r="ABL318" s="6"/>
      <c r="ABM318" s="6"/>
      <c r="ABN318" s="6"/>
      <c r="ABO318" s="6"/>
      <c r="ABP318" s="6"/>
      <c r="ABQ318" s="6"/>
      <c r="ABR318" s="6"/>
      <c r="ABS318" s="6"/>
      <c r="ABT318" s="6"/>
      <c r="ABU318" s="6"/>
      <c r="ABV318" s="6"/>
      <c r="ABW318" s="6"/>
      <c r="ABX318" s="6"/>
      <c r="ABY318" s="6"/>
      <c r="ABZ318" s="6"/>
      <c r="ACA318" s="6"/>
      <c r="ACB318" s="6"/>
      <c r="ACC318" s="6"/>
      <c r="ACD318" s="6"/>
      <c r="ACE318" s="6"/>
      <c r="ACF318" s="6"/>
      <c r="ACG318" s="6"/>
      <c r="ACH318" s="6"/>
      <c r="ACI318" s="6"/>
      <c r="ACJ318" s="6"/>
      <c r="ACK318" s="6"/>
      <c r="ACL318" s="6"/>
      <c r="ACM318" s="6"/>
      <c r="ACN318" s="6"/>
      <c r="ACO318" s="6"/>
      <c r="ACP318" s="6"/>
      <c r="ACQ318" s="6"/>
      <c r="ACR318" s="6"/>
      <c r="ACS318" s="6"/>
      <c r="ACT318" s="6"/>
      <c r="ACU318" s="6"/>
      <c r="ACV318" s="6"/>
      <c r="ACW318" s="6"/>
      <c r="ACX318" s="6"/>
      <c r="ACY318" s="6"/>
      <c r="ACZ318" s="6"/>
      <c r="ADA318" s="6"/>
      <c r="ADB318" s="6"/>
      <c r="ADC318" s="6"/>
      <c r="ADD318" s="6"/>
      <c r="ADE318" s="6"/>
      <c r="ADF318" s="6"/>
      <c r="ADG318" s="6"/>
      <c r="ADH318" s="6"/>
      <c r="ADI318" s="6"/>
      <c r="ADJ318" s="6"/>
      <c r="ADK318" s="6"/>
      <c r="ADL318" s="6"/>
      <c r="ADM318" s="6"/>
      <c r="ADN318" s="6"/>
      <c r="ADO318" s="6"/>
      <c r="ADP318" s="6"/>
      <c r="ADQ318" s="6"/>
      <c r="ADR318" s="6"/>
      <c r="ADS318" s="6"/>
      <c r="ADT318" s="6"/>
      <c r="ADU318" s="6"/>
      <c r="ADV318" s="6"/>
      <c r="ADW318" s="6"/>
      <c r="ADX318" s="6"/>
      <c r="ADY318" s="6"/>
      <c r="ADZ318" s="6"/>
      <c r="AEA318" s="6"/>
      <c r="AEB318" s="6"/>
      <c r="AEC318" s="6"/>
      <c r="AED318" s="6"/>
      <c r="AEE318" s="6"/>
      <c r="AEF318" s="6"/>
      <c r="AEG318" s="6"/>
      <c r="AEH318" s="6"/>
      <c r="AEI318" s="6"/>
      <c r="AEJ318" s="6"/>
      <c r="AEK318" s="6"/>
      <c r="AEL318" s="6"/>
      <c r="AEM318" s="6"/>
      <c r="AEN318" s="6"/>
      <c r="AEO318" s="6"/>
      <c r="AEP318" s="6"/>
      <c r="AEQ318" s="6"/>
      <c r="AER318" s="6"/>
      <c r="AES318" s="6"/>
      <c r="AET318" s="6"/>
      <c r="AEU318" s="6"/>
      <c r="AEV318" s="6"/>
      <c r="AEW318" s="6"/>
      <c r="AEX318" s="6"/>
      <c r="AEY318" s="6"/>
      <c r="AEZ318" s="6"/>
      <c r="AFA318" s="6"/>
      <c r="AFB318" s="6"/>
      <c r="AFC318" s="6"/>
      <c r="AFD318" s="6"/>
      <c r="AFE318" s="6"/>
      <c r="AFF318" s="6"/>
      <c r="AFG318" s="6"/>
      <c r="AFH318" s="6"/>
      <c r="AFI318" s="6"/>
      <c r="AFJ318" s="6"/>
      <c r="AFK318" s="6"/>
      <c r="AFL318" s="6"/>
      <c r="AFM318" s="6"/>
      <c r="AFN318" s="6"/>
      <c r="AFO318" s="6"/>
      <c r="AFP318" s="6"/>
      <c r="AFQ318" s="6"/>
      <c r="AFR318" s="6"/>
      <c r="AFS318" s="6"/>
      <c r="AFT318" s="6"/>
      <c r="AFU318" s="6"/>
      <c r="AFV318" s="6"/>
      <c r="AFW318" s="6"/>
      <c r="AFX318" s="6"/>
      <c r="AFY318" s="6"/>
      <c r="AFZ318" s="6"/>
      <c r="AGA318" s="6"/>
      <c r="AGB318" s="6"/>
      <c r="AGC318" s="6"/>
      <c r="AGD318" s="6"/>
      <c r="AGE318" s="6"/>
      <c r="AGF318" s="6"/>
      <c r="AGG318" s="6"/>
      <c r="AGH318" s="6"/>
      <c r="AGI318" s="6"/>
      <c r="AGJ318" s="6"/>
      <c r="AGK318" s="6"/>
      <c r="AGL318" s="6"/>
      <c r="AGM318" s="6"/>
      <c r="AGN318" s="6"/>
      <c r="AGO318" s="6"/>
      <c r="AGP318" s="6"/>
      <c r="AGQ318" s="6"/>
      <c r="AGR318" s="6"/>
      <c r="AGS318" s="6"/>
      <c r="AGT318" s="6"/>
      <c r="AGU318" s="6"/>
      <c r="AGV318" s="6"/>
      <c r="AGW318" s="6"/>
      <c r="AGX318" s="6"/>
      <c r="AGY318" s="6"/>
      <c r="AGZ318" s="6"/>
      <c r="AHA318" s="6"/>
      <c r="AHB318" s="6"/>
      <c r="AHC318" s="6"/>
      <c r="AHD318" s="6"/>
      <c r="AHE318" s="6"/>
      <c r="AHF318" s="6"/>
      <c r="AHG318" s="6"/>
      <c r="AHH318" s="6"/>
      <c r="AHI318" s="6"/>
      <c r="AHJ318" s="6"/>
      <c r="AHK318" s="6"/>
      <c r="AHL318" s="6"/>
      <c r="AHM318" s="6"/>
      <c r="AHN318" s="6"/>
      <c r="AHO318" s="6"/>
      <c r="AHP318" s="6"/>
      <c r="AHQ318" s="6"/>
      <c r="AHR318" s="6"/>
      <c r="AHS318" s="6"/>
      <c r="AHT318" s="6"/>
      <c r="AHU318" s="6"/>
      <c r="AHV318" s="6"/>
      <c r="AHW318" s="6"/>
      <c r="AHX318" s="6"/>
      <c r="AHY318" s="6"/>
      <c r="AHZ318" s="6"/>
      <c r="AIA318" s="6"/>
      <c r="AIB318" s="6"/>
      <c r="AIC318" s="6"/>
      <c r="AID318" s="6"/>
      <c r="AIE318" s="6"/>
      <c r="AIF318" s="6"/>
      <c r="AIG318" s="6"/>
      <c r="AIH318" s="6"/>
      <c r="AII318" s="6"/>
      <c r="AIJ318" s="6"/>
      <c r="AIK318" s="6"/>
      <c r="AIL318" s="6"/>
      <c r="AIM318" s="6"/>
      <c r="AIN318" s="6"/>
      <c r="AIO318" s="6"/>
      <c r="AIP318" s="6"/>
      <c r="AIQ318" s="6"/>
      <c r="AIR318" s="6"/>
      <c r="AIS318" s="6"/>
      <c r="AIT318" s="6"/>
      <c r="AIU318" s="6"/>
      <c r="AIV318" s="6"/>
      <c r="AIW318" s="6"/>
      <c r="AIX318" s="6"/>
      <c r="AIY318" s="6"/>
      <c r="AIZ318" s="6"/>
      <c r="AJA318" s="6"/>
      <c r="AJB318" s="6"/>
      <c r="AJC318" s="6"/>
      <c r="AJD318" s="6"/>
      <c r="AJE318" s="6"/>
      <c r="AJF318" s="6"/>
      <c r="AJG318" s="6"/>
      <c r="AJH318" s="6"/>
      <c r="AJI318" s="6"/>
      <c r="AJJ318" s="6"/>
      <c r="AJK318" s="6"/>
      <c r="AJL318" s="6"/>
      <c r="AJM318" s="6"/>
      <c r="AJN318" s="6"/>
      <c r="AJO318" s="6"/>
      <c r="AJP318" s="6"/>
      <c r="AJQ318" s="6"/>
      <c r="AJR318" s="6"/>
      <c r="AJS318" s="6"/>
      <c r="AJT318" s="6"/>
      <c r="AJU318" s="6"/>
      <c r="AJV318" s="6"/>
      <c r="AJW318" s="6"/>
      <c r="AJX318" s="6"/>
      <c r="AJY318" s="6"/>
      <c r="AJZ318" s="6"/>
      <c r="AKA318" s="6"/>
      <c r="AKB318" s="6"/>
      <c r="AKC318" s="6"/>
      <c r="AKD318" s="6"/>
      <c r="AKE318" s="6"/>
      <c r="AKF318" s="6"/>
      <c r="AKG318" s="6"/>
      <c r="AKH318" s="6"/>
      <c r="AKI318" s="6"/>
      <c r="AKJ318" s="6"/>
      <c r="AKK318" s="6"/>
      <c r="AKL318" s="6"/>
      <c r="AKM318" s="6"/>
      <c r="AKN318" s="6"/>
      <c r="AKO318" s="6"/>
      <c r="AKP318" s="6"/>
      <c r="AKQ318" s="6"/>
      <c r="AKR318" s="6"/>
      <c r="AKS318" s="6"/>
      <c r="AKT318" s="6"/>
      <c r="AKU318" s="6"/>
      <c r="AKV318" s="6"/>
      <c r="AKW318" s="6"/>
      <c r="AKX318" s="6"/>
      <c r="AKY318" s="6"/>
      <c r="AKZ318" s="6"/>
      <c r="ALA318" s="6"/>
      <c r="ALB318" s="6"/>
      <c r="ALC318" s="6"/>
      <c r="ALD318" s="6"/>
      <c r="ALE318" s="6"/>
      <c r="ALF318" s="6"/>
      <c r="ALG318" s="6"/>
      <c r="ALH318" s="6"/>
      <c r="ALI318" s="6"/>
      <c r="ALJ318" s="6"/>
      <c r="ALK318" s="6"/>
      <c r="ALL318" s="6"/>
      <c r="ALM318" s="6"/>
      <c r="ALN318" s="6"/>
      <c r="ALO318" s="6"/>
      <c r="ALP318" s="6"/>
      <c r="ALQ318" s="6"/>
      <c r="ALR318" s="6"/>
      <c r="ALS318" s="6"/>
      <c r="ALT318" s="6"/>
      <c r="ALU318" s="6"/>
      <c r="ALV318" s="6"/>
      <c r="ALW318" s="6"/>
      <c r="ALX318" s="6"/>
      <c r="ALY318" s="6"/>
      <c r="ALZ318" s="6"/>
      <c r="AMA318" s="6"/>
      <c r="AMB318" s="6"/>
      <c r="AMC318" s="6"/>
      <c r="AMD318" s="6"/>
      <c r="AME318" s="6"/>
      <c r="AMF318" s="6"/>
      <c r="AMG318" s="6"/>
      <c r="AMH318" s="6"/>
      <c r="AMI318" s="6"/>
      <c r="AMJ318" s="6"/>
      <c r="AMK318" s="6"/>
      <c r="AML318" s="6"/>
      <c r="AMM318" s="6"/>
      <c r="AMN318" s="6"/>
      <c r="AMO318" s="6"/>
      <c r="AMP318" s="6"/>
    </row>
    <row r="319" spans="1:1030" x14ac:dyDescent="0.2">
      <c r="A319" s="3" t="str">
        <f t="shared" si="1733"/>
        <v>calrl_human_6E3Y</v>
      </c>
      <c r="B319" s="2" t="s">
        <v>402</v>
      </c>
      <c r="C319" s="3" t="s">
        <v>1517</v>
      </c>
      <c r="D319" s="3" t="str">
        <f>IFERROR(MID(VLOOKUP($B319,Seqs!$A:$B,2,0),E319,1),"")</f>
        <v>N</v>
      </c>
      <c r="E319" s="3">
        <v>130</v>
      </c>
      <c r="F319" s="3" t="str">
        <f>IFERROR(MID(VLOOKUP($B319,Seqs!$A:$B,2,0),G319,1),"")</f>
        <v>F</v>
      </c>
      <c r="G319" s="3">
        <v>166</v>
      </c>
      <c r="H319" s="3" t="str">
        <f>IFERROR(MID(VLOOKUP($B319,Seqs!$A:$B,2,0),I319,1),"")</f>
        <v/>
      </c>
      <c r="I319" s="23" t="s">
        <v>23</v>
      </c>
      <c r="J319" s="3" t="str">
        <f>IFERROR(MID(VLOOKUP($B319,Seqs!$A:$B,2,0),K319,1),"")</f>
        <v/>
      </c>
      <c r="K319" s="23" t="s">
        <v>23</v>
      </c>
      <c r="L319" s="3" t="str">
        <f>IFERROR(MID(VLOOKUP($B319,Seqs!$A:$B,2,0),M319,1),"")</f>
        <v>C</v>
      </c>
      <c r="M319" s="3">
        <v>171</v>
      </c>
      <c r="N319" s="3" t="str">
        <f>IFERROR(MID(VLOOKUP($B319,Seqs!$A:$B,2,0),O319,1),"")</f>
        <v>V</v>
      </c>
      <c r="O319" s="3">
        <v>198</v>
      </c>
      <c r="P319" s="3" t="str">
        <f>IFERROR(MID(VLOOKUP($B319,Seqs!$A:$B,2,0),Q319,1),"")</f>
        <v/>
      </c>
      <c r="Q319" s="3" t="s">
        <v>23</v>
      </c>
      <c r="R319" s="3" t="str">
        <f>IFERROR(MID(VLOOKUP($B319,Seqs!$A:$B,2,0),S319,1),"")</f>
        <v/>
      </c>
      <c r="S319" s="3" t="s">
        <v>23</v>
      </c>
      <c r="T319" s="3" t="str">
        <f>IFERROR(MID(VLOOKUP($B319,Seqs!$A:$B,2,0),U319,1),"")</f>
        <v>V</v>
      </c>
      <c r="U319" s="3">
        <v>210</v>
      </c>
      <c r="V319" s="3" t="str">
        <f>IFERROR(MID(VLOOKUP($B319,Seqs!$A:$B,2,0),W319,1),"")</f>
        <v>V</v>
      </c>
      <c r="W319" s="3">
        <v>242</v>
      </c>
      <c r="X319" s="3" t="str">
        <f>IFERROR(MID(VLOOKUP($B319,Seqs!$A:$B,2,0),Y319,1),"")</f>
        <v/>
      </c>
      <c r="Y319" s="3" t="s">
        <v>23</v>
      </c>
      <c r="Z319" s="3" t="str">
        <f>IFERROR(MID(VLOOKUP($B319,Seqs!$A:$B,2,0),AA319,1),"")</f>
        <v/>
      </c>
      <c r="AA319" s="3" t="s">
        <v>23</v>
      </c>
      <c r="AB319" s="3" t="str">
        <f>IFERROR(MID(VLOOKUP($B319,Seqs!$A:$B,2,0),AC319,1),"")</f>
        <v>M</v>
      </c>
      <c r="AC319" s="3">
        <v>253</v>
      </c>
      <c r="AD319" s="3" t="str">
        <f>IFERROR(MID(VLOOKUP($B319,Seqs!$A:$B,2,0),AE319,1),"")</f>
        <v>Y</v>
      </c>
      <c r="AE319" s="3">
        <v>277</v>
      </c>
      <c r="AF319" s="3" t="str">
        <f>IFERROR(MID(VLOOKUP($B319,Seqs!$A:$B,2,0),AG319,1),"")</f>
        <v>C</v>
      </c>
      <c r="AG319" s="3">
        <v>282</v>
      </c>
      <c r="AH319" s="3" t="str">
        <f>IFERROR(MID(VLOOKUP($B319,Seqs!$A:$B,2,0),AI319,1),"")</f>
        <v>I</v>
      </c>
      <c r="AI319" s="3">
        <v>284</v>
      </c>
      <c r="AJ319" s="3" t="str">
        <f>IFERROR(MID(VLOOKUP($B319,Seqs!$A:$B,2,0),AK319,1),"")</f>
        <v>L</v>
      </c>
      <c r="AK319" s="3">
        <v>290</v>
      </c>
      <c r="AL319" s="3" t="str">
        <f>IFERROR(MID(VLOOKUP($B319,Seqs!$A:$B,2,0),AM319,1),"")</f>
        <v>K</v>
      </c>
      <c r="AM319" s="3">
        <v>321</v>
      </c>
      <c r="AN319" s="3" t="str">
        <f>IFERROR(MID(VLOOKUP($B319,Seqs!$A:$B,2,0),AO319,1),"")</f>
        <v>N</v>
      </c>
      <c r="AO319" s="3">
        <v>329</v>
      </c>
      <c r="AP319" s="3" t="str">
        <f>IFERROR(MID(VLOOKUP($B319,Seqs!$A:$B,2,0),AQ319,1),"")</f>
        <v>V</v>
      </c>
      <c r="AQ319" s="3">
        <v>350</v>
      </c>
      <c r="AR319" s="3" t="str">
        <f>IFERROR(MID(VLOOKUP($B319,Seqs!$A:$B,2,0),AS319,1),"")</f>
        <v>V</v>
      </c>
      <c r="AS319" s="3">
        <v>364</v>
      </c>
      <c r="AT319" s="3" t="str">
        <f>IFERROR(MID(VLOOKUP($B319,Seqs!$A:$B,2,0),AU319,1),"")</f>
        <v>F</v>
      </c>
      <c r="AU319" s="3">
        <v>387</v>
      </c>
      <c r="AV319" s="3" t="str">
        <f>IFERROR(MID(VLOOKUP($B319,Seqs!$A:$B,2,0),AW319,1),"")</f>
        <v>N</v>
      </c>
      <c r="AW319" s="3">
        <v>388</v>
      </c>
      <c r="AX319" s="3" t="str">
        <f>IFERROR(MID(VLOOKUP($B319,Seqs!$A:$B,2,0),AY319,1),"")</f>
        <v>W</v>
      </c>
      <c r="AY319" s="3">
        <v>399</v>
      </c>
      <c r="AZ319" s="77" t="str">
        <f>VLOOKUP(B319,Classification!A:D,2,0)</f>
        <v>B1</v>
      </c>
      <c r="BA319" s="94" t="str">
        <f>VLOOKUP(B319,Classification!A:D,4,0)</f>
        <v>Calcitonin</v>
      </c>
      <c r="BB319" s="27" t="b">
        <f t="shared" ref="BB319" si="1845">AND(E319&lt;G319,OR(G319&lt;I319,I319="-"),OR(I319&lt;K319,I319="-"),OR(K319&lt;M319,K319="-"),M319&lt;O319,OR(O319&lt;Q319,Q319="-"),OR(Q319&lt;S319,Q319="-"),OR(S319&lt;U319,S319="-"),U319&lt;W319,OR(W319&lt;Y319,Y319="-"),OR(Y319&lt;AA319,Y319="-"),OR(AA319&lt;AC319,AA319="-"),AC319&lt;AE319,OR(AE319&lt;AG319,AG319="-"),OR(AG319&lt;AI319,AG319="-"),OR(AI319&lt;AK319,AI319="-"),AK319&lt;AM319,AM319&lt;AO319,AO319&lt;AQ319,AQ319&lt;AS319,AS319&lt;AU319,OR(AU319&lt;AW319,AW319="-"),OR(AW319&lt;AY319,AW319="-"))</f>
        <v>1</v>
      </c>
      <c r="BC319" s="23">
        <f t="shared" ref="BC319" si="1846">_xlfn.AGGREGATE(9,6,CH319:CS319)-_xlfn.AGGREGATE(9,6,BV319:CG319)+12</f>
        <v>219</v>
      </c>
      <c r="BD319" s="4" t="s">
        <v>1376</v>
      </c>
      <c r="BE319" s="3" t="s">
        <v>1292</v>
      </c>
      <c r="BF319" s="119">
        <v>3.3</v>
      </c>
      <c r="BG319" s="49" t="s">
        <v>1423</v>
      </c>
      <c r="BH319" s="49" t="s">
        <v>1423</v>
      </c>
      <c r="BI319" s="1"/>
      <c r="BJ319" s="70" t="s">
        <v>1288</v>
      </c>
      <c r="BK319" s="57" t="s">
        <v>1288</v>
      </c>
      <c r="BL319" s="57" t="s">
        <v>1288</v>
      </c>
      <c r="BM319" s="57" t="s">
        <v>1288</v>
      </c>
      <c r="BN319" s="57" t="s">
        <v>1288</v>
      </c>
      <c r="BO319" s="57" t="s">
        <v>1288</v>
      </c>
      <c r="BP319" s="57" t="s">
        <v>1288</v>
      </c>
      <c r="BQ319" s="57" t="s">
        <v>1288</v>
      </c>
      <c r="BR319" s="57" t="s">
        <v>1288</v>
      </c>
      <c r="BS319" s="57" t="s">
        <v>1288</v>
      </c>
      <c r="BT319" s="57" t="s">
        <v>1288</v>
      </c>
      <c r="BU319" s="57" t="s">
        <v>1288</v>
      </c>
      <c r="BV319" s="70">
        <f t="shared" ref="BV319" si="1847">E319</f>
        <v>130</v>
      </c>
      <c r="BW319" s="71" t="str">
        <f t="shared" ref="BW319" si="1848">I319</f>
        <v>-</v>
      </c>
      <c r="BX319" s="72">
        <f t="shared" ref="BX319" si="1849">M319</f>
        <v>171</v>
      </c>
      <c r="BY319" s="71" t="str">
        <f t="shared" ref="BY319" si="1850">Q319</f>
        <v>-</v>
      </c>
      <c r="BZ319" s="72">
        <f t="shared" ref="BZ319" si="1851">U319</f>
        <v>210</v>
      </c>
      <c r="CA319" s="71" t="str">
        <f t="shared" ref="CA319" si="1852">Y319</f>
        <v>-</v>
      </c>
      <c r="CB319" s="72">
        <f t="shared" ref="CB319" si="1853">AC319</f>
        <v>253</v>
      </c>
      <c r="CC319" s="71">
        <f t="shared" ref="CC319" si="1854">AG319</f>
        <v>282</v>
      </c>
      <c r="CD319" s="72">
        <f t="shared" ref="CD319" si="1855">AK319</f>
        <v>290</v>
      </c>
      <c r="CE319" s="71">
        <f t="shared" ref="CE319" si="1856">AO319</f>
        <v>329</v>
      </c>
      <c r="CF319" s="72">
        <f t="shared" ref="CF319" si="1857">AS319</f>
        <v>364</v>
      </c>
      <c r="CG319" s="71">
        <f t="shared" ref="CG319" si="1858">AW319</f>
        <v>388</v>
      </c>
      <c r="CH319" s="70">
        <f t="shared" ref="CH319" si="1859">G319</f>
        <v>166</v>
      </c>
      <c r="CI319" s="71" t="str">
        <f t="shared" ref="CI319" si="1860">K319</f>
        <v>-</v>
      </c>
      <c r="CJ319" s="72">
        <f t="shared" ref="CJ319" si="1861">O319</f>
        <v>198</v>
      </c>
      <c r="CK319" s="72" t="str">
        <f t="shared" ref="CK319" si="1862">S319</f>
        <v>-</v>
      </c>
      <c r="CL319" s="72">
        <f t="shared" ref="CL319" si="1863">W319</f>
        <v>242</v>
      </c>
      <c r="CM319" s="72" t="str">
        <f t="shared" ref="CM319" si="1864">AA319</f>
        <v>-</v>
      </c>
      <c r="CN319" s="72">
        <f t="shared" ref="CN319" si="1865">AE319</f>
        <v>277</v>
      </c>
      <c r="CO319" s="72">
        <f t="shared" ref="CO319" si="1866">AI319</f>
        <v>284</v>
      </c>
      <c r="CP319" s="72">
        <f t="shared" ref="CP319" si="1867">AM319</f>
        <v>321</v>
      </c>
      <c r="CQ319" s="72">
        <f t="shared" ref="CQ319" si="1868">AQ319</f>
        <v>350</v>
      </c>
      <c r="CR319" s="72">
        <f t="shared" ref="CR319" si="1869">AU319</f>
        <v>387</v>
      </c>
      <c r="CS319" s="72">
        <f t="shared" ref="CS319" si="1870">AY319</f>
        <v>399</v>
      </c>
      <c r="CT319" s="23" t="e">
        <f t="shared" ref="CT319" si="1871">M319-K319</f>
        <v>#VALUE!</v>
      </c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6"/>
      <c r="EF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/>
      <c r="EV319" s="6"/>
      <c r="EW319" s="6"/>
      <c r="EX319" s="6"/>
      <c r="EY319" s="6"/>
      <c r="EZ319" s="6"/>
      <c r="FA319" s="6"/>
      <c r="FB319" s="6"/>
      <c r="FC319" s="6"/>
      <c r="FD319" s="6"/>
      <c r="FE319" s="6"/>
      <c r="FF319" s="6"/>
      <c r="FG319" s="6"/>
      <c r="FH319" s="6"/>
      <c r="FI319" s="6"/>
      <c r="FJ319" s="6"/>
      <c r="FK319" s="6"/>
      <c r="FL319" s="6"/>
      <c r="FM319" s="6"/>
      <c r="FN319" s="6"/>
      <c r="FO319" s="6"/>
      <c r="FP319" s="6"/>
      <c r="FQ319" s="6"/>
      <c r="FR319" s="6"/>
      <c r="FS319" s="6"/>
      <c r="FT319" s="6"/>
      <c r="FU319" s="6"/>
      <c r="FV319" s="6"/>
      <c r="FW319" s="6"/>
      <c r="FX319" s="6"/>
      <c r="FY319" s="6"/>
      <c r="FZ319" s="6"/>
      <c r="GA319" s="6"/>
      <c r="GB319" s="6"/>
      <c r="GC319" s="6"/>
      <c r="GD319" s="6"/>
      <c r="GE319" s="6"/>
      <c r="GF319" s="6"/>
      <c r="GG319" s="6"/>
      <c r="GH319" s="6"/>
      <c r="GI319" s="6"/>
      <c r="GJ319" s="6"/>
      <c r="GK319" s="6"/>
      <c r="GL319" s="6"/>
      <c r="GM319" s="6"/>
      <c r="GN319" s="6"/>
      <c r="GO319" s="6"/>
      <c r="GP319" s="6"/>
      <c r="GQ319" s="6"/>
      <c r="GR319" s="6"/>
      <c r="GS319" s="6"/>
      <c r="GT319" s="6"/>
      <c r="GU319" s="6"/>
      <c r="GV319" s="6"/>
      <c r="GW319" s="6"/>
      <c r="GX319" s="6"/>
      <c r="GY319" s="6"/>
      <c r="GZ319" s="6"/>
      <c r="HA319" s="6"/>
      <c r="HB319" s="6"/>
      <c r="HC319" s="6"/>
      <c r="HD319" s="6"/>
      <c r="HE319" s="6"/>
      <c r="HF319" s="6"/>
      <c r="HG319" s="6"/>
      <c r="HH319" s="6"/>
      <c r="HI319" s="6"/>
      <c r="HJ319" s="6"/>
      <c r="HK319" s="6"/>
      <c r="HL319" s="6"/>
      <c r="HM319" s="6"/>
      <c r="HN319" s="6"/>
      <c r="HO319" s="6"/>
      <c r="HP319" s="6"/>
      <c r="HQ319" s="6"/>
      <c r="HR319" s="6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E319" s="6"/>
      <c r="IF319" s="6"/>
      <c r="IG319" s="6"/>
      <c r="IH319" s="6"/>
      <c r="II319" s="6"/>
      <c r="IJ319" s="6"/>
      <c r="IK319" s="6"/>
      <c r="IL319" s="6"/>
      <c r="IM319" s="6"/>
      <c r="IN319" s="6"/>
      <c r="IO319" s="6"/>
      <c r="IP319" s="6"/>
      <c r="IQ319" s="6"/>
      <c r="IR319" s="6"/>
      <c r="IS319" s="6"/>
      <c r="IT319" s="6"/>
      <c r="IU319" s="6"/>
      <c r="IV319" s="6"/>
      <c r="IW319" s="6"/>
      <c r="IX319" s="6"/>
      <c r="IY319" s="6"/>
      <c r="IZ319" s="6"/>
      <c r="JA319" s="6"/>
      <c r="JB319" s="6"/>
      <c r="JC319" s="6"/>
      <c r="JD319" s="6"/>
      <c r="JE319" s="6"/>
      <c r="JF319" s="6"/>
      <c r="JG319" s="6"/>
      <c r="JH319" s="6"/>
      <c r="JI319" s="6"/>
      <c r="JJ319" s="6"/>
      <c r="JK319" s="6"/>
      <c r="JL319" s="6"/>
      <c r="JM319" s="6"/>
      <c r="JN319" s="6"/>
      <c r="JO319" s="6"/>
      <c r="JP319" s="6"/>
      <c r="JQ319" s="6"/>
      <c r="JR319" s="6"/>
      <c r="JS319" s="6"/>
      <c r="JT319" s="6"/>
      <c r="JU319" s="6"/>
      <c r="JV319" s="6"/>
      <c r="JW319" s="6"/>
      <c r="JX319" s="6"/>
      <c r="JY319" s="6"/>
      <c r="JZ319" s="6"/>
      <c r="KA319" s="6"/>
      <c r="KB319" s="6"/>
      <c r="KC319" s="6"/>
      <c r="KD319" s="6"/>
      <c r="KE319" s="6"/>
      <c r="KF319" s="6"/>
      <c r="KG319" s="6"/>
      <c r="KH319" s="6"/>
      <c r="KI319" s="6"/>
      <c r="KJ319" s="6"/>
      <c r="KK319" s="6"/>
      <c r="KL319" s="6"/>
      <c r="KM319" s="6"/>
      <c r="KN319" s="6"/>
      <c r="KO319" s="6"/>
      <c r="KP319" s="6"/>
      <c r="KQ319" s="6"/>
      <c r="KR319" s="6"/>
      <c r="KS319" s="6"/>
      <c r="KT319" s="6"/>
      <c r="KU319" s="6"/>
      <c r="KV319" s="6"/>
      <c r="KW319" s="6"/>
      <c r="KX319" s="6"/>
      <c r="KY319" s="6"/>
      <c r="KZ319" s="6"/>
      <c r="LA319" s="6"/>
      <c r="LB319" s="6"/>
      <c r="LC319" s="6"/>
      <c r="LD319" s="6"/>
      <c r="LE319" s="6"/>
      <c r="LF319" s="6"/>
      <c r="LG319" s="6"/>
      <c r="LH319" s="6"/>
      <c r="LI319" s="6"/>
      <c r="LJ319" s="6"/>
      <c r="LK319" s="6"/>
      <c r="LL319" s="6"/>
      <c r="LM319" s="6"/>
      <c r="LN319" s="6"/>
      <c r="LO319" s="6"/>
      <c r="LP319" s="6"/>
      <c r="LQ319" s="6"/>
      <c r="LR319" s="6"/>
      <c r="LS319" s="6"/>
      <c r="LT319" s="6"/>
      <c r="LU319" s="6"/>
      <c r="LV319" s="6"/>
      <c r="LW319" s="6"/>
      <c r="LX319" s="6"/>
      <c r="LY319" s="6"/>
      <c r="LZ319" s="6"/>
      <c r="MA319" s="6"/>
      <c r="MB319" s="6"/>
      <c r="MC319" s="6"/>
      <c r="MD319" s="6"/>
      <c r="ME319" s="6"/>
      <c r="MF319" s="6"/>
      <c r="MG319" s="6"/>
      <c r="MH319" s="6"/>
      <c r="MI319" s="6"/>
      <c r="MJ319" s="6"/>
      <c r="MK319" s="6"/>
      <c r="ML319" s="6"/>
      <c r="MM319" s="6"/>
      <c r="MN319" s="6"/>
      <c r="MO319" s="6"/>
      <c r="MP319" s="6"/>
      <c r="MQ319" s="6"/>
      <c r="MR319" s="6"/>
      <c r="MS319" s="6"/>
      <c r="MT319" s="6"/>
      <c r="MU319" s="6"/>
      <c r="MV319" s="6"/>
      <c r="MW319" s="6"/>
      <c r="MX319" s="6"/>
      <c r="MY319" s="6"/>
      <c r="MZ319" s="6"/>
      <c r="NA319" s="6"/>
      <c r="NB319" s="6"/>
      <c r="NC319" s="6"/>
      <c r="ND319" s="6"/>
      <c r="NE319" s="6"/>
      <c r="NF319" s="6"/>
      <c r="NG319" s="6"/>
      <c r="NH319" s="6"/>
      <c r="NI319" s="6"/>
      <c r="NJ319" s="6"/>
      <c r="NK319" s="6"/>
      <c r="NL319" s="6"/>
      <c r="NM319" s="6"/>
      <c r="NN319" s="6"/>
      <c r="NO319" s="6"/>
      <c r="NP319" s="6"/>
      <c r="NQ319" s="6"/>
      <c r="NR319" s="6"/>
      <c r="NS319" s="6"/>
      <c r="NT319" s="6"/>
      <c r="NU319" s="6"/>
      <c r="NV319" s="6"/>
      <c r="NW319" s="6"/>
      <c r="NX319" s="6"/>
      <c r="NY319" s="6"/>
      <c r="NZ319" s="6"/>
      <c r="OA319" s="6"/>
      <c r="OB319" s="6"/>
      <c r="OC319" s="6"/>
      <c r="OD319" s="6"/>
      <c r="OE319" s="6"/>
      <c r="OF319" s="6"/>
      <c r="OG319" s="6"/>
      <c r="OH319" s="6"/>
      <c r="OI319" s="6"/>
      <c r="OJ319" s="6"/>
      <c r="OK319" s="6"/>
      <c r="OL319" s="6"/>
      <c r="OM319" s="6"/>
      <c r="ON319" s="6"/>
      <c r="OO319" s="6"/>
      <c r="OP319" s="6"/>
      <c r="OQ319" s="6"/>
      <c r="OR319" s="6"/>
      <c r="OS319" s="6"/>
      <c r="OT319" s="6"/>
      <c r="OU319" s="6"/>
      <c r="OV319" s="6"/>
      <c r="OW319" s="6"/>
      <c r="OX319" s="6"/>
      <c r="OY319" s="6"/>
      <c r="OZ319" s="6"/>
      <c r="PA319" s="6"/>
      <c r="PB319" s="6"/>
      <c r="PC319" s="6"/>
      <c r="PD319" s="6"/>
      <c r="PE319" s="6"/>
      <c r="PF319" s="6"/>
      <c r="PG319" s="6"/>
      <c r="PH319" s="6"/>
      <c r="PI319" s="6"/>
      <c r="PJ319" s="6"/>
      <c r="PK319" s="6"/>
      <c r="PL319" s="6"/>
      <c r="PM319" s="6"/>
      <c r="PN319" s="6"/>
      <c r="PO319" s="6"/>
      <c r="PP319" s="6"/>
      <c r="PQ319" s="6"/>
      <c r="PR319" s="6"/>
      <c r="PS319" s="6"/>
      <c r="PT319" s="6"/>
      <c r="PU319" s="6"/>
      <c r="PV319" s="6"/>
      <c r="PW319" s="6"/>
      <c r="PX319" s="6"/>
      <c r="PY319" s="6"/>
      <c r="PZ319" s="6"/>
      <c r="QA319" s="6"/>
      <c r="QB319" s="6"/>
      <c r="QC319" s="6"/>
      <c r="QD319" s="6"/>
      <c r="QE319" s="6"/>
      <c r="QF319" s="6"/>
      <c r="QG319" s="6"/>
      <c r="QH319" s="6"/>
      <c r="QI319" s="6"/>
      <c r="QJ319" s="6"/>
      <c r="QK319" s="6"/>
      <c r="QL319" s="6"/>
      <c r="QM319" s="6"/>
      <c r="QN319" s="6"/>
      <c r="QO319" s="6"/>
      <c r="QP319" s="6"/>
      <c r="QQ319" s="6"/>
      <c r="QR319" s="6"/>
      <c r="QS319" s="6"/>
      <c r="QT319" s="6"/>
      <c r="QU319" s="6"/>
      <c r="QV319" s="6"/>
      <c r="QW319" s="6"/>
      <c r="QX319" s="6"/>
      <c r="QY319" s="6"/>
      <c r="QZ319" s="6"/>
      <c r="RA319" s="6"/>
      <c r="RB319" s="6"/>
      <c r="RC319" s="6"/>
      <c r="RD319" s="6"/>
      <c r="RE319" s="6"/>
      <c r="RF319" s="6"/>
      <c r="RG319" s="6"/>
      <c r="RH319" s="6"/>
      <c r="RI319" s="6"/>
      <c r="RJ319" s="6"/>
      <c r="RK319" s="6"/>
      <c r="RL319" s="6"/>
      <c r="RM319" s="6"/>
      <c r="RN319" s="6"/>
      <c r="RO319" s="6"/>
      <c r="RP319" s="6"/>
      <c r="RQ319" s="6"/>
      <c r="RR319" s="6"/>
      <c r="RS319" s="6"/>
      <c r="RT319" s="6"/>
      <c r="RU319" s="6"/>
      <c r="RV319" s="6"/>
      <c r="RW319" s="6"/>
      <c r="RX319" s="6"/>
      <c r="RY319" s="6"/>
      <c r="RZ319" s="6"/>
      <c r="SA319" s="6"/>
      <c r="SB319" s="6"/>
      <c r="SC319" s="6"/>
      <c r="SD319" s="6"/>
      <c r="SE319" s="6"/>
      <c r="SF319" s="6"/>
      <c r="SG319" s="6"/>
      <c r="SH319" s="6"/>
      <c r="SI319" s="6"/>
      <c r="SJ319" s="6"/>
      <c r="SK319" s="6"/>
      <c r="SL319" s="6"/>
      <c r="SM319" s="6"/>
      <c r="SN319" s="6"/>
      <c r="SO319" s="6"/>
      <c r="SP319" s="6"/>
      <c r="SQ319" s="6"/>
      <c r="SR319" s="6"/>
      <c r="SS319" s="6"/>
      <c r="ST319" s="6"/>
      <c r="SU319" s="6"/>
      <c r="SV319" s="6"/>
      <c r="SW319" s="6"/>
      <c r="SX319" s="6"/>
      <c r="SY319" s="6"/>
      <c r="SZ319" s="6"/>
      <c r="TA319" s="6"/>
      <c r="TB319" s="6"/>
      <c r="TC319" s="6"/>
      <c r="TD319" s="6"/>
      <c r="TE319" s="6"/>
      <c r="TF319" s="6"/>
      <c r="TG319" s="6"/>
      <c r="TH319" s="6"/>
      <c r="TI319" s="6"/>
      <c r="TJ319" s="6"/>
      <c r="TK319" s="6"/>
      <c r="TL319" s="6"/>
      <c r="TM319" s="6"/>
      <c r="TN319" s="6"/>
      <c r="TO319" s="6"/>
      <c r="TP319" s="6"/>
      <c r="TQ319" s="6"/>
      <c r="TR319" s="6"/>
      <c r="TS319" s="6"/>
      <c r="TT319" s="6"/>
      <c r="TU319" s="6"/>
      <c r="TV319" s="6"/>
      <c r="TW319" s="6"/>
      <c r="TX319" s="6"/>
      <c r="TY319" s="6"/>
      <c r="TZ319" s="6"/>
      <c r="UA319" s="6"/>
      <c r="UB319" s="6"/>
      <c r="UC319" s="6"/>
      <c r="UD319" s="6"/>
      <c r="UE319" s="6"/>
      <c r="UF319" s="6"/>
      <c r="UG319" s="6"/>
      <c r="UH319" s="6"/>
      <c r="UI319" s="6"/>
      <c r="UJ319" s="6"/>
      <c r="UK319" s="6"/>
      <c r="UL319" s="6"/>
      <c r="UM319" s="6"/>
      <c r="UN319" s="6"/>
      <c r="UO319" s="6"/>
      <c r="UP319" s="6"/>
      <c r="UQ319" s="6"/>
      <c r="UR319" s="6"/>
      <c r="US319" s="6"/>
      <c r="UT319" s="6"/>
      <c r="UU319" s="6"/>
      <c r="UV319" s="6"/>
      <c r="UW319" s="6"/>
      <c r="UX319" s="6"/>
      <c r="UY319" s="6"/>
      <c r="UZ319" s="6"/>
      <c r="VA319" s="6"/>
      <c r="VB319" s="6"/>
      <c r="VC319" s="6"/>
      <c r="VD319" s="6"/>
      <c r="VE319" s="6"/>
      <c r="VF319" s="6"/>
      <c r="VG319" s="6"/>
      <c r="VH319" s="6"/>
      <c r="VI319" s="6"/>
      <c r="VJ319" s="6"/>
      <c r="VK319" s="6"/>
      <c r="VL319" s="6"/>
      <c r="VM319" s="6"/>
      <c r="VN319" s="6"/>
      <c r="VO319" s="6"/>
      <c r="VP319" s="6"/>
      <c r="VQ319" s="6"/>
      <c r="VR319" s="6"/>
      <c r="VS319" s="6"/>
      <c r="VT319" s="6"/>
      <c r="VU319" s="6"/>
      <c r="VV319" s="6"/>
      <c r="VW319" s="6"/>
      <c r="VX319" s="6"/>
      <c r="VY319" s="6"/>
      <c r="VZ319" s="6"/>
      <c r="WA319" s="6"/>
      <c r="WB319" s="6"/>
      <c r="WC319" s="6"/>
      <c r="WD319" s="6"/>
      <c r="WE319" s="6"/>
      <c r="WF319" s="6"/>
      <c r="WG319" s="6"/>
      <c r="WH319" s="6"/>
      <c r="WI319" s="6"/>
      <c r="WJ319" s="6"/>
      <c r="WK319" s="6"/>
      <c r="WL319" s="6"/>
      <c r="WM319" s="6"/>
      <c r="WN319" s="6"/>
      <c r="WO319" s="6"/>
      <c r="WP319" s="6"/>
      <c r="WQ319" s="6"/>
      <c r="WR319" s="6"/>
      <c r="WS319" s="6"/>
      <c r="WT319" s="6"/>
      <c r="WU319" s="6"/>
      <c r="WV319" s="6"/>
      <c r="WW319" s="6"/>
      <c r="WX319" s="6"/>
      <c r="WY319" s="6"/>
      <c r="WZ319" s="6"/>
      <c r="XA319" s="6"/>
      <c r="XB319" s="6"/>
      <c r="XC319" s="6"/>
      <c r="XD319" s="6"/>
      <c r="XE319" s="6"/>
      <c r="XF319" s="6"/>
      <c r="XG319" s="6"/>
      <c r="XH319" s="6"/>
      <c r="XI319" s="6"/>
      <c r="XJ319" s="6"/>
      <c r="XK319" s="6"/>
      <c r="XL319" s="6"/>
      <c r="XM319" s="6"/>
      <c r="XN319" s="6"/>
      <c r="XO319" s="6"/>
      <c r="XP319" s="6"/>
      <c r="XQ319" s="6"/>
      <c r="XR319" s="6"/>
      <c r="XS319" s="6"/>
      <c r="XT319" s="6"/>
      <c r="XU319" s="6"/>
      <c r="XV319" s="6"/>
      <c r="XW319" s="6"/>
      <c r="XX319" s="6"/>
      <c r="XY319" s="6"/>
      <c r="XZ319" s="6"/>
      <c r="YA319" s="6"/>
      <c r="YB319" s="6"/>
      <c r="YC319" s="6"/>
      <c r="YD319" s="6"/>
      <c r="YE319" s="6"/>
      <c r="YF319" s="6"/>
      <c r="YG319" s="6"/>
      <c r="YH319" s="6"/>
      <c r="YI319" s="6"/>
      <c r="YJ319" s="6"/>
      <c r="YK319" s="6"/>
      <c r="YL319" s="6"/>
      <c r="YM319" s="6"/>
      <c r="YN319" s="6"/>
      <c r="YO319" s="6"/>
      <c r="YP319" s="6"/>
      <c r="YQ319" s="6"/>
      <c r="YR319" s="6"/>
      <c r="YS319" s="6"/>
      <c r="YT319" s="6"/>
      <c r="YU319" s="6"/>
      <c r="YV319" s="6"/>
      <c r="YW319" s="6"/>
      <c r="YX319" s="6"/>
      <c r="YY319" s="6"/>
      <c r="YZ319" s="6"/>
      <c r="ZA319" s="6"/>
      <c r="ZB319" s="6"/>
      <c r="ZC319" s="6"/>
      <c r="ZD319" s="6"/>
      <c r="ZE319" s="6"/>
      <c r="ZF319" s="6"/>
      <c r="ZG319" s="6"/>
      <c r="ZH319" s="6"/>
      <c r="ZI319" s="6"/>
      <c r="ZJ319" s="6"/>
      <c r="ZK319" s="6"/>
      <c r="ZL319" s="6"/>
      <c r="ZM319" s="6"/>
      <c r="ZN319" s="6"/>
      <c r="ZO319" s="6"/>
      <c r="ZP319" s="6"/>
      <c r="ZQ319" s="6"/>
      <c r="ZR319" s="6"/>
      <c r="ZS319" s="6"/>
      <c r="ZT319" s="6"/>
      <c r="ZU319" s="6"/>
      <c r="ZV319" s="6"/>
      <c r="ZW319" s="6"/>
      <c r="ZX319" s="6"/>
      <c r="ZY319" s="6"/>
      <c r="ZZ319" s="6"/>
      <c r="AAA319" s="6"/>
      <c r="AAB319" s="6"/>
      <c r="AAC319" s="6"/>
      <c r="AAD319" s="6"/>
      <c r="AAE319" s="6"/>
      <c r="AAF319" s="6"/>
      <c r="AAG319" s="6"/>
      <c r="AAH319" s="6"/>
      <c r="AAI319" s="6"/>
      <c r="AAJ319" s="6"/>
      <c r="AAK319" s="6"/>
      <c r="AAL319" s="6"/>
      <c r="AAM319" s="6"/>
      <c r="AAN319" s="6"/>
      <c r="AAO319" s="6"/>
      <c r="AAP319" s="6"/>
      <c r="AAQ319" s="6"/>
      <c r="AAR319" s="6"/>
      <c r="AAS319" s="6"/>
      <c r="AAT319" s="6"/>
      <c r="AAU319" s="6"/>
      <c r="AAV319" s="6"/>
      <c r="AAW319" s="6"/>
      <c r="AAX319" s="6"/>
      <c r="AAY319" s="6"/>
      <c r="AAZ319" s="6"/>
      <c r="ABA319" s="6"/>
      <c r="ABB319" s="6"/>
      <c r="ABC319" s="6"/>
      <c r="ABD319" s="6"/>
      <c r="ABE319" s="6"/>
      <c r="ABF319" s="6"/>
      <c r="ABG319" s="6"/>
      <c r="ABH319" s="6"/>
      <c r="ABI319" s="6"/>
      <c r="ABJ319" s="6"/>
      <c r="ABK319" s="6"/>
      <c r="ABL319" s="6"/>
      <c r="ABM319" s="6"/>
      <c r="ABN319" s="6"/>
      <c r="ABO319" s="6"/>
      <c r="ABP319" s="6"/>
      <c r="ABQ319" s="6"/>
      <c r="ABR319" s="6"/>
      <c r="ABS319" s="6"/>
      <c r="ABT319" s="6"/>
      <c r="ABU319" s="6"/>
      <c r="ABV319" s="6"/>
      <c r="ABW319" s="6"/>
      <c r="ABX319" s="6"/>
      <c r="ABY319" s="6"/>
      <c r="ABZ319" s="6"/>
      <c r="ACA319" s="6"/>
      <c r="ACB319" s="6"/>
      <c r="ACC319" s="6"/>
      <c r="ACD319" s="6"/>
      <c r="ACE319" s="6"/>
      <c r="ACF319" s="6"/>
      <c r="ACG319" s="6"/>
      <c r="ACH319" s="6"/>
      <c r="ACI319" s="6"/>
      <c r="ACJ319" s="6"/>
      <c r="ACK319" s="6"/>
      <c r="ACL319" s="6"/>
      <c r="ACM319" s="6"/>
      <c r="ACN319" s="6"/>
      <c r="ACO319" s="6"/>
      <c r="ACP319" s="6"/>
      <c r="ACQ319" s="6"/>
      <c r="ACR319" s="6"/>
      <c r="ACS319" s="6"/>
      <c r="ACT319" s="6"/>
      <c r="ACU319" s="6"/>
      <c r="ACV319" s="6"/>
      <c r="ACW319" s="6"/>
      <c r="ACX319" s="6"/>
      <c r="ACY319" s="6"/>
      <c r="ACZ319" s="6"/>
      <c r="ADA319" s="6"/>
      <c r="ADB319" s="6"/>
      <c r="ADC319" s="6"/>
      <c r="ADD319" s="6"/>
      <c r="ADE319" s="6"/>
      <c r="ADF319" s="6"/>
      <c r="ADG319" s="6"/>
      <c r="ADH319" s="6"/>
      <c r="ADI319" s="6"/>
      <c r="ADJ319" s="6"/>
      <c r="ADK319" s="6"/>
      <c r="ADL319" s="6"/>
      <c r="ADM319" s="6"/>
      <c r="ADN319" s="6"/>
      <c r="ADO319" s="6"/>
      <c r="ADP319" s="6"/>
      <c r="ADQ319" s="6"/>
      <c r="ADR319" s="6"/>
      <c r="ADS319" s="6"/>
      <c r="ADT319" s="6"/>
      <c r="ADU319" s="6"/>
      <c r="ADV319" s="6"/>
      <c r="ADW319" s="6"/>
      <c r="ADX319" s="6"/>
      <c r="ADY319" s="6"/>
      <c r="ADZ319" s="6"/>
      <c r="AEA319" s="6"/>
      <c r="AEB319" s="6"/>
      <c r="AEC319" s="6"/>
      <c r="AED319" s="6"/>
      <c r="AEE319" s="6"/>
      <c r="AEF319" s="6"/>
      <c r="AEG319" s="6"/>
      <c r="AEH319" s="6"/>
      <c r="AEI319" s="6"/>
      <c r="AEJ319" s="6"/>
      <c r="AEK319" s="6"/>
      <c r="AEL319" s="6"/>
      <c r="AEM319" s="6"/>
      <c r="AEN319" s="6"/>
      <c r="AEO319" s="6"/>
      <c r="AEP319" s="6"/>
      <c r="AEQ319" s="6"/>
      <c r="AER319" s="6"/>
      <c r="AES319" s="6"/>
      <c r="AET319" s="6"/>
      <c r="AEU319" s="6"/>
      <c r="AEV319" s="6"/>
      <c r="AEW319" s="6"/>
      <c r="AEX319" s="6"/>
      <c r="AEY319" s="6"/>
      <c r="AEZ319" s="6"/>
      <c r="AFA319" s="6"/>
      <c r="AFB319" s="6"/>
      <c r="AFC319" s="6"/>
      <c r="AFD319" s="6"/>
      <c r="AFE319" s="6"/>
      <c r="AFF319" s="6"/>
      <c r="AFG319" s="6"/>
      <c r="AFH319" s="6"/>
      <c r="AFI319" s="6"/>
      <c r="AFJ319" s="6"/>
      <c r="AFK319" s="6"/>
      <c r="AFL319" s="6"/>
      <c r="AFM319" s="6"/>
      <c r="AFN319" s="6"/>
      <c r="AFO319" s="6"/>
      <c r="AFP319" s="6"/>
      <c r="AFQ319" s="6"/>
      <c r="AFR319" s="6"/>
      <c r="AFS319" s="6"/>
      <c r="AFT319" s="6"/>
      <c r="AFU319" s="6"/>
      <c r="AFV319" s="6"/>
      <c r="AFW319" s="6"/>
      <c r="AFX319" s="6"/>
      <c r="AFY319" s="6"/>
      <c r="AFZ319" s="6"/>
      <c r="AGA319" s="6"/>
      <c r="AGB319" s="6"/>
      <c r="AGC319" s="6"/>
      <c r="AGD319" s="6"/>
      <c r="AGE319" s="6"/>
      <c r="AGF319" s="6"/>
      <c r="AGG319" s="6"/>
      <c r="AGH319" s="6"/>
      <c r="AGI319" s="6"/>
      <c r="AGJ319" s="6"/>
      <c r="AGK319" s="6"/>
      <c r="AGL319" s="6"/>
      <c r="AGM319" s="6"/>
      <c r="AGN319" s="6"/>
      <c r="AGO319" s="6"/>
      <c r="AGP319" s="6"/>
      <c r="AGQ319" s="6"/>
      <c r="AGR319" s="6"/>
      <c r="AGS319" s="6"/>
      <c r="AGT319" s="6"/>
      <c r="AGU319" s="6"/>
      <c r="AGV319" s="6"/>
      <c r="AGW319" s="6"/>
      <c r="AGX319" s="6"/>
      <c r="AGY319" s="6"/>
      <c r="AGZ319" s="6"/>
      <c r="AHA319" s="6"/>
      <c r="AHB319" s="6"/>
      <c r="AHC319" s="6"/>
      <c r="AHD319" s="6"/>
      <c r="AHE319" s="6"/>
      <c r="AHF319" s="6"/>
      <c r="AHG319" s="6"/>
      <c r="AHH319" s="6"/>
      <c r="AHI319" s="6"/>
      <c r="AHJ319" s="6"/>
      <c r="AHK319" s="6"/>
      <c r="AHL319" s="6"/>
      <c r="AHM319" s="6"/>
      <c r="AHN319" s="6"/>
      <c r="AHO319" s="6"/>
      <c r="AHP319" s="6"/>
      <c r="AHQ319" s="6"/>
      <c r="AHR319" s="6"/>
      <c r="AHS319" s="6"/>
      <c r="AHT319" s="6"/>
      <c r="AHU319" s="6"/>
      <c r="AHV319" s="6"/>
      <c r="AHW319" s="6"/>
      <c r="AHX319" s="6"/>
      <c r="AHY319" s="6"/>
      <c r="AHZ319" s="6"/>
      <c r="AIA319" s="6"/>
      <c r="AIB319" s="6"/>
      <c r="AIC319" s="6"/>
      <c r="AID319" s="6"/>
      <c r="AIE319" s="6"/>
      <c r="AIF319" s="6"/>
      <c r="AIG319" s="6"/>
      <c r="AIH319" s="6"/>
      <c r="AII319" s="6"/>
      <c r="AIJ319" s="6"/>
      <c r="AIK319" s="6"/>
      <c r="AIL319" s="6"/>
      <c r="AIM319" s="6"/>
      <c r="AIN319" s="6"/>
      <c r="AIO319" s="6"/>
      <c r="AIP319" s="6"/>
      <c r="AIQ319" s="6"/>
      <c r="AIR319" s="6"/>
      <c r="AIS319" s="6"/>
      <c r="AIT319" s="6"/>
      <c r="AIU319" s="6"/>
      <c r="AIV319" s="6"/>
      <c r="AIW319" s="6"/>
      <c r="AIX319" s="6"/>
      <c r="AIY319" s="6"/>
      <c r="AIZ319" s="6"/>
      <c r="AJA319" s="6"/>
      <c r="AJB319" s="6"/>
      <c r="AJC319" s="6"/>
      <c r="AJD319" s="6"/>
      <c r="AJE319" s="6"/>
      <c r="AJF319" s="6"/>
      <c r="AJG319" s="6"/>
      <c r="AJH319" s="6"/>
      <c r="AJI319" s="6"/>
      <c r="AJJ319" s="6"/>
      <c r="AJK319" s="6"/>
      <c r="AJL319" s="6"/>
      <c r="AJM319" s="6"/>
      <c r="AJN319" s="6"/>
      <c r="AJO319" s="6"/>
      <c r="AJP319" s="6"/>
      <c r="AJQ319" s="6"/>
      <c r="AJR319" s="6"/>
      <c r="AJS319" s="6"/>
      <c r="AJT319" s="6"/>
      <c r="AJU319" s="6"/>
      <c r="AJV319" s="6"/>
      <c r="AJW319" s="6"/>
      <c r="AJX319" s="6"/>
      <c r="AJY319" s="6"/>
      <c r="AJZ319" s="6"/>
      <c r="AKA319" s="6"/>
      <c r="AKB319" s="6"/>
      <c r="AKC319" s="6"/>
      <c r="AKD319" s="6"/>
      <c r="AKE319" s="6"/>
      <c r="AKF319" s="6"/>
      <c r="AKG319" s="6"/>
      <c r="AKH319" s="6"/>
      <c r="AKI319" s="6"/>
      <c r="AKJ319" s="6"/>
      <c r="AKK319" s="6"/>
      <c r="AKL319" s="6"/>
      <c r="AKM319" s="6"/>
      <c r="AKN319" s="6"/>
      <c r="AKO319" s="6"/>
      <c r="AKP319" s="6"/>
      <c r="AKQ319" s="6"/>
      <c r="AKR319" s="6"/>
      <c r="AKS319" s="6"/>
      <c r="AKT319" s="6"/>
      <c r="AKU319" s="6"/>
      <c r="AKV319" s="6"/>
      <c r="AKW319" s="6"/>
      <c r="AKX319" s="6"/>
      <c r="AKY319" s="6"/>
      <c r="AKZ319" s="6"/>
      <c r="ALA319" s="6"/>
      <c r="ALB319" s="6"/>
      <c r="ALC319" s="6"/>
      <c r="ALD319" s="6"/>
      <c r="ALE319" s="6"/>
      <c r="ALF319" s="6"/>
      <c r="ALG319" s="6"/>
      <c r="ALH319" s="6"/>
      <c r="ALI319" s="6"/>
      <c r="ALJ319" s="6"/>
      <c r="ALK319" s="6"/>
      <c r="ALL319" s="6"/>
      <c r="ALM319" s="6"/>
      <c r="ALN319" s="6"/>
      <c r="ALO319" s="6"/>
      <c r="ALP319" s="6"/>
      <c r="ALQ319" s="6"/>
      <c r="ALR319" s="6"/>
      <c r="ALS319" s="6"/>
      <c r="ALT319" s="6"/>
      <c r="ALU319" s="6"/>
      <c r="ALV319" s="6"/>
      <c r="ALW319" s="6"/>
      <c r="ALX319" s="6"/>
      <c r="ALY319" s="6"/>
      <c r="ALZ319" s="6"/>
      <c r="AMA319" s="6"/>
      <c r="AMB319" s="6"/>
      <c r="AMC319" s="6"/>
      <c r="AMD319" s="6"/>
      <c r="AME319" s="6"/>
      <c r="AMF319" s="6"/>
      <c r="AMG319" s="6"/>
      <c r="AMH319" s="6"/>
      <c r="AMI319" s="6"/>
      <c r="AMJ319" s="6"/>
      <c r="AMK319" s="6"/>
      <c r="AML319" s="6"/>
      <c r="AMM319" s="6"/>
      <c r="AMN319" s="6"/>
      <c r="AMO319" s="6"/>
      <c r="AMP319" s="6"/>
    </row>
    <row r="320" spans="1:1030" x14ac:dyDescent="0.2">
      <c r="A320" s="3" t="str">
        <f t="shared" si="1452"/>
        <v>crfr1_human__wt</v>
      </c>
      <c r="B320" s="3" t="s">
        <v>38</v>
      </c>
      <c r="C320" s="3" t="s">
        <v>100</v>
      </c>
      <c r="D320" s="3" t="str">
        <f>IFERROR(MID(VLOOKUP($B320,Seqs!$A:$B,2,0),E320,1),"")</f>
        <v>Q</v>
      </c>
      <c r="E320" s="3">
        <v>103</v>
      </c>
      <c r="F320" s="3" t="str">
        <f>IFERROR(MID(VLOOKUP($B320,Seqs!$A:$B,2,0),G320,1),"")</f>
        <v>L</v>
      </c>
      <c r="G320" s="3">
        <v>144</v>
      </c>
      <c r="H320" s="3" t="str">
        <f>IFERROR(MID(VLOOKUP($B320,Seqs!$A:$B,2,0),I320,1),"")</f>
        <v>R</v>
      </c>
      <c r="I320" s="23">
        <v>145</v>
      </c>
      <c r="J320" s="3" t="str">
        <f>IFERROR(MID(VLOOKUP($B320,Seqs!$A:$B,2,0),K320,1),"")</f>
        <v>R</v>
      </c>
      <c r="K320" s="23">
        <v>148</v>
      </c>
      <c r="L320" s="3" t="str">
        <f>IFERROR(MID(VLOOKUP($B320,Seqs!$A:$B,2,0),M320,1),"")</f>
        <v>C</v>
      </c>
      <c r="M320" s="23">
        <v>149</v>
      </c>
      <c r="N320" s="3" t="str">
        <f>IFERROR(MID(VLOOKUP($B320,Seqs!$A:$B,2,0),O320,1),"")</f>
        <v>T</v>
      </c>
      <c r="O320" s="3">
        <v>175</v>
      </c>
      <c r="P320" s="3" t="str">
        <f>IFERROR(MID(VLOOKUP($B320,Seqs!$A:$B,2,0),Q320,1),"")</f>
        <v/>
      </c>
      <c r="Q320" s="3" t="s">
        <v>23</v>
      </c>
      <c r="R320" s="3" t="str">
        <f>IFERROR(MID(VLOOKUP($B320,Seqs!$A:$B,2,0),S320,1),"")</f>
        <v/>
      </c>
      <c r="S320" s="3" t="s">
        <v>23</v>
      </c>
      <c r="T320" s="3" t="str">
        <f>IFERROR(MID(VLOOKUP($B320,Seqs!$A:$B,2,0),U320,1),"")</f>
        <v>V</v>
      </c>
      <c r="U320" s="3">
        <v>185</v>
      </c>
      <c r="V320" s="3" t="str">
        <f>IFERROR(MID(VLOOKUP($B320,Seqs!$A:$B,2,0),W320,1),"")</f>
        <v>L</v>
      </c>
      <c r="W320" s="3">
        <v>219</v>
      </c>
      <c r="X320" s="3" t="str">
        <f>IFERROR(MID(VLOOKUP($B320,Seqs!$A:$B,2,0),Y320,1),"")</f>
        <v/>
      </c>
      <c r="Y320" s="3" t="s">
        <v>23</v>
      </c>
      <c r="Z320" s="3" t="str">
        <f>IFERROR(MID(VLOOKUP($B320,Seqs!$A:$B,2,0),AA320,1),"")</f>
        <v/>
      </c>
      <c r="AA320" s="3" t="s">
        <v>23</v>
      </c>
      <c r="AB320" s="3" t="str">
        <f>IFERROR(MID(VLOOKUP($B320,Seqs!$A:$B,2,0),AC320,1),"")</f>
        <v>L</v>
      </c>
      <c r="AC320" s="9">
        <v>226</v>
      </c>
      <c r="AD320" s="3" t="str">
        <f>IFERROR(MID(VLOOKUP($B320,Seqs!$A:$B,2,0),AE320,1),"")</f>
        <v>D</v>
      </c>
      <c r="AE320" s="3">
        <v>254</v>
      </c>
      <c r="AF320" s="3" t="str">
        <f>IFERROR(MID(VLOOKUP($B320,Seqs!$A:$B,2,0),AG320,1),"")</f>
        <v>C</v>
      </c>
      <c r="AG320" s="3">
        <v>258</v>
      </c>
      <c r="AH320" s="3" t="str">
        <f>IFERROR(MID(VLOOKUP($B320,Seqs!$A:$B,2,0),AI320,1),"")</f>
        <v>F</v>
      </c>
      <c r="AI320" s="3">
        <v>260</v>
      </c>
      <c r="AJ320" s="3" t="str">
        <f>IFERROR(MID(VLOOKUP($B320,Seqs!$A:$B,2,0),AK320,1),"")</f>
        <v>T</v>
      </c>
      <c r="AK320" s="3">
        <v>268</v>
      </c>
      <c r="AL320" s="3" t="str">
        <f>IFERROR(MID(VLOOKUP($B320,Seqs!$A:$B,2,0),AM320,1),"")</f>
        <v>L</v>
      </c>
      <c r="AM320" s="3">
        <v>298</v>
      </c>
      <c r="AN320" s="3" t="str">
        <f>IFERROR(MID(VLOOKUP($B320,Seqs!$A:$B,2,0),AO320,1),"")</f>
        <v>S</v>
      </c>
      <c r="AO320" s="3">
        <v>304</v>
      </c>
      <c r="AP320" s="3" t="str">
        <f>IFERROR(MID(VLOOKUP($B320,Seqs!$A:$B,2,0),AQ320,1),"")</f>
        <v>V</v>
      </c>
      <c r="AQ320" s="3">
        <v>332</v>
      </c>
      <c r="AR320" s="3" t="str">
        <f>IFERROR(MID(VLOOKUP($B320,Seqs!$A:$B,2,0),AS320,1),"")</f>
        <v>V</v>
      </c>
      <c r="AS320" s="3">
        <v>339</v>
      </c>
      <c r="AT320" s="3" t="str">
        <f>IFERROR(MID(VLOOKUP($B320,Seqs!$A:$B,2,0),AU320,1),"")</f>
        <v>L</v>
      </c>
      <c r="AU320" s="3">
        <v>366</v>
      </c>
      <c r="AV320" s="3" t="str">
        <f>IFERROR(MID(VLOOKUP($B320,Seqs!$A:$B,2,0),AW320,1),"")</f>
        <v>N</v>
      </c>
      <c r="AW320" s="3">
        <v>367</v>
      </c>
      <c r="AX320" s="3" t="str">
        <f>IFERROR(MID(VLOOKUP($B320,Seqs!$A:$B,2,0),AY320,1),"")</f>
        <v>A</v>
      </c>
      <c r="AY320" s="3">
        <v>392</v>
      </c>
      <c r="AZ320" s="77" t="str">
        <f>VLOOKUP(B320,Classification!A:D,2,0)</f>
        <v>B1</v>
      </c>
      <c r="BA320" s="94" t="str">
        <f>VLOOKUP(B320,Classification!A:D,4,0)</f>
        <v>Corticotropin-releasingfact</v>
      </c>
      <c r="BB320" s="27" t="b">
        <f t="shared" si="1453"/>
        <v>1</v>
      </c>
      <c r="BC320" s="23">
        <f t="shared" ref="BC320:BC363" si="1872">_xlfn.AGGREGATE(9,6,CH320:CS320)-_xlfn.AGGREGATE(9,6,BV320:CG320)+12</f>
        <v>256</v>
      </c>
      <c r="BD320" s="56" t="s">
        <v>23</v>
      </c>
      <c r="BE320" s="3" t="s">
        <v>23</v>
      </c>
      <c r="BF320" s="119" t="s">
        <v>23</v>
      </c>
      <c r="BG320" s="49" t="s">
        <v>1373</v>
      </c>
      <c r="BH320" s="49" t="s">
        <v>1378</v>
      </c>
      <c r="BI320" s="1"/>
      <c r="BJ320" s="70" t="s">
        <v>1288</v>
      </c>
      <c r="BK320" s="57" t="s">
        <v>1288</v>
      </c>
      <c r="BL320" s="57" t="s">
        <v>1288</v>
      </c>
      <c r="BM320" s="57" t="s">
        <v>1288</v>
      </c>
      <c r="BN320" s="57" t="s">
        <v>1288</v>
      </c>
      <c r="BO320" s="57" t="s">
        <v>1288</v>
      </c>
      <c r="BP320" s="57" t="s">
        <v>1288</v>
      </c>
      <c r="BQ320" s="57" t="s">
        <v>1288</v>
      </c>
      <c r="BR320" s="57" t="s">
        <v>1288</v>
      </c>
      <c r="BS320" s="57" t="s">
        <v>1288</v>
      </c>
      <c r="BT320" s="57" t="s">
        <v>1288</v>
      </c>
      <c r="BU320" s="57" t="s">
        <v>1288</v>
      </c>
      <c r="BV320" s="70">
        <f t="shared" ref="BV320:BV363" si="1873">E320</f>
        <v>103</v>
      </c>
      <c r="BW320" s="71">
        <f t="shared" ref="BW320:BW363" si="1874">I320</f>
        <v>145</v>
      </c>
      <c r="BX320" s="72">
        <f t="shared" ref="BX320:BX363" si="1875">M320</f>
        <v>149</v>
      </c>
      <c r="BY320" s="71" t="str">
        <f t="shared" ref="BY320:BY363" si="1876">Q320</f>
        <v>-</v>
      </c>
      <c r="BZ320" s="72">
        <f t="shared" ref="BZ320:BZ363" si="1877">U320</f>
        <v>185</v>
      </c>
      <c r="CA320" s="71" t="str">
        <f t="shared" ref="CA320:CA363" si="1878">Y320</f>
        <v>-</v>
      </c>
      <c r="CB320" s="72">
        <f t="shared" ref="CB320:CB363" si="1879">AC320</f>
        <v>226</v>
      </c>
      <c r="CC320" s="71">
        <f t="shared" ref="CC320:CC363" si="1880">AG320</f>
        <v>258</v>
      </c>
      <c r="CD320" s="72">
        <f t="shared" ref="CD320:CD363" si="1881">AK320</f>
        <v>268</v>
      </c>
      <c r="CE320" s="71">
        <f t="shared" ref="CE320:CE363" si="1882">AO320</f>
        <v>304</v>
      </c>
      <c r="CF320" s="72">
        <f t="shared" ref="CF320:CF363" si="1883">AS320</f>
        <v>339</v>
      </c>
      <c r="CG320" s="71">
        <f t="shared" ref="CG320:CG363" si="1884">AW320</f>
        <v>367</v>
      </c>
      <c r="CH320" s="70">
        <f t="shared" ref="CH320:CH363" si="1885">G320</f>
        <v>144</v>
      </c>
      <c r="CI320" s="71">
        <f t="shared" ref="CI320:CI363" si="1886">K320</f>
        <v>148</v>
      </c>
      <c r="CJ320" s="72">
        <f t="shared" ref="CJ320:CJ363" si="1887">O320</f>
        <v>175</v>
      </c>
      <c r="CK320" s="72" t="str">
        <f t="shared" ref="CK320:CK363" si="1888">S320</f>
        <v>-</v>
      </c>
      <c r="CL320" s="72">
        <f t="shared" ref="CL320:CL363" si="1889">W320</f>
        <v>219</v>
      </c>
      <c r="CM320" s="72" t="str">
        <f t="shared" ref="CM320:CM363" si="1890">AA320</f>
        <v>-</v>
      </c>
      <c r="CN320" s="72">
        <f t="shared" ref="CN320:CN363" si="1891">AE320</f>
        <v>254</v>
      </c>
      <c r="CO320" s="72">
        <f t="shared" ref="CO320:CO363" si="1892">AI320</f>
        <v>260</v>
      </c>
      <c r="CP320" s="72">
        <f t="shared" ref="CP320:CP363" si="1893">AM320</f>
        <v>298</v>
      </c>
      <c r="CQ320" s="72">
        <f t="shared" ref="CQ320:CQ363" si="1894">AQ320</f>
        <v>332</v>
      </c>
      <c r="CR320" s="72">
        <f t="shared" ref="CR320:CR363" si="1895">AU320</f>
        <v>366</v>
      </c>
      <c r="CS320" s="72">
        <f t="shared" ref="CS320:CS363" si="1896">AY320</f>
        <v>392</v>
      </c>
      <c r="CT320" s="23">
        <f t="shared" ref="CT320:CT363" si="1897">M320-K320</f>
        <v>1</v>
      </c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  <c r="ALN320" s="1"/>
      <c r="ALO320" s="1"/>
      <c r="ALP320" s="1"/>
      <c r="ALQ320" s="1"/>
      <c r="ALR320" s="1"/>
      <c r="ALS320" s="1"/>
      <c r="ALT320" s="1"/>
      <c r="ALU320" s="1"/>
      <c r="ALV320" s="1"/>
      <c r="ALW320" s="1"/>
      <c r="ALX320" s="1"/>
      <c r="ALY320" s="1"/>
      <c r="ALZ320" s="1"/>
      <c r="AMA320" s="1"/>
      <c r="AMB320" s="1"/>
      <c r="AMC320" s="1"/>
      <c r="AMD320" s="1"/>
      <c r="AME320" s="1"/>
      <c r="AMF320" s="1"/>
      <c r="AMG320" s="1"/>
      <c r="AMH320" s="1"/>
      <c r="AMI320" s="1"/>
      <c r="AMJ320" s="1"/>
      <c r="AMK320" s="1"/>
      <c r="AML320" s="1"/>
      <c r="AMM320" s="1"/>
      <c r="AMN320" s="1"/>
      <c r="AMO320" s="1"/>
    </row>
    <row r="321" spans="1:1029" x14ac:dyDescent="0.2">
      <c r="A321" s="3" t="str">
        <f t="shared" si="1452"/>
        <v>crfr1_human_4K5Y</v>
      </c>
      <c r="B321" s="3" t="s">
        <v>38</v>
      </c>
      <c r="C321" s="3" t="s">
        <v>95</v>
      </c>
      <c r="D321" s="3" t="str">
        <f>IFERROR(MID(VLOOKUP($B321,Seqs!$A:$B,2,0),E321,1),"")</f>
        <v>H</v>
      </c>
      <c r="E321" s="3">
        <v>117</v>
      </c>
      <c r="F321" s="3" t="str">
        <f>IFERROR(MID(VLOOKUP($B321,Seqs!$A:$B,2,0),G321,1),"")</f>
        <v>L</v>
      </c>
      <c r="G321" s="3">
        <v>144</v>
      </c>
      <c r="H321" s="3" t="str">
        <f>IFERROR(MID(VLOOKUP($B321,Seqs!$A:$B,2,0),I321,1),"")</f>
        <v>R</v>
      </c>
      <c r="I321" s="23">
        <v>145</v>
      </c>
      <c r="J321" s="3" t="str">
        <f>IFERROR(MID(VLOOKUP($B321,Seqs!$A:$B,2,0),K321,1),"")</f>
        <v>R</v>
      </c>
      <c r="K321" s="23">
        <v>148</v>
      </c>
      <c r="L321" s="3" t="str">
        <f>IFERROR(MID(VLOOKUP($B321,Seqs!$A:$B,2,0),M321,1),"")</f>
        <v>C</v>
      </c>
      <c r="M321" s="23">
        <v>149</v>
      </c>
      <c r="N321" s="3" t="str">
        <f>IFERROR(MID(VLOOKUP($B321,Seqs!$A:$B,2,0),O321,1),"")</f>
        <v>T</v>
      </c>
      <c r="O321" s="3">
        <v>175</v>
      </c>
      <c r="P321" s="3" t="str">
        <f>IFERROR(MID(VLOOKUP($B321,Seqs!$A:$B,2,0),Q321,1),"")</f>
        <v/>
      </c>
      <c r="Q321" s="3" t="s">
        <v>23</v>
      </c>
      <c r="R321" s="3" t="str">
        <f>IFERROR(MID(VLOOKUP($B321,Seqs!$A:$B,2,0),S321,1),"")</f>
        <v/>
      </c>
      <c r="S321" s="3" t="s">
        <v>23</v>
      </c>
      <c r="T321" s="3" t="str">
        <f>IFERROR(MID(VLOOKUP($B321,Seqs!$A:$B,2,0),U321,1),"")</f>
        <v>V</v>
      </c>
      <c r="U321" s="3">
        <v>185</v>
      </c>
      <c r="V321" s="3" t="str">
        <f>IFERROR(MID(VLOOKUP($B321,Seqs!$A:$B,2,0),W321,1),"")</f>
        <v>L</v>
      </c>
      <c r="W321" s="3">
        <v>219</v>
      </c>
      <c r="X321" s="3" t="str">
        <f>IFERROR(MID(VLOOKUP($B321,Seqs!$A:$B,2,0),Y321,1),"")</f>
        <v/>
      </c>
      <c r="Y321" s="3" t="s">
        <v>23</v>
      </c>
      <c r="Z321" s="3" t="str">
        <f>IFERROR(MID(VLOOKUP($B321,Seqs!$A:$B,2,0),AA321,1),"")</f>
        <v/>
      </c>
      <c r="AA321" s="3" t="s">
        <v>23</v>
      </c>
      <c r="AB321" s="3" t="str">
        <f>IFERROR(MID(VLOOKUP($B321,Seqs!$A:$B,2,0),AC321,1),"")</f>
        <v>L</v>
      </c>
      <c r="AC321" s="9">
        <v>226</v>
      </c>
      <c r="AD321" s="3" t="str">
        <f>IFERROR(MID(VLOOKUP($B321,Seqs!$A:$B,2,0),AE321,1),"")</f>
        <v>D</v>
      </c>
      <c r="AE321" s="3">
        <v>254</v>
      </c>
      <c r="AF321" s="3" t="str">
        <f>IFERROR(MID(VLOOKUP($B321,Seqs!$A:$B,2,0),AG321,1),"")</f>
        <v>C</v>
      </c>
      <c r="AG321" s="3">
        <v>258</v>
      </c>
      <c r="AH321" s="3" t="str">
        <f>IFERROR(MID(VLOOKUP($B321,Seqs!$A:$B,2,0),AI321,1),"")</f>
        <v>F</v>
      </c>
      <c r="AI321" s="3">
        <v>260</v>
      </c>
      <c r="AJ321" s="3" t="str">
        <f>IFERROR(MID(VLOOKUP($B321,Seqs!$A:$B,2,0),AK321,1),"")</f>
        <v>T</v>
      </c>
      <c r="AK321" s="3">
        <v>268</v>
      </c>
      <c r="AL321" s="3" t="str">
        <f>IFERROR(MID(VLOOKUP($B321,Seqs!$A:$B,2,0),AM321,1),"")</f>
        <v>L</v>
      </c>
      <c r="AM321" s="3">
        <v>298</v>
      </c>
      <c r="AN321" s="3" t="str">
        <f>IFERROR(MID(VLOOKUP($B321,Seqs!$A:$B,2,0),AO321,1),"")</f>
        <v>S</v>
      </c>
      <c r="AO321" s="3">
        <v>304</v>
      </c>
      <c r="AP321" s="3" t="str">
        <f>IFERROR(MID(VLOOKUP($B321,Seqs!$A:$B,2,0),AQ321,1),"")</f>
        <v>V</v>
      </c>
      <c r="AQ321" s="3">
        <v>332</v>
      </c>
      <c r="AR321" s="3" t="str">
        <f>IFERROR(MID(VLOOKUP($B321,Seqs!$A:$B,2,0),AS321,1),"")</f>
        <v>V</v>
      </c>
      <c r="AS321" s="3">
        <v>339</v>
      </c>
      <c r="AT321" s="3" t="str">
        <f>IFERROR(MID(VLOOKUP($B321,Seqs!$A:$B,2,0),AU321,1),"")</f>
        <v>F</v>
      </c>
      <c r="AU321" s="3">
        <v>362</v>
      </c>
      <c r="AV321" s="3" t="str">
        <f>IFERROR(MID(VLOOKUP($B321,Seqs!$A:$B,2,0),AW321,1),"")</f>
        <v/>
      </c>
      <c r="AW321" s="3" t="s">
        <v>23</v>
      </c>
      <c r="AX321" s="3" t="str">
        <f>IFERROR(MID(VLOOKUP($B321,Seqs!$A:$B,2,0),AY321,1),"")</f>
        <v/>
      </c>
      <c r="AY321" s="3" t="s">
        <v>23</v>
      </c>
      <c r="AZ321" s="77" t="str">
        <f>VLOOKUP(B321,Classification!A:D,2,0)</f>
        <v>B1</v>
      </c>
      <c r="BA321" s="94" t="str">
        <f>VLOOKUP(B321,Classification!A:D,4,0)</f>
        <v>Corticotropin-releasingfact</v>
      </c>
      <c r="BB321" s="27" t="b">
        <f t="shared" si="1453"/>
        <v>1</v>
      </c>
      <c r="BC321" s="23">
        <f t="shared" si="1872"/>
        <v>213</v>
      </c>
      <c r="BD321" s="4" t="s">
        <v>23</v>
      </c>
      <c r="BE321" s="3" t="s">
        <v>1375</v>
      </c>
      <c r="BF321" s="119">
        <v>2.98</v>
      </c>
      <c r="BG321" s="49" t="s">
        <v>1378</v>
      </c>
      <c r="BH321" s="49" t="s">
        <v>1378</v>
      </c>
      <c r="BI321" s="1"/>
      <c r="BJ321" s="70" t="s">
        <v>1288</v>
      </c>
      <c r="BK321" s="57" t="s">
        <v>1288</v>
      </c>
      <c r="BL321" s="57" t="s">
        <v>1288</v>
      </c>
      <c r="BM321" s="57" t="s">
        <v>1288</v>
      </c>
      <c r="BN321" s="57" t="s">
        <v>1288</v>
      </c>
      <c r="BO321" s="57" t="s">
        <v>1288</v>
      </c>
      <c r="BP321" s="57" t="s">
        <v>1288</v>
      </c>
      <c r="BQ321" s="57" t="s">
        <v>1288</v>
      </c>
      <c r="BR321" s="57" t="s">
        <v>1288</v>
      </c>
      <c r="BS321" s="57" t="s">
        <v>1288</v>
      </c>
      <c r="BT321" s="57" t="s">
        <v>1288</v>
      </c>
      <c r="BU321" s="57" t="s">
        <v>1288</v>
      </c>
      <c r="BV321" s="70">
        <f t="shared" si="1873"/>
        <v>117</v>
      </c>
      <c r="BW321" s="71">
        <f t="shared" si="1874"/>
        <v>145</v>
      </c>
      <c r="BX321" s="72">
        <f t="shared" si="1875"/>
        <v>149</v>
      </c>
      <c r="BY321" s="71" t="str">
        <f t="shared" si="1876"/>
        <v>-</v>
      </c>
      <c r="BZ321" s="72">
        <f t="shared" si="1877"/>
        <v>185</v>
      </c>
      <c r="CA321" s="71" t="str">
        <f t="shared" si="1878"/>
        <v>-</v>
      </c>
      <c r="CB321" s="72">
        <f t="shared" si="1879"/>
        <v>226</v>
      </c>
      <c r="CC321" s="71">
        <f t="shared" si="1880"/>
        <v>258</v>
      </c>
      <c r="CD321" s="72">
        <f t="shared" si="1881"/>
        <v>268</v>
      </c>
      <c r="CE321" s="71">
        <f t="shared" si="1882"/>
        <v>304</v>
      </c>
      <c r="CF321" s="72">
        <f t="shared" si="1883"/>
        <v>339</v>
      </c>
      <c r="CG321" s="71" t="str">
        <f t="shared" si="1884"/>
        <v>-</v>
      </c>
      <c r="CH321" s="70">
        <f t="shared" si="1885"/>
        <v>144</v>
      </c>
      <c r="CI321" s="71">
        <f t="shared" si="1886"/>
        <v>148</v>
      </c>
      <c r="CJ321" s="72">
        <f t="shared" si="1887"/>
        <v>175</v>
      </c>
      <c r="CK321" s="72" t="str">
        <f t="shared" si="1888"/>
        <v>-</v>
      </c>
      <c r="CL321" s="72">
        <f t="shared" si="1889"/>
        <v>219</v>
      </c>
      <c r="CM321" s="72" t="str">
        <f t="shared" si="1890"/>
        <v>-</v>
      </c>
      <c r="CN321" s="72">
        <f t="shared" si="1891"/>
        <v>254</v>
      </c>
      <c r="CO321" s="72">
        <f t="shared" si="1892"/>
        <v>260</v>
      </c>
      <c r="CP321" s="72">
        <f t="shared" si="1893"/>
        <v>298</v>
      </c>
      <c r="CQ321" s="72">
        <f t="shared" si="1894"/>
        <v>332</v>
      </c>
      <c r="CR321" s="72">
        <f t="shared" si="1895"/>
        <v>362</v>
      </c>
      <c r="CS321" s="72" t="str">
        <f t="shared" si="1896"/>
        <v>-</v>
      </c>
      <c r="CT321" s="23">
        <f t="shared" si="1897"/>
        <v>1</v>
      </c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  <c r="ALO321" s="1"/>
      <c r="ALP321" s="1"/>
      <c r="ALQ321" s="1"/>
      <c r="ALR321" s="1"/>
      <c r="ALS321" s="1"/>
      <c r="ALT321" s="1"/>
      <c r="ALU321" s="1"/>
      <c r="ALV321" s="1"/>
      <c r="ALW321" s="1"/>
      <c r="ALX321" s="1"/>
      <c r="ALY321" s="1"/>
      <c r="ALZ321" s="1"/>
      <c r="AMA321" s="1"/>
      <c r="AMB321" s="1"/>
      <c r="AMC321" s="1"/>
      <c r="AMD321" s="1"/>
      <c r="AME321" s="1"/>
      <c r="AMF321" s="1"/>
      <c r="AMG321" s="1"/>
      <c r="AMH321" s="1"/>
      <c r="AMI321" s="1"/>
      <c r="AMJ321" s="1"/>
      <c r="AMK321" s="1"/>
      <c r="AML321" s="1"/>
      <c r="AMM321" s="1"/>
      <c r="AMN321" s="1"/>
      <c r="AMO321" s="1"/>
    </row>
    <row r="322" spans="1:1029" x14ac:dyDescent="0.2">
      <c r="A322" s="3" t="str">
        <f t="shared" si="1452"/>
        <v>crfr1_human_4K5Y_dist</v>
      </c>
      <c r="B322" s="3" t="s">
        <v>38</v>
      </c>
      <c r="C322" s="3" t="s">
        <v>1161</v>
      </c>
      <c r="D322" s="3" t="str">
        <f>IFERROR(MID(VLOOKUP($B322,Seqs!$A:$B,2,0),E322,1),"")</f>
        <v>H</v>
      </c>
      <c r="E322" s="3">
        <v>117</v>
      </c>
      <c r="F322" s="3" t="str">
        <f>IFERROR(MID(VLOOKUP($B322,Seqs!$A:$B,2,0),G322,1),"")</f>
        <v>L</v>
      </c>
      <c r="G322" s="3">
        <v>144</v>
      </c>
      <c r="H322" s="3" t="str">
        <f>IFERROR(MID(VLOOKUP($B322,Seqs!$A:$B,2,0),I322,1),"")</f>
        <v>R</v>
      </c>
      <c r="I322" s="23">
        <v>145</v>
      </c>
      <c r="J322" s="3" t="str">
        <f>IFERROR(MID(VLOOKUP($B322,Seqs!$A:$B,2,0),K322,1),"")</f>
        <v>R</v>
      </c>
      <c r="K322" s="23">
        <v>148</v>
      </c>
      <c r="L322" s="3" t="str">
        <f>IFERROR(MID(VLOOKUP($B322,Seqs!$A:$B,2,0),M322,1),"")</f>
        <v>C</v>
      </c>
      <c r="M322" s="23">
        <v>149</v>
      </c>
      <c r="N322" s="3" t="str">
        <f>IFERROR(MID(VLOOKUP($B322,Seqs!$A:$B,2,0),O322,1),"")</f>
        <v>T</v>
      </c>
      <c r="O322" s="3">
        <v>175</v>
      </c>
      <c r="P322" s="3" t="str">
        <f>IFERROR(MID(VLOOKUP($B322,Seqs!$A:$B,2,0),Q322,1),"")</f>
        <v/>
      </c>
      <c r="Q322" s="3" t="s">
        <v>23</v>
      </c>
      <c r="R322" s="3" t="str">
        <f>IFERROR(MID(VLOOKUP($B322,Seqs!$A:$B,2,0),S322,1),"")</f>
        <v/>
      </c>
      <c r="S322" s="3" t="s">
        <v>23</v>
      </c>
      <c r="T322" s="3" t="str">
        <f>IFERROR(MID(VLOOKUP($B322,Seqs!$A:$B,2,0),U322,1),"")</f>
        <v>V</v>
      </c>
      <c r="U322" s="3">
        <v>185</v>
      </c>
      <c r="V322" s="3" t="str">
        <f>IFERROR(MID(VLOOKUP($B322,Seqs!$A:$B,2,0),W322,1),"")</f>
        <v>L</v>
      </c>
      <c r="W322" s="3">
        <v>219</v>
      </c>
      <c r="X322" s="3" t="str">
        <f>IFERROR(MID(VLOOKUP($B322,Seqs!$A:$B,2,0),Y322,1),"")</f>
        <v/>
      </c>
      <c r="Y322" s="3" t="s">
        <v>23</v>
      </c>
      <c r="Z322" s="3" t="str">
        <f>IFERROR(MID(VLOOKUP($B322,Seqs!$A:$B,2,0),AA322,1),"")</f>
        <v/>
      </c>
      <c r="AA322" s="3" t="s">
        <v>23</v>
      </c>
      <c r="AB322" s="3" t="str">
        <f>IFERROR(MID(VLOOKUP($B322,Seqs!$A:$B,2,0),AC322,1),"")</f>
        <v>L</v>
      </c>
      <c r="AC322" s="9">
        <v>226</v>
      </c>
      <c r="AD322" s="3" t="str">
        <f>IFERROR(MID(VLOOKUP($B322,Seqs!$A:$B,2,0),AE322,1),"")</f>
        <v>D</v>
      </c>
      <c r="AE322" s="3">
        <v>254</v>
      </c>
      <c r="AF322" s="3" t="str">
        <f>IFERROR(MID(VLOOKUP($B322,Seqs!$A:$B,2,0),AG322,1),"")</f>
        <v>C</v>
      </c>
      <c r="AG322" s="3">
        <v>258</v>
      </c>
      <c r="AH322" s="3" t="str">
        <f>IFERROR(MID(VLOOKUP($B322,Seqs!$A:$B,2,0),AI322,1),"")</f>
        <v>F</v>
      </c>
      <c r="AI322" s="3">
        <v>260</v>
      </c>
      <c r="AJ322" s="3" t="str">
        <f>IFERROR(MID(VLOOKUP($B322,Seqs!$A:$B,2,0),AK322,1),"")</f>
        <v>T</v>
      </c>
      <c r="AK322" s="3">
        <v>268</v>
      </c>
      <c r="AL322" s="3" t="str">
        <f>IFERROR(MID(VLOOKUP($B322,Seqs!$A:$B,2,0),AM322,1),"")</f>
        <v>L</v>
      </c>
      <c r="AM322" s="3">
        <v>298</v>
      </c>
      <c r="AN322" s="3" t="str">
        <f>IFERROR(MID(VLOOKUP($B322,Seqs!$A:$B,2,0),AO322,1),"")</f>
        <v>S</v>
      </c>
      <c r="AO322" s="3">
        <v>304</v>
      </c>
      <c r="AP322" s="3" t="str">
        <f>IFERROR(MID(VLOOKUP($B322,Seqs!$A:$B,2,0),AQ322,1),"")</f>
        <v>V</v>
      </c>
      <c r="AQ322" s="3">
        <v>332</v>
      </c>
      <c r="AR322" s="3" t="str">
        <f>IFERROR(MID(VLOOKUP($B322,Seqs!$A:$B,2,0),AS322,1),"")</f>
        <v>V</v>
      </c>
      <c r="AS322" s="3">
        <v>339</v>
      </c>
      <c r="AT322" s="3" t="str">
        <f>IFERROR(MID(VLOOKUP($B322,Seqs!$A:$B,2,0),AU322,1),"")</f>
        <v>L</v>
      </c>
      <c r="AU322" s="3">
        <v>366</v>
      </c>
      <c r="AV322" s="3" t="str">
        <f>IFERROR(MID(VLOOKUP($B322,Seqs!$A:$B,2,0),AW322,1),"")</f>
        <v/>
      </c>
      <c r="AW322" s="3" t="s">
        <v>23</v>
      </c>
      <c r="AX322" s="3" t="str">
        <f>IFERROR(MID(VLOOKUP($B322,Seqs!$A:$B,2,0),AY322,1),"")</f>
        <v/>
      </c>
      <c r="AY322" s="3" t="s">
        <v>23</v>
      </c>
      <c r="AZ322" s="77" t="str">
        <f>VLOOKUP(B322,Classification!A:D,2,0)</f>
        <v>B1</v>
      </c>
      <c r="BA322" s="94" t="str">
        <f>VLOOKUP(B322,Classification!A:D,4,0)</f>
        <v>Corticotropin-releasingfact</v>
      </c>
      <c r="BB322" s="27" t="b">
        <f t="shared" si="1453"/>
        <v>1</v>
      </c>
      <c r="BC322" s="23">
        <f t="shared" si="1872"/>
        <v>217</v>
      </c>
      <c r="BD322" s="56" t="s">
        <v>23</v>
      </c>
      <c r="BE322" s="3" t="s">
        <v>1375</v>
      </c>
      <c r="BF322" s="119">
        <v>2.98</v>
      </c>
      <c r="BG322" s="49" t="s">
        <v>1378</v>
      </c>
      <c r="BH322" s="49" t="s">
        <v>1378</v>
      </c>
      <c r="BI322" s="3" t="s">
        <v>1163</v>
      </c>
      <c r="BJ322" s="70" t="s">
        <v>1288</v>
      </c>
      <c r="BK322" s="57" t="s">
        <v>1288</v>
      </c>
      <c r="BL322" s="57" t="s">
        <v>1288</v>
      </c>
      <c r="BM322" s="57" t="s">
        <v>1288</v>
      </c>
      <c r="BN322" s="57" t="s">
        <v>1288</v>
      </c>
      <c r="BO322" s="57" t="s">
        <v>1288</v>
      </c>
      <c r="BP322" s="57" t="s">
        <v>1288</v>
      </c>
      <c r="BQ322" s="57" t="s">
        <v>1288</v>
      </c>
      <c r="BR322" s="57" t="s">
        <v>1288</v>
      </c>
      <c r="BS322" s="57" t="s">
        <v>1288</v>
      </c>
      <c r="BT322" s="57" t="s">
        <v>1288</v>
      </c>
      <c r="BU322" s="57" t="s">
        <v>1288</v>
      </c>
      <c r="BV322" s="70">
        <f t="shared" si="1873"/>
        <v>117</v>
      </c>
      <c r="BW322" s="71">
        <f t="shared" si="1874"/>
        <v>145</v>
      </c>
      <c r="BX322" s="72">
        <f t="shared" si="1875"/>
        <v>149</v>
      </c>
      <c r="BY322" s="71" t="str">
        <f t="shared" si="1876"/>
        <v>-</v>
      </c>
      <c r="BZ322" s="72">
        <f t="shared" si="1877"/>
        <v>185</v>
      </c>
      <c r="CA322" s="71" t="str">
        <f t="shared" si="1878"/>
        <v>-</v>
      </c>
      <c r="CB322" s="72">
        <f t="shared" si="1879"/>
        <v>226</v>
      </c>
      <c r="CC322" s="71">
        <f t="shared" si="1880"/>
        <v>258</v>
      </c>
      <c r="CD322" s="72">
        <f t="shared" si="1881"/>
        <v>268</v>
      </c>
      <c r="CE322" s="71">
        <f t="shared" si="1882"/>
        <v>304</v>
      </c>
      <c r="CF322" s="72">
        <f t="shared" si="1883"/>
        <v>339</v>
      </c>
      <c r="CG322" s="71" t="str">
        <f t="shared" si="1884"/>
        <v>-</v>
      </c>
      <c r="CH322" s="70">
        <f t="shared" si="1885"/>
        <v>144</v>
      </c>
      <c r="CI322" s="71">
        <f t="shared" si="1886"/>
        <v>148</v>
      </c>
      <c r="CJ322" s="72">
        <f t="shared" si="1887"/>
        <v>175</v>
      </c>
      <c r="CK322" s="72" t="str">
        <f t="shared" si="1888"/>
        <v>-</v>
      </c>
      <c r="CL322" s="72">
        <f t="shared" si="1889"/>
        <v>219</v>
      </c>
      <c r="CM322" s="72" t="str">
        <f t="shared" si="1890"/>
        <v>-</v>
      </c>
      <c r="CN322" s="72">
        <f t="shared" si="1891"/>
        <v>254</v>
      </c>
      <c r="CO322" s="72">
        <f t="shared" si="1892"/>
        <v>260</v>
      </c>
      <c r="CP322" s="72">
        <f t="shared" si="1893"/>
        <v>298</v>
      </c>
      <c r="CQ322" s="72">
        <f t="shared" si="1894"/>
        <v>332</v>
      </c>
      <c r="CR322" s="72">
        <f t="shared" si="1895"/>
        <v>366</v>
      </c>
      <c r="CS322" s="72" t="str">
        <f t="shared" si="1896"/>
        <v>-</v>
      </c>
      <c r="CT322" s="23">
        <f t="shared" si="1897"/>
        <v>1</v>
      </c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  <c r="AMK322" s="1"/>
      <c r="AML322" s="1"/>
      <c r="AMM322" s="1"/>
      <c r="AMN322" s="1"/>
      <c r="AMO322" s="1"/>
    </row>
    <row r="323" spans="1:1029" x14ac:dyDescent="0.2">
      <c r="A323" s="3" t="str">
        <f t="shared" si="1452"/>
        <v>crfr1_human_4Z9G</v>
      </c>
      <c r="B323" s="3" t="s">
        <v>38</v>
      </c>
      <c r="C323" s="3" t="s">
        <v>1060</v>
      </c>
      <c r="D323" s="3" t="str">
        <f>IFERROR(MID(VLOOKUP($B323,Seqs!$A:$B,2,0),E323,1),"")</f>
        <v>S</v>
      </c>
      <c r="E323" s="3">
        <v>112</v>
      </c>
      <c r="F323" s="3" t="str">
        <f>IFERROR(MID(VLOOKUP($B323,Seqs!$A:$B,2,0),G323,1),"")</f>
        <v>L</v>
      </c>
      <c r="G323" s="3">
        <v>144</v>
      </c>
      <c r="H323" s="3" t="str">
        <f>IFERROR(MID(VLOOKUP($B323,Seqs!$A:$B,2,0),I323,1),"")</f>
        <v>R</v>
      </c>
      <c r="I323" s="23">
        <v>145</v>
      </c>
      <c r="J323" s="3" t="str">
        <f>IFERROR(MID(VLOOKUP($B323,Seqs!$A:$B,2,0),K323,1),"")</f>
        <v>R</v>
      </c>
      <c r="K323" s="23">
        <v>148</v>
      </c>
      <c r="L323" s="3" t="str">
        <f>IFERROR(MID(VLOOKUP($B323,Seqs!$A:$B,2,0),M323,1),"")</f>
        <v>C</v>
      </c>
      <c r="M323" s="23">
        <v>149</v>
      </c>
      <c r="N323" s="3" t="str">
        <f>IFERROR(MID(VLOOKUP($B323,Seqs!$A:$B,2,0),O323,1),"")</f>
        <v>T</v>
      </c>
      <c r="O323" s="3">
        <v>175</v>
      </c>
      <c r="P323" s="3" t="str">
        <f>IFERROR(MID(VLOOKUP($B323,Seqs!$A:$B,2,0),Q323,1),"")</f>
        <v/>
      </c>
      <c r="Q323" s="3" t="s">
        <v>23</v>
      </c>
      <c r="R323" s="3" t="str">
        <f>IFERROR(MID(VLOOKUP($B323,Seqs!$A:$B,2,0),S323,1),"")</f>
        <v/>
      </c>
      <c r="S323" s="3" t="s">
        <v>23</v>
      </c>
      <c r="T323" s="3" t="str">
        <f>IFERROR(MID(VLOOKUP($B323,Seqs!$A:$B,2,0),U323,1),"")</f>
        <v>V</v>
      </c>
      <c r="U323" s="3">
        <v>185</v>
      </c>
      <c r="V323" s="3" t="str">
        <f>IFERROR(MID(VLOOKUP($B323,Seqs!$A:$B,2,0),W323,1),"")</f>
        <v>L</v>
      </c>
      <c r="W323" s="3">
        <v>219</v>
      </c>
      <c r="X323" s="3" t="str">
        <f>IFERROR(MID(VLOOKUP($B323,Seqs!$A:$B,2,0),Y323,1),"")</f>
        <v/>
      </c>
      <c r="Y323" s="3" t="s">
        <v>23</v>
      </c>
      <c r="Z323" s="3" t="str">
        <f>IFERROR(MID(VLOOKUP($B323,Seqs!$A:$B,2,0),AA323,1),"")</f>
        <v/>
      </c>
      <c r="AA323" s="3" t="s">
        <v>23</v>
      </c>
      <c r="AB323" s="3" t="str">
        <f>IFERROR(MID(VLOOKUP($B323,Seqs!$A:$B,2,0),AC323,1),"")</f>
        <v>L</v>
      </c>
      <c r="AC323" s="9">
        <v>226</v>
      </c>
      <c r="AD323" s="3" t="str">
        <f>IFERROR(MID(VLOOKUP($B323,Seqs!$A:$B,2,0),AE323,1),"")</f>
        <v>D</v>
      </c>
      <c r="AE323" s="3">
        <v>254</v>
      </c>
      <c r="AF323" s="3" t="str">
        <f>IFERROR(MID(VLOOKUP($B323,Seqs!$A:$B,2,0),AG323,1),"")</f>
        <v>C</v>
      </c>
      <c r="AG323" s="3">
        <v>258</v>
      </c>
      <c r="AH323" s="3" t="str">
        <f>IFERROR(MID(VLOOKUP($B323,Seqs!$A:$B,2,0),AI323,1),"")</f>
        <v>F</v>
      </c>
      <c r="AI323" s="3">
        <v>260</v>
      </c>
      <c r="AJ323" s="3" t="str">
        <f>IFERROR(MID(VLOOKUP($B323,Seqs!$A:$B,2,0),AK323,1),"")</f>
        <v>T</v>
      </c>
      <c r="AK323" s="3">
        <v>268</v>
      </c>
      <c r="AL323" s="3" t="str">
        <f>IFERROR(MID(VLOOKUP($B323,Seqs!$A:$B,2,0),AM323,1),"")</f>
        <v>L</v>
      </c>
      <c r="AM323" s="3">
        <v>298</v>
      </c>
      <c r="AN323" s="3" t="str">
        <f>IFERROR(MID(VLOOKUP($B323,Seqs!$A:$B,2,0),AO323,1),"")</f>
        <v>S</v>
      </c>
      <c r="AO323" s="3">
        <v>304</v>
      </c>
      <c r="AP323" s="3" t="str">
        <f>IFERROR(MID(VLOOKUP($B323,Seqs!$A:$B,2,0),AQ323,1),"")</f>
        <v>V</v>
      </c>
      <c r="AQ323" s="3">
        <v>332</v>
      </c>
      <c r="AR323" s="3" t="str">
        <f>IFERROR(MID(VLOOKUP($B323,Seqs!$A:$B,2,0),AS323,1),"")</f>
        <v>V</v>
      </c>
      <c r="AS323" s="3">
        <v>339</v>
      </c>
      <c r="AT323" s="3" t="str">
        <f>IFERROR(MID(VLOOKUP($B323,Seqs!$A:$B,2,0),AU323,1),"")</f>
        <v>F</v>
      </c>
      <c r="AU323" s="3">
        <v>362</v>
      </c>
      <c r="AV323" s="3" t="str">
        <f>IFERROR(MID(VLOOKUP($B323,Seqs!$A:$B,2,0),AW323,1),"")</f>
        <v/>
      </c>
      <c r="AW323" s="3" t="s">
        <v>23</v>
      </c>
      <c r="AX323" s="3" t="str">
        <f>IFERROR(MID(VLOOKUP($B323,Seqs!$A:$B,2,0),AY323,1),"")</f>
        <v/>
      </c>
      <c r="AY323" s="3" t="s">
        <v>23</v>
      </c>
      <c r="AZ323" s="77" t="str">
        <f>VLOOKUP(B323,Classification!A:D,2,0)</f>
        <v>B1</v>
      </c>
      <c r="BA323" s="94" t="str">
        <f>VLOOKUP(B323,Classification!A:D,4,0)</f>
        <v>Corticotropin-releasingfact</v>
      </c>
      <c r="BB323" s="27" t="b">
        <f t="shared" si="1453"/>
        <v>1</v>
      </c>
      <c r="BC323" s="23">
        <f t="shared" si="1872"/>
        <v>218</v>
      </c>
      <c r="BD323" s="2" t="s">
        <v>1377</v>
      </c>
      <c r="BE323" s="3" t="s">
        <v>1375</v>
      </c>
      <c r="BF323" s="119">
        <v>3.18</v>
      </c>
      <c r="BG323" s="49" t="s">
        <v>1378</v>
      </c>
      <c r="BH323" s="49" t="s">
        <v>1378</v>
      </c>
      <c r="BI323" s="1"/>
      <c r="BJ323" s="70" t="s">
        <v>1288</v>
      </c>
      <c r="BK323" s="57" t="s">
        <v>1288</v>
      </c>
      <c r="BL323" s="57" t="s">
        <v>1288</v>
      </c>
      <c r="BM323" s="57" t="s">
        <v>1288</v>
      </c>
      <c r="BN323" s="57" t="s">
        <v>1288</v>
      </c>
      <c r="BO323" s="57" t="s">
        <v>1288</v>
      </c>
      <c r="BP323" s="57" t="s">
        <v>1288</v>
      </c>
      <c r="BQ323" s="57" t="s">
        <v>1288</v>
      </c>
      <c r="BR323" s="57" t="s">
        <v>1288</v>
      </c>
      <c r="BS323" s="57" t="s">
        <v>1288</v>
      </c>
      <c r="BT323" s="57" t="s">
        <v>1288</v>
      </c>
      <c r="BU323" s="57" t="s">
        <v>1288</v>
      </c>
      <c r="BV323" s="70">
        <f t="shared" si="1873"/>
        <v>112</v>
      </c>
      <c r="BW323" s="71">
        <f t="shared" si="1874"/>
        <v>145</v>
      </c>
      <c r="BX323" s="72">
        <f t="shared" si="1875"/>
        <v>149</v>
      </c>
      <c r="BY323" s="71" t="str">
        <f t="shared" si="1876"/>
        <v>-</v>
      </c>
      <c r="BZ323" s="72">
        <f t="shared" si="1877"/>
        <v>185</v>
      </c>
      <c r="CA323" s="71" t="str">
        <f t="shared" si="1878"/>
        <v>-</v>
      </c>
      <c r="CB323" s="72">
        <f t="shared" si="1879"/>
        <v>226</v>
      </c>
      <c r="CC323" s="71">
        <f t="shared" si="1880"/>
        <v>258</v>
      </c>
      <c r="CD323" s="72">
        <f t="shared" si="1881"/>
        <v>268</v>
      </c>
      <c r="CE323" s="71">
        <f t="shared" si="1882"/>
        <v>304</v>
      </c>
      <c r="CF323" s="72">
        <f t="shared" si="1883"/>
        <v>339</v>
      </c>
      <c r="CG323" s="71" t="str">
        <f t="shared" si="1884"/>
        <v>-</v>
      </c>
      <c r="CH323" s="70">
        <f t="shared" si="1885"/>
        <v>144</v>
      </c>
      <c r="CI323" s="71">
        <f t="shared" si="1886"/>
        <v>148</v>
      </c>
      <c r="CJ323" s="72">
        <f t="shared" si="1887"/>
        <v>175</v>
      </c>
      <c r="CK323" s="72" t="str">
        <f t="shared" si="1888"/>
        <v>-</v>
      </c>
      <c r="CL323" s="72">
        <f t="shared" si="1889"/>
        <v>219</v>
      </c>
      <c r="CM323" s="72" t="str">
        <f t="shared" si="1890"/>
        <v>-</v>
      </c>
      <c r="CN323" s="72">
        <f t="shared" si="1891"/>
        <v>254</v>
      </c>
      <c r="CO323" s="72">
        <f t="shared" si="1892"/>
        <v>260</v>
      </c>
      <c r="CP323" s="72">
        <f t="shared" si="1893"/>
        <v>298</v>
      </c>
      <c r="CQ323" s="72">
        <f t="shared" si="1894"/>
        <v>332</v>
      </c>
      <c r="CR323" s="72">
        <f t="shared" si="1895"/>
        <v>362</v>
      </c>
      <c r="CS323" s="72" t="str">
        <f t="shared" si="1896"/>
        <v>-</v>
      </c>
      <c r="CT323" s="23">
        <f t="shared" si="1897"/>
        <v>1</v>
      </c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  <c r="AMK323" s="1"/>
      <c r="AML323" s="1"/>
      <c r="AMM323" s="1"/>
      <c r="AMN323" s="1"/>
      <c r="AMO323" s="1"/>
    </row>
    <row r="324" spans="1:1029" x14ac:dyDescent="0.2">
      <c r="A324" s="3" t="str">
        <f t="shared" si="1452"/>
        <v>crfr1_human_4Z9G_dist</v>
      </c>
      <c r="B324" s="3" t="s">
        <v>38</v>
      </c>
      <c r="C324" s="3" t="s">
        <v>1162</v>
      </c>
      <c r="D324" s="3" t="str">
        <f>IFERROR(MID(VLOOKUP($B324,Seqs!$A:$B,2,0),E324,1),"")</f>
        <v>S</v>
      </c>
      <c r="E324" s="3">
        <v>112</v>
      </c>
      <c r="F324" s="3" t="str">
        <f>IFERROR(MID(VLOOKUP($B324,Seqs!$A:$B,2,0),G324,1),"")</f>
        <v>L</v>
      </c>
      <c r="G324" s="3">
        <v>144</v>
      </c>
      <c r="H324" s="3" t="str">
        <f>IFERROR(MID(VLOOKUP($B324,Seqs!$A:$B,2,0),I324,1),"")</f>
        <v>R</v>
      </c>
      <c r="I324" s="23">
        <v>145</v>
      </c>
      <c r="J324" s="3" t="str">
        <f>IFERROR(MID(VLOOKUP($B324,Seqs!$A:$B,2,0),K324,1),"")</f>
        <v>R</v>
      </c>
      <c r="K324" s="23">
        <v>148</v>
      </c>
      <c r="L324" s="3" t="str">
        <f>IFERROR(MID(VLOOKUP($B324,Seqs!$A:$B,2,0),M324,1),"")</f>
        <v>C</v>
      </c>
      <c r="M324" s="23">
        <v>149</v>
      </c>
      <c r="N324" s="3" t="str">
        <f>IFERROR(MID(VLOOKUP($B324,Seqs!$A:$B,2,0),O324,1),"")</f>
        <v>T</v>
      </c>
      <c r="O324" s="3">
        <v>175</v>
      </c>
      <c r="P324" s="3" t="str">
        <f>IFERROR(MID(VLOOKUP($B324,Seqs!$A:$B,2,0),Q324,1),"")</f>
        <v/>
      </c>
      <c r="Q324" s="3" t="s">
        <v>23</v>
      </c>
      <c r="R324" s="3" t="str">
        <f>IFERROR(MID(VLOOKUP($B324,Seqs!$A:$B,2,0),S324,1),"")</f>
        <v/>
      </c>
      <c r="S324" s="3" t="s">
        <v>23</v>
      </c>
      <c r="T324" s="3" t="str">
        <f>IFERROR(MID(VLOOKUP($B324,Seqs!$A:$B,2,0),U324,1),"")</f>
        <v>V</v>
      </c>
      <c r="U324" s="3">
        <v>185</v>
      </c>
      <c r="V324" s="3" t="str">
        <f>IFERROR(MID(VLOOKUP($B324,Seqs!$A:$B,2,0),W324,1),"")</f>
        <v>L</v>
      </c>
      <c r="W324" s="3">
        <v>219</v>
      </c>
      <c r="X324" s="3" t="str">
        <f>IFERROR(MID(VLOOKUP($B324,Seqs!$A:$B,2,0),Y324,1),"")</f>
        <v/>
      </c>
      <c r="Y324" s="3" t="s">
        <v>23</v>
      </c>
      <c r="Z324" s="3" t="str">
        <f>IFERROR(MID(VLOOKUP($B324,Seqs!$A:$B,2,0),AA324,1),"")</f>
        <v/>
      </c>
      <c r="AA324" s="3" t="s">
        <v>23</v>
      </c>
      <c r="AB324" s="3" t="str">
        <f>IFERROR(MID(VLOOKUP($B324,Seqs!$A:$B,2,0),AC324,1),"")</f>
        <v>L</v>
      </c>
      <c r="AC324" s="9">
        <v>226</v>
      </c>
      <c r="AD324" s="3" t="str">
        <f>IFERROR(MID(VLOOKUP($B324,Seqs!$A:$B,2,0),AE324,1),"")</f>
        <v>D</v>
      </c>
      <c r="AE324" s="3">
        <v>254</v>
      </c>
      <c r="AF324" s="3" t="str">
        <f>IFERROR(MID(VLOOKUP($B324,Seqs!$A:$B,2,0),AG324,1),"")</f>
        <v>C</v>
      </c>
      <c r="AG324" s="3">
        <v>258</v>
      </c>
      <c r="AH324" s="3" t="str">
        <f>IFERROR(MID(VLOOKUP($B324,Seqs!$A:$B,2,0),AI324,1),"")</f>
        <v>F</v>
      </c>
      <c r="AI324" s="3">
        <v>260</v>
      </c>
      <c r="AJ324" s="3" t="str">
        <f>IFERROR(MID(VLOOKUP($B324,Seqs!$A:$B,2,0),AK324,1),"")</f>
        <v>T</v>
      </c>
      <c r="AK324" s="3">
        <v>268</v>
      </c>
      <c r="AL324" s="3" t="str">
        <f>IFERROR(MID(VLOOKUP($B324,Seqs!$A:$B,2,0),AM324,1),"")</f>
        <v>L</v>
      </c>
      <c r="AM324" s="3">
        <v>298</v>
      </c>
      <c r="AN324" s="3" t="str">
        <f>IFERROR(MID(VLOOKUP($B324,Seqs!$A:$B,2,0),AO324,1),"")</f>
        <v>S</v>
      </c>
      <c r="AO324" s="3">
        <v>304</v>
      </c>
      <c r="AP324" s="3" t="str">
        <f>IFERROR(MID(VLOOKUP($B324,Seqs!$A:$B,2,0),AQ324,1),"")</f>
        <v>V</v>
      </c>
      <c r="AQ324" s="3">
        <v>332</v>
      </c>
      <c r="AR324" s="3" t="str">
        <f>IFERROR(MID(VLOOKUP($B324,Seqs!$A:$B,2,0),AS324,1),"")</f>
        <v>V</v>
      </c>
      <c r="AS324" s="3">
        <v>339</v>
      </c>
      <c r="AT324" s="3" t="str">
        <f>IFERROR(MID(VLOOKUP($B324,Seqs!$A:$B,2,0),AU324,1),"")</f>
        <v>E</v>
      </c>
      <c r="AU324" s="3">
        <v>369</v>
      </c>
      <c r="AV324" s="3" t="str">
        <f>IFERROR(MID(VLOOKUP($B324,Seqs!$A:$B,2,0),AW324,1),"")</f>
        <v/>
      </c>
      <c r="AW324" s="3" t="s">
        <v>23</v>
      </c>
      <c r="AX324" s="3" t="str">
        <f>IFERROR(MID(VLOOKUP($B324,Seqs!$A:$B,2,0),AY324,1),"")</f>
        <v/>
      </c>
      <c r="AY324" s="3" t="s">
        <v>23</v>
      </c>
      <c r="AZ324" s="77" t="str">
        <f>VLOOKUP(B324,Classification!A:D,2,0)</f>
        <v>B1</v>
      </c>
      <c r="BA324" s="94" t="str">
        <f>VLOOKUP(B324,Classification!A:D,4,0)</f>
        <v>Corticotropin-releasingfact</v>
      </c>
      <c r="BB324" s="27" t="b">
        <f t="shared" si="1453"/>
        <v>1</v>
      </c>
      <c r="BC324" s="23">
        <f t="shared" si="1872"/>
        <v>225</v>
      </c>
      <c r="BD324" s="56" t="s">
        <v>23</v>
      </c>
      <c r="BE324" s="3" t="s">
        <v>1375</v>
      </c>
      <c r="BF324" s="119">
        <v>3.18</v>
      </c>
      <c r="BG324" s="49" t="s">
        <v>1378</v>
      </c>
      <c r="BH324" s="49" t="s">
        <v>1378</v>
      </c>
      <c r="BI324" s="3" t="s">
        <v>1163</v>
      </c>
      <c r="BJ324" s="70" t="s">
        <v>1288</v>
      </c>
      <c r="BK324" s="57" t="s">
        <v>1288</v>
      </c>
      <c r="BL324" s="57" t="s">
        <v>1288</v>
      </c>
      <c r="BM324" s="57" t="s">
        <v>1288</v>
      </c>
      <c r="BN324" s="57" t="s">
        <v>1288</v>
      </c>
      <c r="BO324" s="57" t="s">
        <v>1288</v>
      </c>
      <c r="BP324" s="57" t="s">
        <v>1288</v>
      </c>
      <c r="BQ324" s="57" t="s">
        <v>1288</v>
      </c>
      <c r="BR324" s="57" t="s">
        <v>1288</v>
      </c>
      <c r="BS324" s="57" t="s">
        <v>1288</v>
      </c>
      <c r="BT324" s="57" t="s">
        <v>1288</v>
      </c>
      <c r="BU324" s="57" t="s">
        <v>1288</v>
      </c>
      <c r="BV324" s="70">
        <f t="shared" si="1873"/>
        <v>112</v>
      </c>
      <c r="BW324" s="71">
        <f t="shared" si="1874"/>
        <v>145</v>
      </c>
      <c r="BX324" s="72">
        <f t="shared" si="1875"/>
        <v>149</v>
      </c>
      <c r="BY324" s="71" t="str">
        <f t="shared" si="1876"/>
        <v>-</v>
      </c>
      <c r="BZ324" s="72">
        <f t="shared" si="1877"/>
        <v>185</v>
      </c>
      <c r="CA324" s="71" t="str">
        <f t="shared" si="1878"/>
        <v>-</v>
      </c>
      <c r="CB324" s="72">
        <f t="shared" si="1879"/>
        <v>226</v>
      </c>
      <c r="CC324" s="71">
        <f t="shared" si="1880"/>
        <v>258</v>
      </c>
      <c r="CD324" s="72">
        <f t="shared" si="1881"/>
        <v>268</v>
      </c>
      <c r="CE324" s="71">
        <f t="shared" si="1882"/>
        <v>304</v>
      </c>
      <c r="CF324" s="72">
        <f t="shared" si="1883"/>
        <v>339</v>
      </c>
      <c r="CG324" s="71" t="str">
        <f t="shared" si="1884"/>
        <v>-</v>
      </c>
      <c r="CH324" s="70">
        <f t="shared" si="1885"/>
        <v>144</v>
      </c>
      <c r="CI324" s="71">
        <f t="shared" si="1886"/>
        <v>148</v>
      </c>
      <c r="CJ324" s="72">
        <f t="shared" si="1887"/>
        <v>175</v>
      </c>
      <c r="CK324" s="72" t="str">
        <f t="shared" si="1888"/>
        <v>-</v>
      </c>
      <c r="CL324" s="72">
        <f t="shared" si="1889"/>
        <v>219</v>
      </c>
      <c r="CM324" s="72" t="str">
        <f t="shared" si="1890"/>
        <v>-</v>
      </c>
      <c r="CN324" s="72">
        <f t="shared" si="1891"/>
        <v>254</v>
      </c>
      <c r="CO324" s="72">
        <f t="shared" si="1892"/>
        <v>260</v>
      </c>
      <c r="CP324" s="72">
        <f t="shared" si="1893"/>
        <v>298</v>
      </c>
      <c r="CQ324" s="72">
        <f t="shared" si="1894"/>
        <v>332</v>
      </c>
      <c r="CR324" s="72">
        <f t="shared" si="1895"/>
        <v>369</v>
      </c>
      <c r="CS324" s="72" t="str">
        <f t="shared" si="1896"/>
        <v>-</v>
      </c>
      <c r="CT324" s="23">
        <f t="shared" si="1897"/>
        <v>1</v>
      </c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  <c r="ALO324" s="1"/>
      <c r="ALP324" s="1"/>
      <c r="ALQ324" s="1"/>
      <c r="ALR324" s="1"/>
      <c r="ALS324" s="1"/>
      <c r="ALT324" s="1"/>
      <c r="ALU324" s="1"/>
      <c r="ALV324" s="1"/>
      <c r="ALW324" s="1"/>
      <c r="ALX324" s="1"/>
      <c r="ALY324" s="1"/>
      <c r="ALZ324" s="1"/>
      <c r="AMA324" s="1"/>
      <c r="AMB324" s="1"/>
      <c r="AMC324" s="1"/>
      <c r="AMD324" s="1"/>
      <c r="AME324" s="1"/>
      <c r="AMF324" s="1"/>
      <c r="AMG324" s="1"/>
      <c r="AMH324" s="1"/>
      <c r="AMI324" s="1"/>
      <c r="AMJ324" s="1"/>
      <c r="AMK324" s="1"/>
      <c r="AML324" s="1"/>
      <c r="AMM324" s="1"/>
      <c r="AMN324" s="1"/>
      <c r="AMO324" s="1"/>
    </row>
    <row r="325" spans="1:1029" x14ac:dyDescent="0.2">
      <c r="A325" s="3" t="str">
        <f t="shared" si="1452"/>
        <v>glr_human__wt</v>
      </c>
      <c r="B325" s="3" t="s">
        <v>32</v>
      </c>
      <c r="C325" s="3" t="s">
        <v>100</v>
      </c>
      <c r="D325" s="3" t="str">
        <f>IFERROR(MID(VLOOKUP($B325,Seqs!$A:$B,2,0),E325,1),"")</f>
        <v>Q</v>
      </c>
      <c r="E325" s="105">
        <v>131</v>
      </c>
      <c r="F325" s="3" t="str">
        <f>IFERROR(MID(VLOOKUP($B325,Seqs!$A:$B,2,0),G325,1),"")</f>
        <v>L</v>
      </c>
      <c r="G325" s="3">
        <v>166</v>
      </c>
      <c r="H325" s="3" t="str">
        <f>IFERROR(MID(VLOOKUP($B325,Seqs!$A:$B,2,0),I325,1),"")</f>
        <v>S</v>
      </c>
      <c r="I325" s="23">
        <v>167</v>
      </c>
      <c r="J325" s="3" t="str">
        <f>IFERROR(MID(VLOOKUP($B325,Seqs!$A:$B,2,0),K325,1),"")</f>
        <v>H</v>
      </c>
      <c r="K325" s="23">
        <v>170</v>
      </c>
      <c r="L325" s="3" t="str">
        <f>IFERROR(MID(VLOOKUP($B325,Seqs!$A:$B,2,0),M325,1),"")</f>
        <v>C</v>
      </c>
      <c r="M325" s="23">
        <v>171</v>
      </c>
      <c r="N325" s="3" t="str">
        <f>IFERROR(MID(VLOOKUP($B325,Seqs!$A:$B,2,0),O325,1),"")</f>
        <v>S</v>
      </c>
      <c r="O325" s="105">
        <v>203</v>
      </c>
      <c r="P325" s="3" t="str">
        <f>IFERROR(MID(VLOOKUP($B325,Seqs!$A:$B,2,0),Q325,1),"")</f>
        <v/>
      </c>
      <c r="Q325" s="3" t="s">
        <v>23</v>
      </c>
      <c r="R325" s="3" t="str">
        <f>IFERROR(MID(VLOOKUP($B325,Seqs!$A:$B,2,0),S325,1),"")</f>
        <v/>
      </c>
      <c r="S325" s="3" t="s">
        <v>23</v>
      </c>
      <c r="T325" s="3" t="str">
        <f>IFERROR(MID(VLOOKUP($B325,Seqs!$A:$B,2,0),U325,1),"")</f>
        <v>A</v>
      </c>
      <c r="U325" s="3">
        <v>220</v>
      </c>
      <c r="V325" s="3" t="str">
        <f>IFERROR(MID(VLOOKUP($B325,Seqs!$A:$B,2,0),W325,1),"")</f>
        <v>L</v>
      </c>
      <c r="W325" s="3">
        <v>255</v>
      </c>
      <c r="X325" s="3" t="str">
        <f>IFERROR(MID(VLOOKUP($B325,Seqs!$A:$B,2,0),Y325,1),"")</f>
        <v/>
      </c>
      <c r="Y325" s="3" t="s">
        <v>23</v>
      </c>
      <c r="Z325" s="3" t="str">
        <f>IFERROR(MID(VLOOKUP($B325,Seqs!$A:$B,2,0),AA325,1),"")</f>
        <v/>
      </c>
      <c r="AA325" s="3" t="s">
        <v>23</v>
      </c>
      <c r="AB325" s="3" t="str">
        <f>IFERROR(MID(VLOOKUP($B325,Seqs!$A:$B,2,0),AC325,1),"")</f>
        <v>S</v>
      </c>
      <c r="AC325" s="9">
        <v>262</v>
      </c>
      <c r="AD325" s="3" t="str">
        <f>IFERROR(MID(VLOOKUP($B325,Seqs!$A:$B,2,0),AE325,1),"")</f>
        <v>E</v>
      </c>
      <c r="AE325" s="3">
        <v>290</v>
      </c>
      <c r="AF325" s="3" t="str">
        <f>IFERROR(MID(VLOOKUP($B325,Seqs!$A:$B,2,0),AG325,1),"")</f>
        <v>C</v>
      </c>
      <c r="AG325" s="3">
        <v>294</v>
      </c>
      <c r="AH325" s="3" t="str">
        <f>IFERROR(MID(VLOOKUP($B325,Seqs!$A:$B,2,0),AI325,1),"")</f>
        <v>T</v>
      </c>
      <c r="AI325" s="3">
        <v>296</v>
      </c>
      <c r="AJ325" s="3" t="str">
        <f>IFERROR(MID(VLOOKUP($B325,Seqs!$A:$B,2,0),AK325,1),"")</f>
        <v>N</v>
      </c>
      <c r="AK325" s="3">
        <v>300</v>
      </c>
      <c r="AL325" s="3" t="str">
        <f>IFERROR(MID(VLOOKUP($B325,Seqs!$A:$B,2,0),AM325,1),"")</f>
        <v>A</v>
      </c>
      <c r="AM325" s="3">
        <v>335</v>
      </c>
      <c r="AN325" s="3" t="str">
        <f>IFERROR(MID(VLOOKUP($B325,Seqs!$A:$B,2,0),AO325,1),"")</f>
        <v>D</v>
      </c>
      <c r="AO325" s="3">
        <v>342</v>
      </c>
      <c r="AP325" s="3" t="str">
        <f>IFERROR(MID(VLOOKUP($B325,Seqs!$A:$B,2,0),AQ325,1),"")</f>
        <v>F</v>
      </c>
      <c r="AQ325" s="3">
        <v>367</v>
      </c>
      <c r="AR325" s="3" t="str">
        <f>IFERROR(MID(VLOOKUP($B325,Seqs!$A:$B,2,0),AS325,1),"")</f>
        <v>Q</v>
      </c>
      <c r="AS325" s="3">
        <v>374</v>
      </c>
      <c r="AT325" s="3" t="str">
        <f>IFERROR(MID(VLOOKUP($B325,Seqs!$A:$B,2,0),AU325,1),"")</f>
        <v>L</v>
      </c>
      <c r="AU325" s="3">
        <v>403</v>
      </c>
      <c r="AV325" s="3" t="str">
        <f>IFERROR(MID(VLOOKUP($B325,Seqs!$A:$B,2,0),AW325,1),"")</f>
        <v>N</v>
      </c>
      <c r="AW325" s="3">
        <v>404</v>
      </c>
      <c r="AX325" s="3" t="str">
        <f>IFERROR(MID(VLOOKUP($B325,Seqs!$A:$B,2,0),AY325,1),"")</f>
        <v>N</v>
      </c>
      <c r="AY325" s="3">
        <v>429</v>
      </c>
      <c r="AZ325" s="77" t="str">
        <f>VLOOKUP(B325,Classification!A:D,2,0)</f>
        <v>B1</v>
      </c>
      <c r="BA325" s="94" t="str">
        <f>VLOOKUP(B325,Classification!A:D,4,0)</f>
        <v>Glucagonreceptorfamily</v>
      </c>
      <c r="BB325" s="27" t="b">
        <f t="shared" si="1453"/>
        <v>1</v>
      </c>
      <c r="BC325" s="23">
        <f t="shared" si="1872"/>
        <v>261</v>
      </c>
      <c r="BD325" s="56" t="s">
        <v>23</v>
      </c>
      <c r="BE325" s="3" t="s">
        <v>23</v>
      </c>
      <c r="BF325" s="119" t="s">
        <v>23</v>
      </c>
      <c r="BG325" s="49" t="s">
        <v>1373</v>
      </c>
      <c r="BH325" s="49" t="s">
        <v>1378</v>
      </c>
      <c r="BI325" s="1"/>
      <c r="BJ325" s="70" t="s">
        <v>1288</v>
      </c>
      <c r="BK325" s="57" t="s">
        <v>1288</v>
      </c>
      <c r="BL325" s="57" t="s">
        <v>1288</v>
      </c>
      <c r="BM325" s="57" t="s">
        <v>1288</v>
      </c>
      <c r="BN325" s="57" t="s">
        <v>1288</v>
      </c>
      <c r="BO325" s="57" t="s">
        <v>1288</v>
      </c>
      <c r="BP325" s="57" t="s">
        <v>1288</v>
      </c>
      <c r="BQ325" s="57" t="s">
        <v>1288</v>
      </c>
      <c r="BR325" s="57" t="s">
        <v>1288</v>
      </c>
      <c r="BS325" s="57" t="s">
        <v>1288</v>
      </c>
      <c r="BT325" s="57" t="s">
        <v>1288</v>
      </c>
      <c r="BU325" s="57" t="s">
        <v>1288</v>
      </c>
      <c r="BV325" s="70">
        <f t="shared" si="1873"/>
        <v>131</v>
      </c>
      <c r="BW325" s="71">
        <f t="shared" si="1874"/>
        <v>167</v>
      </c>
      <c r="BX325" s="72">
        <f t="shared" si="1875"/>
        <v>171</v>
      </c>
      <c r="BY325" s="71" t="str">
        <f t="shared" si="1876"/>
        <v>-</v>
      </c>
      <c r="BZ325" s="72">
        <f t="shared" si="1877"/>
        <v>220</v>
      </c>
      <c r="CA325" s="71" t="str">
        <f t="shared" si="1878"/>
        <v>-</v>
      </c>
      <c r="CB325" s="72">
        <f t="shared" si="1879"/>
        <v>262</v>
      </c>
      <c r="CC325" s="71">
        <f t="shared" si="1880"/>
        <v>294</v>
      </c>
      <c r="CD325" s="72">
        <f t="shared" si="1881"/>
        <v>300</v>
      </c>
      <c r="CE325" s="71">
        <f t="shared" si="1882"/>
        <v>342</v>
      </c>
      <c r="CF325" s="72">
        <f t="shared" si="1883"/>
        <v>374</v>
      </c>
      <c r="CG325" s="71">
        <f t="shared" si="1884"/>
        <v>404</v>
      </c>
      <c r="CH325" s="70">
        <f t="shared" si="1885"/>
        <v>166</v>
      </c>
      <c r="CI325" s="71">
        <f t="shared" si="1886"/>
        <v>170</v>
      </c>
      <c r="CJ325" s="72">
        <f t="shared" si="1887"/>
        <v>203</v>
      </c>
      <c r="CK325" s="72" t="str">
        <f t="shared" si="1888"/>
        <v>-</v>
      </c>
      <c r="CL325" s="72">
        <f t="shared" si="1889"/>
        <v>255</v>
      </c>
      <c r="CM325" s="72" t="str">
        <f t="shared" si="1890"/>
        <v>-</v>
      </c>
      <c r="CN325" s="72">
        <f t="shared" si="1891"/>
        <v>290</v>
      </c>
      <c r="CO325" s="72">
        <f t="shared" si="1892"/>
        <v>296</v>
      </c>
      <c r="CP325" s="72">
        <f t="shared" si="1893"/>
        <v>335</v>
      </c>
      <c r="CQ325" s="72">
        <f t="shared" si="1894"/>
        <v>367</v>
      </c>
      <c r="CR325" s="72">
        <f t="shared" si="1895"/>
        <v>403</v>
      </c>
      <c r="CS325" s="72">
        <f t="shared" si="1896"/>
        <v>429</v>
      </c>
      <c r="CT325" s="23">
        <f t="shared" si="1897"/>
        <v>1</v>
      </c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  <c r="ALO325" s="1"/>
      <c r="ALP325" s="1"/>
      <c r="ALQ325" s="1"/>
      <c r="ALR325" s="1"/>
      <c r="ALS325" s="1"/>
      <c r="ALT325" s="1"/>
      <c r="ALU325" s="1"/>
      <c r="ALV325" s="1"/>
      <c r="ALW325" s="1"/>
      <c r="ALX325" s="1"/>
      <c r="ALY325" s="1"/>
      <c r="ALZ325" s="1"/>
      <c r="AMA325" s="1"/>
      <c r="AMB325" s="1"/>
      <c r="AMC325" s="1"/>
      <c r="AMD325" s="1"/>
      <c r="AME325" s="1"/>
      <c r="AMF325" s="1"/>
      <c r="AMG325" s="1"/>
      <c r="AMH325" s="1"/>
      <c r="AMI325" s="1"/>
      <c r="AMJ325" s="1"/>
      <c r="AMK325" s="1"/>
      <c r="AML325" s="1"/>
      <c r="AMM325" s="1"/>
      <c r="AMN325" s="1"/>
      <c r="AMO325" s="1"/>
    </row>
    <row r="326" spans="1:1029" x14ac:dyDescent="0.2">
      <c r="A326" s="3" t="str">
        <f t="shared" si="1452"/>
        <v>glr_human_4L6R</v>
      </c>
      <c r="B326" s="3" t="s">
        <v>32</v>
      </c>
      <c r="C326" s="3" t="s">
        <v>51</v>
      </c>
      <c r="D326" s="3" t="str">
        <f>IFERROR(MID(VLOOKUP($B326,Seqs!$A:$B,2,0),E326,1),"")</f>
        <v>G</v>
      </c>
      <c r="E326" s="3">
        <v>125</v>
      </c>
      <c r="F326" s="3" t="str">
        <f>IFERROR(MID(VLOOKUP($B326,Seqs!$A:$B,2,0),G326,1),"")</f>
        <v>G</v>
      </c>
      <c r="G326" s="3">
        <v>164</v>
      </c>
      <c r="H326" s="3" t="str">
        <f>IFERROR(MID(VLOOKUP($B326,Seqs!$A:$B,2,0),I326,1),"")</f>
        <v>S</v>
      </c>
      <c r="I326" s="23">
        <v>167</v>
      </c>
      <c r="J326" s="3" t="str">
        <f>IFERROR(MID(VLOOKUP($B326,Seqs!$A:$B,2,0),K326,1),"")</f>
        <v>H</v>
      </c>
      <c r="K326" s="23">
        <v>170</v>
      </c>
      <c r="L326" s="3" t="str">
        <f>IFERROR(MID(VLOOKUP($B326,Seqs!$A:$B,2,0),M326,1),"")</f>
        <v>C</v>
      </c>
      <c r="M326" s="23">
        <v>171</v>
      </c>
      <c r="N326" s="3" t="str">
        <f>IFERROR(MID(VLOOKUP($B326,Seqs!$A:$B,2,0),O326,1),"")</f>
        <v>R</v>
      </c>
      <c r="O326" s="3">
        <v>199</v>
      </c>
      <c r="P326" s="3" t="str">
        <f>IFERROR(MID(VLOOKUP($B326,Seqs!$A:$B,2,0),Q326,1),"")</f>
        <v/>
      </c>
      <c r="Q326" s="3" t="s">
        <v>23</v>
      </c>
      <c r="R326" s="3" t="str">
        <f>IFERROR(MID(VLOOKUP($B326,Seqs!$A:$B,2,0),S326,1),"")</f>
        <v/>
      </c>
      <c r="S326" s="3" t="s">
        <v>23</v>
      </c>
      <c r="T326" s="3" t="str">
        <f>IFERROR(MID(VLOOKUP($B326,Seqs!$A:$B,2,0),U326,1),"")</f>
        <v>S</v>
      </c>
      <c r="U326" s="3">
        <v>217</v>
      </c>
      <c r="V326" s="3" t="str">
        <f>IFERROR(MID(VLOOKUP($B326,Seqs!$A:$B,2,0),W326,1),"")</f>
        <v>L</v>
      </c>
      <c r="W326" s="3">
        <v>255</v>
      </c>
      <c r="X326" s="3" t="str">
        <f>IFERROR(MID(VLOOKUP($B326,Seqs!$A:$B,2,0),Y326,1),"")</f>
        <v/>
      </c>
      <c r="Y326" s="3" t="s">
        <v>23</v>
      </c>
      <c r="Z326" s="3" t="str">
        <f>IFERROR(MID(VLOOKUP($B326,Seqs!$A:$B,2,0),AA326,1),"")</f>
        <v/>
      </c>
      <c r="AA326" s="3" t="s">
        <v>23</v>
      </c>
      <c r="AB326" s="3" t="str">
        <f>IFERROR(MID(VLOOKUP($B326,Seqs!$A:$B,2,0),AC326,1),"")</f>
        <v>A</v>
      </c>
      <c r="AC326" s="9">
        <v>274</v>
      </c>
      <c r="AD326" s="3" t="str">
        <f>IFERROR(MID(VLOOKUP($B326,Seqs!$A:$B,2,0),AE326,1),"")</f>
        <v>E</v>
      </c>
      <c r="AE326" s="3">
        <v>290</v>
      </c>
      <c r="AF326" s="3" t="str">
        <f>IFERROR(MID(VLOOKUP($B326,Seqs!$A:$B,2,0),AG326,1),"")</f>
        <v>C</v>
      </c>
      <c r="AG326" s="3">
        <v>294</v>
      </c>
      <c r="AH326" s="3" t="str">
        <f>IFERROR(MID(VLOOKUP($B326,Seqs!$A:$B,2,0),AI326,1),"")</f>
        <v>T</v>
      </c>
      <c r="AI326" s="3">
        <v>296</v>
      </c>
      <c r="AJ326" s="3" t="str">
        <f>IFERROR(MID(VLOOKUP($B326,Seqs!$A:$B,2,0),AK326,1),"")</f>
        <v>N</v>
      </c>
      <c r="AK326" s="3">
        <v>300</v>
      </c>
      <c r="AL326" s="3" t="str">
        <f>IFERROR(MID(VLOOKUP($B326,Seqs!$A:$B,2,0),AM326,1),"")</f>
        <v>A</v>
      </c>
      <c r="AM326" s="3">
        <v>335</v>
      </c>
      <c r="AN326" s="3" t="str">
        <f>IFERROR(MID(VLOOKUP($B326,Seqs!$A:$B,2,0),AO326,1),"")</f>
        <v>D</v>
      </c>
      <c r="AO326" s="3">
        <v>342</v>
      </c>
      <c r="AP326" s="3" t="str">
        <f>IFERROR(MID(VLOOKUP($B326,Seqs!$A:$B,2,0),AQ326,1),"")</f>
        <v>F</v>
      </c>
      <c r="AQ326" s="3">
        <v>367</v>
      </c>
      <c r="AR326" s="3" t="str">
        <f>IFERROR(MID(VLOOKUP($B326,Seqs!$A:$B,2,0),AS326,1),"")</f>
        <v>Q</v>
      </c>
      <c r="AS326" s="3">
        <v>374</v>
      </c>
      <c r="AT326" s="3" t="str">
        <f>IFERROR(MID(VLOOKUP($B326,Seqs!$A:$B,2,0),AU326,1),"")</f>
        <v>L</v>
      </c>
      <c r="AU326" s="3">
        <v>403</v>
      </c>
      <c r="AV326" s="3" t="str">
        <f>IFERROR(MID(VLOOKUP($B326,Seqs!$A:$B,2,0),AW326,1),"")</f>
        <v>N</v>
      </c>
      <c r="AW326" s="3">
        <v>404</v>
      </c>
      <c r="AX326" s="3" t="str">
        <f>IFERROR(MID(VLOOKUP($B326,Seqs!$A:$B,2,0),AY326,1),"")</f>
        <v>N</v>
      </c>
      <c r="AY326" s="3">
        <v>429</v>
      </c>
      <c r="AZ326" s="77" t="str">
        <f>VLOOKUP(B326,Classification!A:D,2,0)</f>
        <v>B1</v>
      </c>
      <c r="BA326" s="94" t="str">
        <f>VLOOKUP(B326,Classification!A:D,4,0)</f>
        <v>Glucagonreceptorfamily</v>
      </c>
      <c r="BB326" s="27" t="b">
        <f t="shared" si="1453"/>
        <v>1</v>
      </c>
      <c r="BC326" s="23">
        <f t="shared" si="1872"/>
        <v>252</v>
      </c>
      <c r="BD326" s="2" t="s">
        <v>23</v>
      </c>
      <c r="BE326" s="3" t="s">
        <v>1375</v>
      </c>
      <c r="BF326" s="119">
        <v>3.3</v>
      </c>
      <c r="BG326" s="49" t="s">
        <v>1378</v>
      </c>
      <c r="BH326" s="49" t="s">
        <v>1378</v>
      </c>
      <c r="BI326" s="1"/>
      <c r="BJ326" s="70" t="s">
        <v>1288</v>
      </c>
      <c r="BK326" s="57" t="s">
        <v>1288</v>
      </c>
      <c r="BL326" s="57" t="s">
        <v>1288</v>
      </c>
      <c r="BM326" s="57" t="s">
        <v>1288</v>
      </c>
      <c r="BN326" s="57" t="s">
        <v>1288</v>
      </c>
      <c r="BO326" s="57" t="s">
        <v>1288</v>
      </c>
      <c r="BP326" s="57" t="s">
        <v>1288</v>
      </c>
      <c r="BQ326" s="57" t="s">
        <v>1288</v>
      </c>
      <c r="BR326" s="57" t="s">
        <v>1288</v>
      </c>
      <c r="BS326" s="57" t="s">
        <v>1288</v>
      </c>
      <c r="BT326" s="57" t="s">
        <v>1288</v>
      </c>
      <c r="BU326" s="57" t="s">
        <v>1288</v>
      </c>
      <c r="BV326" s="70">
        <f t="shared" si="1873"/>
        <v>125</v>
      </c>
      <c r="BW326" s="71">
        <f t="shared" si="1874"/>
        <v>167</v>
      </c>
      <c r="BX326" s="72">
        <f t="shared" si="1875"/>
        <v>171</v>
      </c>
      <c r="BY326" s="71" t="str">
        <f t="shared" si="1876"/>
        <v>-</v>
      </c>
      <c r="BZ326" s="72">
        <f t="shared" si="1877"/>
        <v>217</v>
      </c>
      <c r="CA326" s="71" t="str">
        <f t="shared" si="1878"/>
        <v>-</v>
      </c>
      <c r="CB326" s="72">
        <f t="shared" si="1879"/>
        <v>274</v>
      </c>
      <c r="CC326" s="71">
        <f t="shared" si="1880"/>
        <v>294</v>
      </c>
      <c r="CD326" s="72">
        <f t="shared" si="1881"/>
        <v>300</v>
      </c>
      <c r="CE326" s="71">
        <f t="shared" si="1882"/>
        <v>342</v>
      </c>
      <c r="CF326" s="72">
        <f t="shared" si="1883"/>
        <v>374</v>
      </c>
      <c r="CG326" s="71">
        <f t="shared" si="1884"/>
        <v>404</v>
      </c>
      <c r="CH326" s="70">
        <f t="shared" si="1885"/>
        <v>164</v>
      </c>
      <c r="CI326" s="71">
        <f t="shared" si="1886"/>
        <v>170</v>
      </c>
      <c r="CJ326" s="72">
        <f t="shared" si="1887"/>
        <v>199</v>
      </c>
      <c r="CK326" s="72" t="str">
        <f t="shared" si="1888"/>
        <v>-</v>
      </c>
      <c r="CL326" s="72">
        <f t="shared" si="1889"/>
        <v>255</v>
      </c>
      <c r="CM326" s="72" t="str">
        <f t="shared" si="1890"/>
        <v>-</v>
      </c>
      <c r="CN326" s="72">
        <f t="shared" si="1891"/>
        <v>290</v>
      </c>
      <c r="CO326" s="72">
        <f t="shared" si="1892"/>
        <v>296</v>
      </c>
      <c r="CP326" s="72">
        <f t="shared" si="1893"/>
        <v>335</v>
      </c>
      <c r="CQ326" s="72">
        <f t="shared" si="1894"/>
        <v>367</v>
      </c>
      <c r="CR326" s="72">
        <f t="shared" si="1895"/>
        <v>403</v>
      </c>
      <c r="CS326" s="72">
        <f t="shared" si="1896"/>
        <v>429</v>
      </c>
      <c r="CT326" s="23">
        <f t="shared" si="1897"/>
        <v>1</v>
      </c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  <c r="AMK326" s="1"/>
      <c r="AML326" s="1"/>
      <c r="AMM326" s="1"/>
      <c r="AMN326" s="1"/>
      <c r="AMO326" s="1"/>
    </row>
    <row r="327" spans="1:1029" x14ac:dyDescent="0.2">
      <c r="A327" s="3" t="str">
        <f t="shared" si="1452"/>
        <v>glr_human_4L6R_dist</v>
      </c>
      <c r="B327" s="3" t="s">
        <v>32</v>
      </c>
      <c r="C327" s="3" t="s">
        <v>1277</v>
      </c>
      <c r="D327" s="3" t="str">
        <f>IFERROR(MID(VLOOKUP($B327,Seqs!$A:$B,2,0),E327,1),"")</f>
        <v>G</v>
      </c>
      <c r="E327" s="3">
        <v>125</v>
      </c>
      <c r="F327" s="3" t="str">
        <f>IFERROR(MID(VLOOKUP($B327,Seqs!$A:$B,2,0),G327,1),"")</f>
        <v>G</v>
      </c>
      <c r="G327" s="3">
        <v>164</v>
      </c>
      <c r="H327" s="3" t="str">
        <f>IFERROR(MID(VLOOKUP($B327,Seqs!$A:$B,2,0),I327,1),"")</f>
        <v>S</v>
      </c>
      <c r="I327" s="23">
        <v>167</v>
      </c>
      <c r="J327" s="3" t="str">
        <f>IFERROR(MID(VLOOKUP($B327,Seqs!$A:$B,2,0),K327,1),"")</f>
        <v>H</v>
      </c>
      <c r="K327" s="23">
        <v>170</v>
      </c>
      <c r="L327" s="3" t="str">
        <f>IFERROR(MID(VLOOKUP($B327,Seqs!$A:$B,2,0),M327,1),"")</f>
        <v>C</v>
      </c>
      <c r="M327" s="23">
        <v>171</v>
      </c>
      <c r="N327" s="3" t="str">
        <f>IFERROR(MID(VLOOKUP($B327,Seqs!$A:$B,2,0),O327,1),"")</f>
        <v>R</v>
      </c>
      <c r="O327" s="3">
        <v>199</v>
      </c>
      <c r="P327" s="3" t="str">
        <f>IFERROR(MID(VLOOKUP($B327,Seqs!$A:$B,2,0),Q327,1),"")</f>
        <v/>
      </c>
      <c r="Q327" s="3" t="s">
        <v>23</v>
      </c>
      <c r="R327" s="3" t="str">
        <f>IFERROR(MID(VLOOKUP($B327,Seqs!$A:$B,2,0),S327,1),"")</f>
        <v/>
      </c>
      <c r="S327" s="3" t="s">
        <v>23</v>
      </c>
      <c r="T327" s="3" t="str">
        <f>IFERROR(MID(VLOOKUP($B327,Seqs!$A:$B,2,0),U327,1),"")</f>
        <v>S</v>
      </c>
      <c r="U327" s="3">
        <v>217</v>
      </c>
      <c r="V327" s="3" t="str">
        <f>IFERROR(MID(VLOOKUP($B327,Seqs!$A:$B,2,0),W327,1),"")</f>
        <v>L</v>
      </c>
      <c r="W327" s="3">
        <v>255</v>
      </c>
      <c r="X327" s="3" t="str">
        <f>IFERROR(MID(VLOOKUP($B327,Seqs!$A:$B,2,0),Y327,1),"")</f>
        <v/>
      </c>
      <c r="Y327" s="3" t="s">
        <v>23</v>
      </c>
      <c r="Z327" s="3" t="str">
        <f>IFERROR(MID(VLOOKUP($B327,Seqs!$A:$B,2,0),AA327,1),"")</f>
        <v/>
      </c>
      <c r="AA327" s="3" t="s">
        <v>23</v>
      </c>
      <c r="AB327" s="3" t="str">
        <f>IFERROR(MID(VLOOKUP($B327,Seqs!$A:$B,2,0),AC327,1),"")</f>
        <v>S</v>
      </c>
      <c r="AC327" s="9">
        <v>262</v>
      </c>
      <c r="AD327" s="3" t="str">
        <f>IFERROR(MID(VLOOKUP($B327,Seqs!$A:$B,2,0),AE327,1),"")</f>
        <v>E</v>
      </c>
      <c r="AE327" s="3">
        <v>290</v>
      </c>
      <c r="AF327" s="3" t="str">
        <f>IFERROR(MID(VLOOKUP($B327,Seqs!$A:$B,2,0),AG327,1),"")</f>
        <v>C</v>
      </c>
      <c r="AG327" s="3">
        <v>294</v>
      </c>
      <c r="AH327" s="3" t="str">
        <f>IFERROR(MID(VLOOKUP($B327,Seqs!$A:$B,2,0),AI327,1),"")</f>
        <v>T</v>
      </c>
      <c r="AI327" s="3">
        <v>296</v>
      </c>
      <c r="AJ327" s="3" t="str">
        <f>IFERROR(MID(VLOOKUP($B327,Seqs!$A:$B,2,0),AK327,1),"")</f>
        <v>N</v>
      </c>
      <c r="AK327" s="3">
        <v>300</v>
      </c>
      <c r="AL327" s="3" t="str">
        <f>IFERROR(MID(VLOOKUP($B327,Seqs!$A:$B,2,0),AM327,1),"")</f>
        <v>A</v>
      </c>
      <c r="AM327" s="3">
        <v>335</v>
      </c>
      <c r="AN327" s="3" t="str">
        <f>IFERROR(MID(VLOOKUP($B327,Seqs!$A:$B,2,0),AO327,1),"")</f>
        <v>D</v>
      </c>
      <c r="AO327" s="3">
        <v>342</v>
      </c>
      <c r="AP327" s="3" t="str">
        <f>IFERROR(MID(VLOOKUP($B327,Seqs!$A:$B,2,0),AQ327,1),"")</f>
        <v>F</v>
      </c>
      <c r="AQ327" s="3">
        <v>367</v>
      </c>
      <c r="AR327" s="3" t="str">
        <f>IFERROR(MID(VLOOKUP($B327,Seqs!$A:$B,2,0),AS327,1),"")</f>
        <v>Q</v>
      </c>
      <c r="AS327" s="3">
        <v>374</v>
      </c>
      <c r="AT327" s="3" t="str">
        <f>IFERROR(MID(VLOOKUP($B327,Seqs!$A:$B,2,0),AU327,1),"")</f>
        <v>L</v>
      </c>
      <c r="AU327" s="3">
        <v>403</v>
      </c>
      <c r="AV327" s="3" t="str">
        <f>IFERROR(MID(VLOOKUP($B327,Seqs!$A:$B,2,0),AW327,1),"")</f>
        <v>N</v>
      </c>
      <c r="AW327" s="3">
        <v>404</v>
      </c>
      <c r="AX327" s="3" t="str">
        <f>IFERROR(MID(VLOOKUP($B327,Seqs!$A:$B,2,0),AY327,1),"")</f>
        <v>N</v>
      </c>
      <c r="AY327" s="3">
        <v>429</v>
      </c>
      <c r="AZ327" s="77" t="str">
        <f>VLOOKUP(B327,Classification!A:D,2,0)</f>
        <v>B1</v>
      </c>
      <c r="BA327" s="94" t="str">
        <f>VLOOKUP(B327,Classification!A:D,4,0)</f>
        <v>Glucagonreceptorfamily</v>
      </c>
      <c r="BB327" s="27" t="b">
        <f t="shared" si="1453"/>
        <v>1</v>
      </c>
      <c r="BC327" s="23">
        <f t="shared" si="1872"/>
        <v>264</v>
      </c>
      <c r="BD327" s="56" t="s">
        <v>23</v>
      </c>
      <c r="BE327" s="3" t="s">
        <v>1375</v>
      </c>
      <c r="BF327" s="119">
        <v>3.3</v>
      </c>
      <c r="BG327" s="49" t="s">
        <v>1378</v>
      </c>
      <c r="BH327" s="49" t="s">
        <v>1378</v>
      </c>
      <c r="BI327" s="1"/>
      <c r="BJ327" s="70" t="s">
        <v>1288</v>
      </c>
      <c r="BK327" s="57" t="s">
        <v>1288</v>
      </c>
      <c r="BL327" s="57" t="s">
        <v>1288</v>
      </c>
      <c r="BM327" s="57" t="s">
        <v>1288</v>
      </c>
      <c r="BN327" s="57" t="s">
        <v>1288</v>
      </c>
      <c r="BO327" s="57" t="s">
        <v>1288</v>
      </c>
      <c r="BP327" s="57" t="s">
        <v>1288</v>
      </c>
      <c r="BQ327" s="57" t="s">
        <v>1288</v>
      </c>
      <c r="BR327" s="57" t="s">
        <v>1288</v>
      </c>
      <c r="BS327" s="57" t="s">
        <v>1288</v>
      </c>
      <c r="BT327" s="57" t="s">
        <v>1288</v>
      </c>
      <c r="BU327" s="57" t="s">
        <v>1288</v>
      </c>
      <c r="BV327" s="70">
        <f t="shared" si="1873"/>
        <v>125</v>
      </c>
      <c r="BW327" s="71">
        <f t="shared" si="1874"/>
        <v>167</v>
      </c>
      <c r="BX327" s="72">
        <f t="shared" si="1875"/>
        <v>171</v>
      </c>
      <c r="BY327" s="71" t="str">
        <f t="shared" si="1876"/>
        <v>-</v>
      </c>
      <c r="BZ327" s="72">
        <f t="shared" si="1877"/>
        <v>217</v>
      </c>
      <c r="CA327" s="71" t="str">
        <f t="shared" si="1878"/>
        <v>-</v>
      </c>
      <c r="CB327" s="72">
        <f t="shared" si="1879"/>
        <v>262</v>
      </c>
      <c r="CC327" s="71">
        <f t="shared" si="1880"/>
        <v>294</v>
      </c>
      <c r="CD327" s="72">
        <f t="shared" si="1881"/>
        <v>300</v>
      </c>
      <c r="CE327" s="71">
        <f t="shared" si="1882"/>
        <v>342</v>
      </c>
      <c r="CF327" s="72">
        <f t="shared" si="1883"/>
        <v>374</v>
      </c>
      <c r="CG327" s="71">
        <f t="shared" si="1884"/>
        <v>404</v>
      </c>
      <c r="CH327" s="70">
        <f t="shared" si="1885"/>
        <v>164</v>
      </c>
      <c r="CI327" s="71">
        <f t="shared" si="1886"/>
        <v>170</v>
      </c>
      <c r="CJ327" s="72">
        <f t="shared" si="1887"/>
        <v>199</v>
      </c>
      <c r="CK327" s="72" t="str">
        <f t="shared" si="1888"/>
        <v>-</v>
      </c>
      <c r="CL327" s="72">
        <f t="shared" si="1889"/>
        <v>255</v>
      </c>
      <c r="CM327" s="72" t="str">
        <f t="shared" si="1890"/>
        <v>-</v>
      </c>
      <c r="CN327" s="72">
        <f t="shared" si="1891"/>
        <v>290</v>
      </c>
      <c r="CO327" s="72">
        <f t="shared" si="1892"/>
        <v>296</v>
      </c>
      <c r="CP327" s="72">
        <f t="shared" si="1893"/>
        <v>335</v>
      </c>
      <c r="CQ327" s="72">
        <f t="shared" si="1894"/>
        <v>367</v>
      </c>
      <c r="CR327" s="72">
        <f t="shared" si="1895"/>
        <v>403</v>
      </c>
      <c r="CS327" s="72">
        <f t="shared" si="1896"/>
        <v>429</v>
      </c>
      <c r="CT327" s="23">
        <f t="shared" si="1897"/>
        <v>1</v>
      </c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  <c r="ALO327" s="1"/>
      <c r="ALP327" s="1"/>
      <c r="ALQ327" s="1"/>
      <c r="ALR327" s="1"/>
      <c r="ALS327" s="1"/>
      <c r="ALT327" s="1"/>
      <c r="ALU327" s="1"/>
      <c r="ALV327" s="1"/>
      <c r="ALW327" s="1"/>
      <c r="ALX327" s="1"/>
      <c r="ALY327" s="1"/>
      <c r="ALZ327" s="1"/>
      <c r="AMA327" s="1"/>
      <c r="AMB327" s="1"/>
      <c r="AMC327" s="1"/>
      <c r="AMD327" s="1"/>
      <c r="AME327" s="1"/>
      <c r="AMF327" s="1"/>
      <c r="AMG327" s="1"/>
      <c r="AMH327" s="1"/>
      <c r="AMI327" s="1"/>
      <c r="AMJ327" s="1"/>
      <c r="AMK327" s="1"/>
      <c r="AML327" s="1"/>
      <c r="AMM327" s="1"/>
      <c r="AMN327" s="1"/>
      <c r="AMO327" s="1"/>
    </row>
    <row r="328" spans="1:1029" x14ac:dyDescent="0.2">
      <c r="A328" s="3" t="str">
        <f t="shared" ref="A328:A363" si="1898">CONCATENATE(B328,"_",C328)</f>
        <v>glr_human_5EE7</v>
      </c>
      <c r="B328" s="3" t="s">
        <v>32</v>
      </c>
      <c r="C328" s="3" t="s">
        <v>49</v>
      </c>
      <c r="D328" s="3" t="str">
        <f>IFERROR(MID(VLOOKUP($B328,Seqs!$A:$B,2,0),E328,1),"")</f>
        <v>Y</v>
      </c>
      <c r="E328" s="3">
        <v>138</v>
      </c>
      <c r="F328" s="3" t="str">
        <f>IFERROR(MID(VLOOKUP($B328,Seqs!$A:$B,2,0),G328,1),"")</f>
        <v>L</v>
      </c>
      <c r="G328" s="3">
        <v>166</v>
      </c>
      <c r="H328" s="3" t="str">
        <f>IFERROR(MID(VLOOKUP($B328,Seqs!$A:$B,2,0),I328,1),"")</f>
        <v>S</v>
      </c>
      <c r="I328" s="23">
        <v>167</v>
      </c>
      <c r="J328" s="3" t="str">
        <f>IFERROR(MID(VLOOKUP($B328,Seqs!$A:$B,2,0),K328,1),"")</f>
        <v>H</v>
      </c>
      <c r="K328" s="23">
        <v>170</v>
      </c>
      <c r="L328" s="3" t="str">
        <f>IFERROR(MID(VLOOKUP($B328,Seqs!$A:$B,2,0),M328,1),"")</f>
        <v>C</v>
      </c>
      <c r="M328" s="23">
        <v>171</v>
      </c>
      <c r="N328" s="3" t="str">
        <f>IFERROR(MID(VLOOKUP($B328,Seqs!$A:$B,2,0),O328,1),"")</f>
        <v>R</v>
      </c>
      <c r="O328" s="3">
        <v>199</v>
      </c>
      <c r="P328" s="3" t="str">
        <f>IFERROR(MID(VLOOKUP($B328,Seqs!$A:$B,2,0),Q328,1),"")</f>
        <v/>
      </c>
      <c r="Q328" s="3" t="s">
        <v>23</v>
      </c>
      <c r="R328" s="3" t="str">
        <f>IFERROR(MID(VLOOKUP($B328,Seqs!$A:$B,2,0),S328,1),"")</f>
        <v/>
      </c>
      <c r="S328" s="3" t="s">
        <v>23</v>
      </c>
      <c r="T328" s="3" t="str">
        <f>IFERROR(MID(VLOOKUP($B328,Seqs!$A:$B,2,0),U328,1),"")</f>
        <v>D</v>
      </c>
      <c r="U328" s="3">
        <v>218</v>
      </c>
      <c r="V328" s="3" t="str">
        <f>IFERROR(MID(VLOOKUP($B328,Seqs!$A:$B,2,0),W328,1),"")</f>
        <v>G</v>
      </c>
      <c r="W328" s="3">
        <v>254</v>
      </c>
      <c r="X328" s="3" t="str">
        <f>IFERROR(MID(VLOOKUP($B328,Seqs!$A:$B,2,0),Y328,1),"")</f>
        <v/>
      </c>
      <c r="Y328" s="3" t="s">
        <v>23</v>
      </c>
      <c r="Z328" s="3" t="str">
        <f>IFERROR(MID(VLOOKUP($B328,Seqs!$A:$B,2,0),AA328,1),"")</f>
        <v/>
      </c>
      <c r="AA328" s="3" t="s">
        <v>23</v>
      </c>
      <c r="AB328" s="3" t="str">
        <f>IFERROR(MID(VLOOKUP($B328,Seqs!$A:$B,2,0),AC328,1),"")</f>
        <v>S</v>
      </c>
      <c r="AC328" s="9">
        <v>262</v>
      </c>
      <c r="AD328" s="3" t="str">
        <f>IFERROR(MID(VLOOKUP($B328,Seqs!$A:$B,2,0),AE328,1),"")</f>
        <v>E</v>
      </c>
      <c r="AE328" s="3">
        <v>290</v>
      </c>
      <c r="AF328" s="3" t="str">
        <f>IFERROR(MID(VLOOKUP($B328,Seqs!$A:$B,2,0),AG328,1),"")</f>
        <v>C</v>
      </c>
      <c r="AG328" s="3">
        <v>294</v>
      </c>
      <c r="AH328" s="3" t="str">
        <f>IFERROR(MID(VLOOKUP($B328,Seqs!$A:$B,2,0),AI328,1),"")</f>
        <v>T</v>
      </c>
      <c r="AI328" s="3">
        <v>296</v>
      </c>
      <c r="AJ328" s="3" t="str">
        <f>IFERROR(MID(VLOOKUP($B328,Seqs!$A:$B,2,0),AK328,1),"")</f>
        <v>R</v>
      </c>
      <c r="AK328" s="105">
        <v>308</v>
      </c>
      <c r="AL328" s="3" t="str">
        <f>IFERROR(MID(VLOOKUP($B328,Seqs!$A:$B,2,0),AM328,1),"")</f>
        <v>A</v>
      </c>
      <c r="AM328" s="3">
        <v>335</v>
      </c>
      <c r="AN328" s="3" t="str">
        <f>IFERROR(MID(VLOOKUP($B328,Seqs!$A:$B,2,0),AO328,1),"")</f>
        <v>D</v>
      </c>
      <c r="AO328" s="3">
        <v>342</v>
      </c>
      <c r="AP328" s="3" t="str">
        <f>IFERROR(MID(VLOOKUP($B328,Seqs!$A:$B,2,0),AQ328,1),"")</f>
        <v>D</v>
      </c>
      <c r="AQ328" s="3">
        <v>370</v>
      </c>
      <c r="AR328" s="3" t="str">
        <f>IFERROR(MID(VLOOKUP($B328,Seqs!$A:$B,2,0),AS328,1),"")</f>
        <v>S</v>
      </c>
      <c r="AS328" s="3">
        <v>379</v>
      </c>
      <c r="AT328" s="3" t="str">
        <f>IFERROR(MID(VLOOKUP($B328,Seqs!$A:$B,2,0),AU328,1),"")</f>
        <v>F</v>
      </c>
      <c r="AU328" s="3">
        <v>402</v>
      </c>
      <c r="AV328" s="3" t="str">
        <f>IFERROR(MID(VLOOKUP($B328,Seqs!$A:$B,2,0),AW328,1),"")</f>
        <v>N</v>
      </c>
      <c r="AW328" s="3">
        <v>404</v>
      </c>
      <c r="AX328" s="3" t="str">
        <f>IFERROR(MID(VLOOKUP($B328,Seqs!$A:$B,2,0),AY328,1),"")</f>
        <v>R</v>
      </c>
      <c r="AY328" s="3">
        <v>417</v>
      </c>
      <c r="AZ328" s="77" t="str">
        <f>VLOOKUP(B328,Classification!A:D,2,0)</f>
        <v>B1</v>
      </c>
      <c r="BA328" s="94" t="str">
        <f>VLOOKUP(B328,Classification!A:D,4,0)</f>
        <v>Glucagonreceptorfamily</v>
      </c>
      <c r="BB328" s="27" t="b">
        <f t="shared" ref="BB328:BB363" si="1899">AND(E328&lt;G328,OR(G328&lt;I328,I328="-"),OR(I328&lt;K328,I328="-"),OR(K328&lt;M328,K328="-"),M328&lt;O328,OR(O328&lt;Q328,Q328="-"),OR(Q328&lt;S328,Q328="-"),OR(S328&lt;U328,S328="-"),U328&lt;W328,OR(W328&lt;Y328,Y328="-"),OR(Y328&lt;AA328,Y328="-"),OR(AA328&lt;AC328,AA328="-"),AC328&lt;AE328,OR(AE328&lt;AG328,AG328="-"),OR(AG328&lt;AI328,AG328="-"),OR(AI328&lt;AK328,AI328="-"),AK328&lt;AM328,AM328&lt;AO328,AO328&lt;AQ328,AQ328&lt;AS328,AS328&lt;AU328,OR(AU328&lt;AW328,AW328="-"),OR(AW328&lt;AY328,AW328="-"))</f>
        <v>1</v>
      </c>
      <c r="BC328" s="23">
        <f t="shared" si="1872"/>
        <v>228</v>
      </c>
      <c r="BD328" s="4" t="s">
        <v>23</v>
      </c>
      <c r="BE328" s="3" t="s">
        <v>1375</v>
      </c>
      <c r="BF328" s="119">
        <v>2.5</v>
      </c>
      <c r="BG328" s="49" t="s">
        <v>1378</v>
      </c>
      <c r="BH328" s="49" t="s">
        <v>1378</v>
      </c>
      <c r="BI328" s="1"/>
      <c r="BJ328" s="70" t="s">
        <v>1288</v>
      </c>
      <c r="BK328" s="57" t="s">
        <v>1288</v>
      </c>
      <c r="BL328" s="57" t="s">
        <v>1288</v>
      </c>
      <c r="BM328" s="57" t="s">
        <v>1288</v>
      </c>
      <c r="BN328" s="57" t="s">
        <v>1288</v>
      </c>
      <c r="BO328" s="57" t="s">
        <v>1288</v>
      </c>
      <c r="BP328" s="57" t="s">
        <v>1288</v>
      </c>
      <c r="BQ328" s="57" t="s">
        <v>1288</v>
      </c>
      <c r="BR328" s="57" t="s">
        <v>1288</v>
      </c>
      <c r="BS328" s="57" t="s">
        <v>1288</v>
      </c>
      <c r="BT328" s="57" t="s">
        <v>1288</v>
      </c>
      <c r="BU328" s="57" t="s">
        <v>1288</v>
      </c>
      <c r="BV328" s="70">
        <f t="shared" si="1873"/>
        <v>138</v>
      </c>
      <c r="BW328" s="71">
        <f t="shared" si="1874"/>
        <v>167</v>
      </c>
      <c r="BX328" s="72">
        <f t="shared" si="1875"/>
        <v>171</v>
      </c>
      <c r="BY328" s="71" t="str">
        <f t="shared" si="1876"/>
        <v>-</v>
      </c>
      <c r="BZ328" s="72">
        <f t="shared" si="1877"/>
        <v>218</v>
      </c>
      <c r="CA328" s="71" t="str">
        <f t="shared" si="1878"/>
        <v>-</v>
      </c>
      <c r="CB328" s="72">
        <f t="shared" si="1879"/>
        <v>262</v>
      </c>
      <c r="CC328" s="71">
        <f t="shared" si="1880"/>
        <v>294</v>
      </c>
      <c r="CD328" s="72">
        <f t="shared" si="1881"/>
        <v>308</v>
      </c>
      <c r="CE328" s="71">
        <f t="shared" si="1882"/>
        <v>342</v>
      </c>
      <c r="CF328" s="72">
        <f t="shared" si="1883"/>
        <v>379</v>
      </c>
      <c r="CG328" s="71">
        <f t="shared" si="1884"/>
        <v>404</v>
      </c>
      <c r="CH328" s="70">
        <f t="shared" si="1885"/>
        <v>166</v>
      </c>
      <c r="CI328" s="71">
        <f t="shared" si="1886"/>
        <v>170</v>
      </c>
      <c r="CJ328" s="72">
        <f t="shared" si="1887"/>
        <v>199</v>
      </c>
      <c r="CK328" s="72" t="str">
        <f t="shared" si="1888"/>
        <v>-</v>
      </c>
      <c r="CL328" s="72">
        <f t="shared" si="1889"/>
        <v>254</v>
      </c>
      <c r="CM328" s="72" t="str">
        <f t="shared" si="1890"/>
        <v>-</v>
      </c>
      <c r="CN328" s="72">
        <f t="shared" si="1891"/>
        <v>290</v>
      </c>
      <c r="CO328" s="72">
        <f t="shared" si="1892"/>
        <v>296</v>
      </c>
      <c r="CP328" s="72">
        <f t="shared" si="1893"/>
        <v>335</v>
      </c>
      <c r="CQ328" s="72">
        <f t="shared" si="1894"/>
        <v>370</v>
      </c>
      <c r="CR328" s="72">
        <f t="shared" si="1895"/>
        <v>402</v>
      </c>
      <c r="CS328" s="72">
        <f t="shared" si="1896"/>
        <v>417</v>
      </c>
      <c r="CT328" s="23">
        <f t="shared" si="1897"/>
        <v>1</v>
      </c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  <c r="AMK328" s="1"/>
      <c r="AML328" s="1"/>
      <c r="AMM328" s="1"/>
      <c r="AMN328" s="1"/>
      <c r="AMO328" s="1"/>
    </row>
    <row r="329" spans="1:1029" x14ac:dyDescent="0.2">
      <c r="A329" s="3" t="str">
        <f t="shared" ref="A329:A338" si="1900">CONCATENATE(B329,"_",C329)</f>
        <v>glr_human_5XEZ</v>
      </c>
      <c r="B329" s="3" t="s">
        <v>32</v>
      </c>
      <c r="C329" s="3" t="s">
        <v>1410</v>
      </c>
      <c r="D329" s="3" t="str">
        <f>IFERROR(MID(VLOOKUP($B329,Seqs!$A:$B,2,0),E329,1),"")</f>
        <v>Q</v>
      </c>
      <c r="E329" s="3">
        <v>131</v>
      </c>
      <c r="F329" s="3" t="str">
        <f>IFERROR(MID(VLOOKUP($B329,Seqs!$A:$B,2,0),G329,1),"")</f>
        <v>G</v>
      </c>
      <c r="G329" s="3">
        <v>164</v>
      </c>
      <c r="H329" s="3" t="str">
        <f>IFERROR(MID(VLOOKUP($B329,Seqs!$A:$B,2,0),I329,1),"")</f>
        <v>S</v>
      </c>
      <c r="I329" s="23">
        <v>167</v>
      </c>
      <c r="J329" s="3" t="str">
        <f>IFERROR(MID(VLOOKUP($B329,Seqs!$A:$B,2,0),K329,1),"")</f>
        <v>H</v>
      </c>
      <c r="K329" s="23">
        <v>170</v>
      </c>
      <c r="L329" s="3" t="str">
        <f>IFERROR(MID(VLOOKUP($B329,Seqs!$A:$B,2,0),M329,1),"")</f>
        <v>C</v>
      </c>
      <c r="M329" s="23">
        <v>171</v>
      </c>
      <c r="N329" s="3" t="str">
        <f>IFERROR(MID(VLOOKUP($B329,Seqs!$A:$B,2,0),O329,1),"")</f>
        <v>R</v>
      </c>
      <c r="O329" s="3">
        <v>201</v>
      </c>
      <c r="P329" s="3" t="str">
        <f>IFERROR(MID(VLOOKUP($B329,Seqs!$A:$B,2,0),Q329,1),"")</f>
        <v/>
      </c>
      <c r="Q329" s="3" t="s">
        <v>23</v>
      </c>
      <c r="R329" s="3" t="str">
        <f>IFERROR(MID(VLOOKUP($B329,Seqs!$A:$B,2,0),S329,1),"")</f>
        <v/>
      </c>
      <c r="S329" s="3" t="s">
        <v>23</v>
      </c>
      <c r="T329" s="3" t="str">
        <f>IFERROR(MID(VLOOKUP($B329,Seqs!$A:$B,2,0),U329,1),"")</f>
        <v>S</v>
      </c>
      <c r="U329" s="3">
        <v>217</v>
      </c>
      <c r="V329" s="3" t="str">
        <f>IFERROR(MID(VLOOKUP($B329,Seqs!$A:$B,2,0),W329,1),"")</f>
        <v>L</v>
      </c>
      <c r="W329" s="3">
        <v>255</v>
      </c>
      <c r="X329" s="3" t="str">
        <f>IFERROR(MID(VLOOKUP($B329,Seqs!$A:$B,2,0),Y329,1),"")</f>
        <v/>
      </c>
      <c r="Y329" s="3" t="s">
        <v>23</v>
      </c>
      <c r="Z329" s="3" t="str">
        <f>IFERROR(MID(VLOOKUP($B329,Seqs!$A:$B,2,0),AA329,1),"")</f>
        <v/>
      </c>
      <c r="AA329" s="3" t="s">
        <v>23</v>
      </c>
      <c r="AB329" s="3" t="str">
        <f>IFERROR(MID(VLOOKUP($B329,Seqs!$A:$B,2,0),AC329,1),"")</f>
        <v>E</v>
      </c>
      <c r="AC329" s="3">
        <v>260</v>
      </c>
      <c r="AD329" s="3" t="str">
        <f>IFERROR(MID(VLOOKUP($B329,Seqs!$A:$B,2,0),AE329,1),"")</f>
        <v>E</v>
      </c>
      <c r="AE329" s="3">
        <v>290</v>
      </c>
      <c r="AF329" s="3" t="str">
        <f>IFERROR(MID(VLOOKUP($B329,Seqs!$A:$B,2,0),AG329,1),"")</f>
        <v>C</v>
      </c>
      <c r="AG329" s="3">
        <v>294</v>
      </c>
      <c r="AH329" s="3" t="str">
        <f>IFERROR(MID(VLOOKUP($B329,Seqs!$A:$B,2,0),AI329,1),"")</f>
        <v>T</v>
      </c>
      <c r="AI329" s="3">
        <v>296</v>
      </c>
      <c r="AJ329" s="3" t="str">
        <f>IFERROR(MID(VLOOKUP($B329,Seqs!$A:$B,2,0),AK329,1),"")</f>
        <v>G</v>
      </c>
      <c r="AK329" s="3">
        <v>302</v>
      </c>
      <c r="AL329" s="3" t="str">
        <f>IFERROR(MID(VLOOKUP($B329,Seqs!$A:$B,2,0),AM329,1),"")</f>
        <v>R</v>
      </c>
      <c r="AM329" s="3">
        <v>334</v>
      </c>
      <c r="AN329" s="3" t="str">
        <f>IFERROR(MID(VLOOKUP($B329,Seqs!$A:$B,2,0),AO329,1),"")</f>
        <v>D</v>
      </c>
      <c r="AO329" s="3">
        <v>342</v>
      </c>
      <c r="AP329" s="3" t="str">
        <f>IFERROR(MID(VLOOKUP($B329,Seqs!$A:$B,2,0),AQ329,1),"")</f>
        <v>F</v>
      </c>
      <c r="AQ329" s="3">
        <v>367</v>
      </c>
      <c r="AR329" s="3" t="str">
        <f>IFERROR(MID(VLOOKUP($B329,Seqs!$A:$B,2,0),AS329,1),"")</f>
        <v>G</v>
      </c>
      <c r="AS329" s="3">
        <v>375</v>
      </c>
      <c r="AT329" s="3" t="str">
        <f>IFERROR(MID(VLOOKUP($B329,Seqs!$A:$B,2,0),AU329,1),"")</f>
        <v>L</v>
      </c>
      <c r="AU329" s="3">
        <v>403</v>
      </c>
      <c r="AV329" s="3" t="str">
        <f>IFERROR(MID(VLOOKUP($B329,Seqs!$A:$B,2,0),AW329,1),"")</f>
        <v>N</v>
      </c>
      <c r="AW329" s="3">
        <v>404</v>
      </c>
      <c r="AX329" s="3" t="str">
        <f>IFERROR(MID(VLOOKUP($B329,Seqs!$A:$B,2,0),AY329,1),"")</f>
        <v>W</v>
      </c>
      <c r="AY329" s="3">
        <v>415</v>
      </c>
      <c r="AZ329" s="77" t="str">
        <f>VLOOKUP(B329,Classification!A:D,2,0)</f>
        <v>B1</v>
      </c>
      <c r="BA329" s="94" t="str">
        <f>VLOOKUP(B329,Classification!A:D,4,0)</f>
        <v>Glucagonreceptorfamily</v>
      </c>
      <c r="BB329" s="27" t="b">
        <f t="shared" ref="BB329:BB338" si="1901">AND(E329&lt;G329,OR(G329&lt;I329,I329="-"),OR(I329&lt;K329,I329="-"),OR(K329&lt;M329,K329="-"),M329&lt;O329,OR(O329&lt;Q329,Q329="-"),OR(Q329&lt;S329,Q329="-"),OR(S329&lt;U329,S329="-"),U329&lt;W329,OR(W329&lt;Y329,Y329="-"),OR(Y329&lt;AA329,Y329="-"),OR(AA329&lt;AC329,AA329="-"),AC329&lt;AE329,OR(AE329&lt;AG329,AG329="-"),OR(AG329&lt;AI329,AG329="-"),OR(AI329&lt;AK329,AI329="-"),AK329&lt;AM329,AM329&lt;AO329,AO329&lt;AQ329,AQ329&lt;AS329,AS329&lt;AU329,OR(AU329&lt;AW329,AW329="-"),OR(AW329&lt;AY329,AW329="-"))</f>
        <v>1</v>
      </c>
      <c r="BC329" s="23">
        <f t="shared" ref="BC329:BC338" si="1902">_xlfn.AGGREGATE(9,6,CH329:CS329)-_xlfn.AGGREGATE(9,6,BV329:CG329)+12</f>
        <v>244</v>
      </c>
      <c r="BD329" s="4" t="s">
        <v>1377</v>
      </c>
      <c r="BE329" s="3" t="s">
        <v>1375</v>
      </c>
      <c r="BF329" s="119">
        <v>3</v>
      </c>
      <c r="BG329" s="49" t="s">
        <v>1282</v>
      </c>
      <c r="BH329" s="49" t="s">
        <v>1282</v>
      </c>
      <c r="BI329" s="1"/>
      <c r="BJ329" s="70" t="s">
        <v>1288</v>
      </c>
      <c r="BK329" s="57" t="s">
        <v>1288</v>
      </c>
      <c r="BL329" s="57" t="s">
        <v>1288</v>
      </c>
      <c r="BM329" s="57" t="s">
        <v>1288</v>
      </c>
      <c r="BN329" s="57" t="s">
        <v>1288</v>
      </c>
      <c r="BO329" s="57" t="s">
        <v>1288</v>
      </c>
      <c r="BP329" s="57" t="s">
        <v>1288</v>
      </c>
      <c r="BQ329" s="57" t="s">
        <v>1288</v>
      </c>
      <c r="BR329" s="57" t="s">
        <v>1288</v>
      </c>
      <c r="BS329" s="57" t="s">
        <v>1288</v>
      </c>
      <c r="BT329" s="57" t="s">
        <v>1288</v>
      </c>
      <c r="BU329" s="57" t="s">
        <v>1288</v>
      </c>
      <c r="BV329" s="70">
        <f t="shared" ref="BV329:BV338" si="1903">E329</f>
        <v>131</v>
      </c>
      <c r="BW329" s="71">
        <f t="shared" ref="BW329:BW338" si="1904">I329</f>
        <v>167</v>
      </c>
      <c r="BX329" s="72">
        <f t="shared" ref="BX329:BX338" si="1905">M329</f>
        <v>171</v>
      </c>
      <c r="BY329" s="71" t="str">
        <f t="shared" ref="BY329:BY338" si="1906">Q329</f>
        <v>-</v>
      </c>
      <c r="BZ329" s="72">
        <f t="shared" ref="BZ329:BZ338" si="1907">U329</f>
        <v>217</v>
      </c>
      <c r="CA329" s="71" t="str">
        <f t="shared" ref="CA329:CA338" si="1908">Y329</f>
        <v>-</v>
      </c>
      <c r="CB329" s="72">
        <f t="shared" ref="CB329:CB338" si="1909">AC329</f>
        <v>260</v>
      </c>
      <c r="CC329" s="71">
        <f t="shared" ref="CC329:CC338" si="1910">AG329</f>
        <v>294</v>
      </c>
      <c r="CD329" s="72">
        <f t="shared" ref="CD329:CD338" si="1911">AK329</f>
        <v>302</v>
      </c>
      <c r="CE329" s="71">
        <f t="shared" ref="CE329:CE338" si="1912">AO329</f>
        <v>342</v>
      </c>
      <c r="CF329" s="72">
        <f t="shared" ref="CF329:CF338" si="1913">AS329</f>
        <v>375</v>
      </c>
      <c r="CG329" s="71">
        <f t="shared" ref="CG329:CG338" si="1914">AW329</f>
        <v>404</v>
      </c>
      <c r="CH329" s="70">
        <f t="shared" ref="CH329:CH338" si="1915">G329</f>
        <v>164</v>
      </c>
      <c r="CI329" s="71">
        <f t="shared" ref="CI329:CI338" si="1916">K329</f>
        <v>170</v>
      </c>
      <c r="CJ329" s="72">
        <f t="shared" ref="CJ329:CJ338" si="1917">O329</f>
        <v>201</v>
      </c>
      <c r="CK329" s="72" t="str">
        <f t="shared" ref="CK329:CK338" si="1918">S329</f>
        <v>-</v>
      </c>
      <c r="CL329" s="72">
        <f t="shared" ref="CL329:CL338" si="1919">W329</f>
        <v>255</v>
      </c>
      <c r="CM329" s="72" t="str">
        <f t="shared" ref="CM329:CM338" si="1920">AA329</f>
        <v>-</v>
      </c>
      <c r="CN329" s="72">
        <f t="shared" ref="CN329:CN338" si="1921">AE329</f>
        <v>290</v>
      </c>
      <c r="CO329" s="72">
        <f t="shared" ref="CO329:CO338" si="1922">AI329</f>
        <v>296</v>
      </c>
      <c r="CP329" s="72">
        <f t="shared" ref="CP329:CP338" si="1923">AM329</f>
        <v>334</v>
      </c>
      <c r="CQ329" s="72">
        <f t="shared" ref="CQ329:CQ338" si="1924">AQ329</f>
        <v>367</v>
      </c>
      <c r="CR329" s="72">
        <f t="shared" ref="CR329:CR338" si="1925">AU329</f>
        <v>403</v>
      </c>
      <c r="CS329" s="72">
        <f t="shared" ref="CS329:CS338" si="1926">AY329</f>
        <v>415</v>
      </c>
      <c r="CT329" s="23">
        <f t="shared" ref="CT329:CT338" si="1927">M329-K329</f>
        <v>1</v>
      </c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  <c r="AMK329" s="1"/>
      <c r="AML329" s="1"/>
      <c r="AMM329" s="1"/>
      <c r="AMN329" s="1"/>
      <c r="AMO329" s="1"/>
    </row>
    <row r="330" spans="1:1029" x14ac:dyDescent="0.2">
      <c r="A330" s="3" t="str">
        <f t="shared" si="1900"/>
        <v>glr_human_5XF1</v>
      </c>
      <c r="B330" s="3" t="s">
        <v>32</v>
      </c>
      <c r="C330" s="3" t="s">
        <v>1411</v>
      </c>
      <c r="D330" s="3" t="str">
        <f>IFERROR(MID(VLOOKUP($B330,Seqs!$A:$B,2,0),E330,1),"")</f>
        <v>Q</v>
      </c>
      <c r="E330" s="3">
        <v>131</v>
      </c>
      <c r="F330" s="3" t="str">
        <f>IFERROR(MID(VLOOKUP($B330,Seqs!$A:$B,2,0),G330,1),"")</f>
        <v>L</v>
      </c>
      <c r="G330" s="3">
        <v>166</v>
      </c>
      <c r="H330" s="3" t="str">
        <f>IFERROR(MID(VLOOKUP($B330,Seqs!$A:$B,2,0),I330,1),"")</f>
        <v>S</v>
      </c>
      <c r="I330" s="23">
        <v>167</v>
      </c>
      <c r="J330" s="3" t="str">
        <f>IFERROR(MID(VLOOKUP($B330,Seqs!$A:$B,2,0),K330,1),"")</f>
        <v>H</v>
      </c>
      <c r="K330" s="23">
        <v>170</v>
      </c>
      <c r="L330" s="3" t="str">
        <f>IFERROR(MID(VLOOKUP($B330,Seqs!$A:$B,2,0),M330,1),"")</f>
        <v>N</v>
      </c>
      <c r="M330" s="23">
        <v>174</v>
      </c>
      <c r="N330" s="3" t="str">
        <f>IFERROR(MID(VLOOKUP($B330,Seqs!$A:$B,2,0),O330,1),"")</f>
        <v>R</v>
      </c>
      <c r="O330" s="3">
        <v>201</v>
      </c>
      <c r="P330" s="3" t="str">
        <f>IFERROR(MID(VLOOKUP($B330,Seqs!$A:$B,2,0),Q330,1),"")</f>
        <v/>
      </c>
      <c r="Q330" s="3" t="s">
        <v>23</v>
      </c>
      <c r="R330" s="3" t="str">
        <f>IFERROR(MID(VLOOKUP($B330,Seqs!$A:$B,2,0),S330,1),"")</f>
        <v/>
      </c>
      <c r="S330" s="3" t="s">
        <v>23</v>
      </c>
      <c r="T330" s="3" t="str">
        <f>IFERROR(MID(VLOOKUP($B330,Seqs!$A:$B,2,0),U330,1),"")</f>
        <v>S</v>
      </c>
      <c r="U330" s="3">
        <v>217</v>
      </c>
      <c r="V330" s="3" t="str">
        <f>IFERROR(MID(VLOOKUP($B330,Seqs!$A:$B,2,0),W330,1),"")</f>
        <v>L</v>
      </c>
      <c r="W330" s="3">
        <v>255</v>
      </c>
      <c r="X330" s="3" t="str">
        <f>IFERROR(MID(VLOOKUP($B330,Seqs!$A:$B,2,0),Y330,1),"")</f>
        <v/>
      </c>
      <c r="Y330" s="3" t="s">
        <v>23</v>
      </c>
      <c r="Z330" s="3" t="str">
        <f>IFERROR(MID(VLOOKUP($B330,Seqs!$A:$B,2,0),AA330,1),"")</f>
        <v/>
      </c>
      <c r="AA330" s="3" t="s">
        <v>23</v>
      </c>
      <c r="AB330" s="3" t="str">
        <f>IFERROR(MID(VLOOKUP($B330,Seqs!$A:$B,2,0),AC330,1),"")</f>
        <v>R</v>
      </c>
      <c r="AC330" s="3">
        <v>261</v>
      </c>
      <c r="AD330" s="3" t="str">
        <f>IFERROR(MID(VLOOKUP($B330,Seqs!$A:$B,2,0),AE330,1),"")</f>
        <v>F</v>
      </c>
      <c r="AE330" s="3">
        <v>289</v>
      </c>
      <c r="AF330" s="3" t="str">
        <f>IFERROR(MID(VLOOKUP($B330,Seqs!$A:$B,2,0),AG330,1),"")</f>
        <v>C</v>
      </c>
      <c r="AG330" s="3">
        <v>294</v>
      </c>
      <c r="AH330" s="3" t="str">
        <f>IFERROR(MID(VLOOKUP($B330,Seqs!$A:$B,2,0),AI330,1),"")</f>
        <v>T</v>
      </c>
      <c r="AI330" s="3">
        <v>296</v>
      </c>
      <c r="AJ330" s="3" t="str">
        <f>IFERROR(MID(VLOOKUP($B330,Seqs!$A:$B,2,0),AK330,1),"")</f>
        <v>D</v>
      </c>
      <c r="AK330" s="3">
        <v>299</v>
      </c>
      <c r="AL330" s="3" t="str">
        <f>IFERROR(MID(VLOOKUP($B330,Seqs!$A:$B,2,0),AM330,1),"")</f>
        <v>L</v>
      </c>
      <c r="AM330" s="3">
        <v>333</v>
      </c>
      <c r="AN330" s="3" t="str">
        <f>IFERROR(MID(VLOOKUP($B330,Seqs!$A:$B,2,0),AO330,1),"")</f>
        <v>D</v>
      </c>
      <c r="AO330" s="3">
        <v>342</v>
      </c>
      <c r="AP330" s="3" t="str">
        <f>IFERROR(MID(VLOOKUP($B330,Seqs!$A:$B,2,0),AQ330,1),"")</f>
        <v>V</v>
      </c>
      <c r="AQ330" s="3">
        <v>368</v>
      </c>
      <c r="AR330" s="3" t="str">
        <f>IFERROR(MID(VLOOKUP($B330,Seqs!$A:$B,2,0),AS330,1),"")</f>
        <v>L</v>
      </c>
      <c r="AS330" s="3">
        <v>377</v>
      </c>
      <c r="AT330" s="3" t="str">
        <f>IFERROR(MID(VLOOKUP($B330,Seqs!$A:$B,2,0),AU330,1),"")</f>
        <v>L</v>
      </c>
      <c r="AU330" s="3">
        <v>403</v>
      </c>
      <c r="AV330" s="3" t="str">
        <f>IFERROR(MID(VLOOKUP($B330,Seqs!$A:$B,2,0),AW330,1),"")</f>
        <v>N</v>
      </c>
      <c r="AW330" s="3">
        <v>404</v>
      </c>
      <c r="AX330" s="3" t="str">
        <f>IFERROR(MID(VLOOKUP($B330,Seqs!$A:$B,2,0),AY330,1),"")</f>
        <v>W</v>
      </c>
      <c r="AY330" s="3">
        <v>415</v>
      </c>
      <c r="AZ330" s="77" t="str">
        <f>VLOOKUP(B330,Classification!A:D,2,0)</f>
        <v>B1</v>
      </c>
      <c r="BA330" s="94" t="str">
        <f>VLOOKUP(B330,Classification!A:D,4,0)</f>
        <v>Glucagonreceptorfamily</v>
      </c>
      <c r="BB330" s="27" t="b">
        <f t="shared" si="1901"/>
        <v>1</v>
      </c>
      <c r="BC330" s="23">
        <f t="shared" si="1902"/>
        <v>242</v>
      </c>
      <c r="BD330" s="4" t="s">
        <v>23</v>
      </c>
      <c r="BE330" s="3" t="s">
        <v>1375</v>
      </c>
      <c r="BF330" s="119">
        <v>3.19</v>
      </c>
      <c r="BG330" s="49" t="s">
        <v>1282</v>
      </c>
      <c r="BH330" s="49" t="s">
        <v>1282</v>
      </c>
      <c r="BI330" s="1"/>
      <c r="BJ330" s="70" t="s">
        <v>1288</v>
      </c>
      <c r="BK330" s="57" t="s">
        <v>1288</v>
      </c>
      <c r="BL330" s="57" t="s">
        <v>1288</v>
      </c>
      <c r="BM330" s="57" t="s">
        <v>1288</v>
      </c>
      <c r="BN330" s="57" t="s">
        <v>1288</v>
      </c>
      <c r="BO330" s="57" t="s">
        <v>1288</v>
      </c>
      <c r="BP330" s="57" t="s">
        <v>1288</v>
      </c>
      <c r="BQ330" s="57" t="s">
        <v>1288</v>
      </c>
      <c r="BR330" s="57" t="s">
        <v>1288</v>
      </c>
      <c r="BS330" s="57" t="s">
        <v>1288</v>
      </c>
      <c r="BT330" s="57" t="s">
        <v>1288</v>
      </c>
      <c r="BU330" s="57" t="s">
        <v>1288</v>
      </c>
      <c r="BV330" s="70">
        <f t="shared" si="1903"/>
        <v>131</v>
      </c>
      <c r="BW330" s="71">
        <f t="shared" si="1904"/>
        <v>167</v>
      </c>
      <c r="BX330" s="72">
        <f t="shared" si="1905"/>
        <v>174</v>
      </c>
      <c r="BY330" s="71" t="str">
        <f t="shared" si="1906"/>
        <v>-</v>
      </c>
      <c r="BZ330" s="72">
        <f t="shared" si="1907"/>
        <v>217</v>
      </c>
      <c r="CA330" s="71" t="str">
        <f t="shared" si="1908"/>
        <v>-</v>
      </c>
      <c r="CB330" s="72">
        <f t="shared" si="1909"/>
        <v>261</v>
      </c>
      <c r="CC330" s="71">
        <f t="shared" si="1910"/>
        <v>294</v>
      </c>
      <c r="CD330" s="72">
        <f t="shared" si="1911"/>
        <v>299</v>
      </c>
      <c r="CE330" s="71">
        <f t="shared" si="1912"/>
        <v>342</v>
      </c>
      <c r="CF330" s="72">
        <f t="shared" si="1913"/>
        <v>377</v>
      </c>
      <c r="CG330" s="71">
        <f t="shared" si="1914"/>
        <v>404</v>
      </c>
      <c r="CH330" s="70">
        <f t="shared" si="1915"/>
        <v>166</v>
      </c>
      <c r="CI330" s="71">
        <f t="shared" si="1916"/>
        <v>170</v>
      </c>
      <c r="CJ330" s="72">
        <f t="shared" si="1917"/>
        <v>201</v>
      </c>
      <c r="CK330" s="72" t="str">
        <f t="shared" si="1918"/>
        <v>-</v>
      </c>
      <c r="CL330" s="72">
        <f t="shared" si="1919"/>
        <v>255</v>
      </c>
      <c r="CM330" s="72" t="str">
        <f t="shared" si="1920"/>
        <v>-</v>
      </c>
      <c r="CN330" s="72">
        <f t="shared" si="1921"/>
        <v>289</v>
      </c>
      <c r="CO330" s="72">
        <f t="shared" si="1922"/>
        <v>296</v>
      </c>
      <c r="CP330" s="72">
        <f t="shared" si="1923"/>
        <v>333</v>
      </c>
      <c r="CQ330" s="72">
        <f t="shared" si="1924"/>
        <v>368</v>
      </c>
      <c r="CR330" s="72">
        <f t="shared" si="1925"/>
        <v>403</v>
      </c>
      <c r="CS330" s="72">
        <f t="shared" si="1926"/>
        <v>415</v>
      </c>
      <c r="CT330" s="23">
        <f t="shared" si="1927"/>
        <v>4</v>
      </c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  <c r="AMK330" s="1"/>
      <c r="AML330" s="1"/>
      <c r="AMM330" s="1"/>
      <c r="AMN330" s="1"/>
      <c r="AMO330" s="1"/>
    </row>
    <row r="331" spans="1:1029" x14ac:dyDescent="0.2">
      <c r="A331" s="3" t="str">
        <f t="shared" si="1900"/>
        <v>glr_human_5YQZ</v>
      </c>
      <c r="B331" s="3" t="s">
        <v>32</v>
      </c>
      <c r="C331" s="3" t="s">
        <v>1463</v>
      </c>
      <c r="D331" s="3" t="str">
        <f>IFERROR(MID(VLOOKUP($B331,Seqs!$A:$B,2,0),E331,1),"")</f>
        <v>D</v>
      </c>
      <c r="E331" s="3">
        <v>124</v>
      </c>
      <c r="F331" s="3" t="str">
        <f>IFERROR(MID(VLOOKUP($B331,Seqs!$A:$B,2,0),G331,1),"")</f>
        <v>L</v>
      </c>
      <c r="G331" s="3">
        <v>166</v>
      </c>
      <c r="H331" s="3" t="str">
        <f>IFERROR(MID(VLOOKUP($B331,Seqs!$A:$B,2,0),I331,1),"")</f>
        <v>S</v>
      </c>
      <c r="I331" s="23">
        <v>167</v>
      </c>
      <c r="J331" s="3" t="str">
        <f>IFERROR(MID(VLOOKUP($B331,Seqs!$A:$B,2,0),K331,1),"")</f>
        <v>H</v>
      </c>
      <c r="K331" s="23">
        <v>170</v>
      </c>
      <c r="L331" s="3" t="str">
        <f>IFERROR(MID(VLOOKUP($B331,Seqs!$A:$B,2,0),M331,1),"")</f>
        <v>C</v>
      </c>
      <c r="M331" s="23">
        <v>171</v>
      </c>
      <c r="N331" s="3" t="str">
        <f>IFERROR(MID(VLOOKUP($B331,Seqs!$A:$B,2,0),O331,1),"")</f>
        <v>S</v>
      </c>
      <c r="O331" s="3">
        <v>203</v>
      </c>
      <c r="P331" s="3" t="str">
        <f>IFERROR(MID(VLOOKUP($B331,Seqs!$A:$B,2,0),Q331,1),"")</f>
        <v/>
      </c>
      <c r="Q331" s="3" t="s">
        <v>23</v>
      </c>
      <c r="R331" s="3" t="str">
        <f>IFERROR(MID(VLOOKUP($B331,Seqs!$A:$B,2,0),S331,1),"")</f>
        <v/>
      </c>
      <c r="S331" s="3" t="s">
        <v>23</v>
      </c>
      <c r="T331" s="3" t="str">
        <f>IFERROR(MID(VLOOKUP($B331,Seqs!$A:$B,2,0),U331,1),"")</f>
        <v>A</v>
      </c>
      <c r="U331" s="3">
        <v>220</v>
      </c>
      <c r="V331" s="3" t="str">
        <f>IFERROR(MID(VLOOKUP($B331,Seqs!$A:$B,2,0),W331,1),"")</f>
        <v>L</v>
      </c>
      <c r="W331" s="3">
        <v>255</v>
      </c>
      <c r="X331" s="3" t="str">
        <f>IFERROR(MID(VLOOKUP($B331,Seqs!$A:$B,2,0),Y331,1),"")</f>
        <v/>
      </c>
      <c r="Y331" s="3" t="s">
        <v>23</v>
      </c>
      <c r="Z331" s="3" t="str">
        <f>IFERROR(MID(VLOOKUP($B331,Seqs!$A:$B,2,0),AA331,1),"")</f>
        <v/>
      </c>
      <c r="AA331" s="3" t="s">
        <v>23</v>
      </c>
      <c r="AB331" s="3" t="str">
        <f>IFERROR(MID(VLOOKUP($B331,Seqs!$A:$B,2,0),AC331,1),"")</f>
        <v>F</v>
      </c>
      <c r="AC331" s="3">
        <v>263</v>
      </c>
      <c r="AD331" s="3" t="str">
        <f>IFERROR(MID(VLOOKUP($B331,Seqs!$A:$B,2,0),AE331,1),"")</f>
        <v>E</v>
      </c>
      <c r="AE331" s="3">
        <v>290</v>
      </c>
      <c r="AF331" s="3" t="str">
        <f>IFERROR(MID(VLOOKUP($B331,Seqs!$A:$B,2,0),AG331,1),"")</f>
        <v>C</v>
      </c>
      <c r="AG331" s="3">
        <v>294</v>
      </c>
      <c r="AH331" s="3" t="str">
        <f>IFERROR(MID(VLOOKUP($B331,Seqs!$A:$B,2,0),AI331,1),"")</f>
        <v>T</v>
      </c>
      <c r="AI331" s="3">
        <v>296</v>
      </c>
      <c r="AJ331" s="3" t="str">
        <f>IFERROR(MID(VLOOKUP($B331,Seqs!$A:$B,2,0),AK331,1),"")</f>
        <v>F</v>
      </c>
      <c r="AK331" s="3">
        <v>303</v>
      </c>
      <c r="AL331" s="3" t="str">
        <f>IFERROR(MID(VLOOKUP($B331,Seqs!$A:$B,2,0),AM331,1),"")</f>
        <v>A</v>
      </c>
      <c r="AM331" s="3">
        <v>335</v>
      </c>
      <c r="AN331" s="3" t="str">
        <f>IFERROR(MID(VLOOKUP($B331,Seqs!$A:$B,2,0),AO331,1),"")</f>
        <v>D</v>
      </c>
      <c r="AO331" s="3">
        <v>342</v>
      </c>
      <c r="AP331" s="3" t="str">
        <f>IFERROR(MID(VLOOKUP($B331,Seqs!$A:$B,2,0),AQ331,1),"")</f>
        <v>T</v>
      </c>
      <c r="AQ331" s="3">
        <v>369</v>
      </c>
      <c r="AR331" s="3" t="str">
        <f>IFERROR(MID(VLOOKUP($B331,Seqs!$A:$B,2,0),AS331,1),"")</f>
        <v>G</v>
      </c>
      <c r="AS331" s="3">
        <v>375</v>
      </c>
      <c r="AT331" s="3" t="str">
        <f>IFERROR(MID(VLOOKUP($B331,Seqs!$A:$B,2,0),AU331,1),"")</f>
        <v>L</v>
      </c>
      <c r="AU331" s="3">
        <v>403</v>
      </c>
      <c r="AV331" s="3" t="str">
        <f>IFERROR(MID(VLOOKUP($B331,Seqs!$A:$B,2,0),AW331,1),"")</f>
        <v>N</v>
      </c>
      <c r="AW331" s="3">
        <v>404</v>
      </c>
      <c r="AX331" s="3" t="str">
        <f>IFERROR(MID(VLOOKUP($B331,Seqs!$A:$B,2,0),AY331,1),"")</f>
        <v>E</v>
      </c>
      <c r="AY331" s="3">
        <v>426</v>
      </c>
      <c r="AZ331" s="77" t="str">
        <f>VLOOKUP(B331,Classification!A:D,2,0)</f>
        <v>B1</v>
      </c>
      <c r="BA331" s="94" t="str">
        <f>VLOOKUP(B331,Classification!A:D,4,0)</f>
        <v>Glucagonreceptorfamily</v>
      </c>
      <c r="BB331" s="27" t="b">
        <f t="shared" si="1901"/>
        <v>1</v>
      </c>
      <c r="BC331" s="23">
        <f t="shared" si="1902"/>
        <v>262</v>
      </c>
      <c r="BD331" s="4" t="s">
        <v>23</v>
      </c>
      <c r="BE331" s="3" t="s">
        <v>1375</v>
      </c>
      <c r="BF331" s="119">
        <v>3</v>
      </c>
      <c r="BG331" s="49" t="s">
        <v>1423</v>
      </c>
      <c r="BH331" s="49" t="s">
        <v>1423</v>
      </c>
      <c r="BI331" s="1"/>
      <c r="BJ331" s="70" t="s">
        <v>1288</v>
      </c>
      <c r="BK331" s="57" t="s">
        <v>1288</v>
      </c>
      <c r="BL331" s="57" t="s">
        <v>1288</v>
      </c>
      <c r="BM331" s="57" t="s">
        <v>1288</v>
      </c>
      <c r="BN331" s="57" t="s">
        <v>1288</v>
      </c>
      <c r="BO331" s="57" t="s">
        <v>1288</v>
      </c>
      <c r="BP331" s="57" t="s">
        <v>1288</v>
      </c>
      <c r="BQ331" s="57" t="s">
        <v>1288</v>
      </c>
      <c r="BR331" s="57" t="s">
        <v>1288</v>
      </c>
      <c r="BS331" s="57" t="s">
        <v>1288</v>
      </c>
      <c r="BT331" s="57" t="s">
        <v>1288</v>
      </c>
      <c r="BU331" s="57" t="s">
        <v>1288</v>
      </c>
      <c r="BV331" s="70">
        <f t="shared" si="1903"/>
        <v>124</v>
      </c>
      <c r="BW331" s="71">
        <f t="shared" si="1904"/>
        <v>167</v>
      </c>
      <c r="BX331" s="72">
        <f t="shared" si="1905"/>
        <v>171</v>
      </c>
      <c r="BY331" s="71" t="str">
        <f t="shared" si="1906"/>
        <v>-</v>
      </c>
      <c r="BZ331" s="72">
        <f t="shared" si="1907"/>
        <v>220</v>
      </c>
      <c r="CA331" s="71" t="str">
        <f t="shared" si="1908"/>
        <v>-</v>
      </c>
      <c r="CB331" s="72">
        <f t="shared" si="1909"/>
        <v>263</v>
      </c>
      <c r="CC331" s="71">
        <f t="shared" si="1910"/>
        <v>294</v>
      </c>
      <c r="CD331" s="72">
        <f t="shared" si="1911"/>
        <v>303</v>
      </c>
      <c r="CE331" s="71">
        <f t="shared" si="1912"/>
        <v>342</v>
      </c>
      <c r="CF331" s="72">
        <f t="shared" si="1913"/>
        <v>375</v>
      </c>
      <c r="CG331" s="71">
        <f t="shared" si="1914"/>
        <v>404</v>
      </c>
      <c r="CH331" s="70">
        <f t="shared" si="1915"/>
        <v>166</v>
      </c>
      <c r="CI331" s="71">
        <f t="shared" si="1916"/>
        <v>170</v>
      </c>
      <c r="CJ331" s="72">
        <f t="shared" si="1917"/>
        <v>203</v>
      </c>
      <c r="CK331" s="72" t="str">
        <f t="shared" si="1918"/>
        <v>-</v>
      </c>
      <c r="CL331" s="72">
        <f t="shared" si="1919"/>
        <v>255</v>
      </c>
      <c r="CM331" s="72" t="str">
        <f t="shared" si="1920"/>
        <v>-</v>
      </c>
      <c r="CN331" s="72">
        <f t="shared" si="1921"/>
        <v>290</v>
      </c>
      <c r="CO331" s="72">
        <f t="shared" si="1922"/>
        <v>296</v>
      </c>
      <c r="CP331" s="72">
        <f t="shared" si="1923"/>
        <v>335</v>
      </c>
      <c r="CQ331" s="72">
        <f t="shared" si="1924"/>
        <v>369</v>
      </c>
      <c r="CR331" s="72">
        <f t="shared" si="1925"/>
        <v>403</v>
      </c>
      <c r="CS331" s="72">
        <f t="shared" si="1926"/>
        <v>426</v>
      </c>
      <c r="CT331" s="23">
        <f t="shared" si="1927"/>
        <v>1</v>
      </c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  <c r="AMK331" s="1"/>
      <c r="AML331" s="1"/>
      <c r="AMM331" s="1"/>
      <c r="AMN331" s="1"/>
      <c r="AMO331" s="1"/>
    </row>
    <row r="332" spans="1:1029" x14ac:dyDescent="0.2">
      <c r="A332" s="3" t="str">
        <f t="shared" si="1900"/>
        <v>glp1r_human__wt</v>
      </c>
      <c r="B332" s="3" t="s">
        <v>406</v>
      </c>
      <c r="C332" s="3" t="s">
        <v>100</v>
      </c>
      <c r="D332" s="3" t="str">
        <f>IFERROR(MID(VLOOKUP($B332,Seqs!$A:$B,2,0),E332,1),"")</f>
        <v>E</v>
      </c>
      <c r="E332" s="3">
        <v>138</v>
      </c>
      <c r="F332" s="3" t="str">
        <f>IFERROR(MID(VLOOKUP($B332,Seqs!$A:$B,2,0),G332,1),"")</f>
        <v>F</v>
      </c>
      <c r="G332" s="3">
        <v>169</v>
      </c>
      <c r="H332" s="3" t="str">
        <f>IFERROR(MID(VLOOKUP($B332,Seqs!$A:$B,2,0),I332,1),"")</f>
        <v>R</v>
      </c>
      <c r="I332" s="23">
        <v>170</v>
      </c>
      <c r="J332" s="3" t="str">
        <f>IFERROR(MID(VLOOKUP($B332,Seqs!$A:$B,2,0),K332,1),"")</f>
        <v>H</v>
      </c>
      <c r="K332" s="23">
        <v>173</v>
      </c>
      <c r="L332" s="3" t="str">
        <f>IFERROR(MID(VLOOKUP($B332,Seqs!$A:$B,2,0),M332,1),"")</f>
        <v>C</v>
      </c>
      <c r="M332" s="23">
        <v>174</v>
      </c>
      <c r="N332" s="3" t="str">
        <f>IFERROR(MID(VLOOKUP($B332,Seqs!$A:$B,2,0),O332,1),"")</f>
        <v>S</v>
      </c>
      <c r="O332" s="3">
        <v>206</v>
      </c>
      <c r="P332" s="3" t="str">
        <f>IFERROR(MID(VLOOKUP($B332,Seqs!$A:$B,2,0),Q332,1),"")</f>
        <v/>
      </c>
      <c r="Q332" s="3" t="s">
        <v>23</v>
      </c>
      <c r="R332" s="3" t="str">
        <f>IFERROR(MID(VLOOKUP($B332,Seqs!$A:$B,2,0),S332,1),"")</f>
        <v/>
      </c>
      <c r="S332" s="3" t="s">
        <v>23</v>
      </c>
      <c r="T332" s="3" t="str">
        <f>IFERROR(MID(VLOOKUP($B332,Seqs!$A:$B,2,0),U332,1),"")</f>
        <v>L</v>
      </c>
      <c r="U332" s="3">
        <v>224</v>
      </c>
      <c r="V332" s="3" t="str">
        <f>IFERROR(MID(VLOOKUP($B332,Seqs!$A:$B,2,0),W332,1),"")</f>
        <v>F</v>
      </c>
      <c r="W332" s="3">
        <v>257</v>
      </c>
      <c r="X332" s="3" t="str">
        <f>IFERROR(MID(VLOOKUP($B332,Seqs!$A:$B,2,0),Y332,1),"")</f>
        <v/>
      </c>
      <c r="Y332" s="3" t="s">
        <v>23</v>
      </c>
      <c r="Z332" s="3" t="str">
        <f>IFERROR(MID(VLOOKUP($B332,Seqs!$A:$B,2,0),AA332,1),"")</f>
        <v/>
      </c>
      <c r="AA332" s="3" t="s">
        <v>23</v>
      </c>
      <c r="AB332" s="3" t="str">
        <f>IFERROR(MID(VLOOKUP($B332,Seqs!$A:$B,2,0),AC332,1),"")</f>
        <v>E</v>
      </c>
      <c r="AC332" s="3">
        <v>262</v>
      </c>
      <c r="AD332" s="3" t="str">
        <f>IFERROR(MID(VLOOKUP($B332,Seqs!$A:$B,2,0),AE332,1),"")</f>
        <v>E</v>
      </c>
      <c r="AE332" s="3">
        <v>292</v>
      </c>
      <c r="AF332" s="3" t="str">
        <f>IFERROR(MID(VLOOKUP($B332,Seqs!$A:$B,2,0),AG332,1),"")</f>
        <v>C</v>
      </c>
      <c r="AG332" s="3">
        <v>296</v>
      </c>
      <c r="AH332" s="3" t="str">
        <f>IFERROR(MID(VLOOKUP($B332,Seqs!$A:$B,2,0),AI332,1),"")</f>
        <v>T</v>
      </c>
      <c r="AI332" s="3">
        <v>298</v>
      </c>
      <c r="AJ332" s="3" t="str">
        <f>IFERROR(MID(VLOOKUP($B332,Seqs!$A:$B,2,0),AK332,1),"")</f>
        <v>N</v>
      </c>
      <c r="AK332" s="3">
        <v>302</v>
      </c>
      <c r="AL332" s="3" t="str">
        <f>IFERROR(MID(VLOOKUP($B332,Seqs!$A:$B,2,0),AM332,1),"")</f>
        <v>A</v>
      </c>
      <c r="AM332" s="3">
        <v>337</v>
      </c>
      <c r="AN332" s="3" t="str">
        <f>IFERROR(MID(VLOOKUP($B332,Seqs!$A:$B,2,0),AO332,1),"")</f>
        <v>D</v>
      </c>
      <c r="AO332" s="3">
        <v>344</v>
      </c>
      <c r="AP332" s="3" t="str">
        <f>IFERROR(MID(VLOOKUP($B332,Seqs!$A:$B,2,0),AQ332,1),"")</f>
        <v>F</v>
      </c>
      <c r="AQ332" s="3">
        <v>369</v>
      </c>
      <c r="AR332" s="3" t="str">
        <f>IFERROR(MID(VLOOKUP($B332,Seqs!$A:$B,2,0),AS332,1),"")</f>
        <v>G</v>
      </c>
      <c r="AS332" s="3">
        <v>377</v>
      </c>
      <c r="AT332" s="3" t="str">
        <f>IFERROR(MID(VLOOKUP($B332,Seqs!$A:$B,2,0),AU332,1),"")</f>
        <v>V</v>
      </c>
      <c r="AU332" s="3">
        <v>405</v>
      </c>
      <c r="AV332" s="3" t="str">
        <f>IFERROR(MID(VLOOKUP($B332,Seqs!$A:$B,2,0),AW332,1),"")</f>
        <v>N</v>
      </c>
      <c r="AW332" s="3">
        <v>406</v>
      </c>
      <c r="AX332" s="3" t="str">
        <f>IFERROR(MID(VLOOKUP($B332,Seqs!$A:$B,2,0),AY332,1),"")</f>
        <v>S</v>
      </c>
      <c r="AY332" s="3">
        <v>431</v>
      </c>
      <c r="AZ332" s="77" t="str">
        <f>VLOOKUP(B332,Classification!A:D,2,0)</f>
        <v>B1</v>
      </c>
      <c r="BA332" s="94" t="str">
        <f>VLOOKUP(B332,Classification!A:D,4,0)</f>
        <v>Glucagonreceptorfamily</v>
      </c>
      <c r="BB332" s="27" t="b">
        <f t="shared" si="1901"/>
        <v>1</v>
      </c>
      <c r="BC332" s="23">
        <f t="shared" si="1902"/>
        <v>256</v>
      </c>
      <c r="BD332" s="4" t="s">
        <v>23</v>
      </c>
      <c r="BE332" s="3" t="s">
        <v>23</v>
      </c>
      <c r="BF332" s="119" t="s">
        <v>23</v>
      </c>
      <c r="BG332" s="49" t="s">
        <v>1378</v>
      </c>
      <c r="BH332" s="49" t="s">
        <v>1378</v>
      </c>
      <c r="BI332" s="1"/>
      <c r="BJ332" s="70" t="s">
        <v>1288</v>
      </c>
      <c r="BK332" s="57" t="s">
        <v>1288</v>
      </c>
      <c r="BL332" s="57" t="s">
        <v>1288</v>
      </c>
      <c r="BM332" s="57" t="s">
        <v>1288</v>
      </c>
      <c r="BN332" s="57" t="s">
        <v>1288</v>
      </c>
      <c r="BO332" s="57" t="s">
        <v>1288</v>
      </c>
      <c r="BP332" s="57" t="s">
        <v>1288</v>
      </c>
      <c r="BQ332" s="57" t="s">
        <v>1288</v>
      </c>
      <c r="BR332" s="57" t="s">
        <v>1288</v>
      </c>
      <c r="BS332" s="57" t="s">
        <v>1288</v>
      </c>
      <c r="BT332" s="57" t="s">
        <v>1288</v>
      </c>
      <c r="BU332" s="57" t="s">
        <v>1288</v>
      </c>
      <c r="BV332" s="70">
        <f t="shared" si="1903"/>
        <v>138</v>
      </c>
      <c r="BW332" s="71">
        <f t="shared" si="1904"/>
        <v>170</v>
      </c>
      <c r="BX332" s="72">
        <f t="shared" si="1905"/>
        <v>174</v>
      </c>
      <c r="BY332" s="71" t="str">
        <f t="shared" si="1906"/>
        <v>-</v>
      </c>
      <c r="BZ332" s="72">
        <f t="shared" si="1907"/>
        <v>224</v>
      </c>
      <c r="CA332" s="71" t="str">
        <f t="shared" si="1908"/>
        <v>-</v>
      </c>
      <c r="CB332" s="72">
        <f t="shared" si="1909"/>
        <v>262</v>
      </c>
      <c r="CC332" s="71">
        <f t="shared" si="1910"/>
        <v>296</v>
      </c>
      <c r="CD332" s="72">
        <f t="shared" si="1911"/>
        <v>302</v>
      </c>
      <c r="CE332" s="71">
        <f t="shared" si="1912"/>
        <v>344</v>
      </c>
      <c r="CF332" s="72">
        <f t="shared" si="1913"/>
        <v>377</v>
      </c>
      <c r="CG332" s="71">
        <f t="shared" si="1914"/>
        <v>406</v>
      </c>
      <c r="CH332" s="70">
        <f t="shared" si="1915"/>
        <v>169</v>
      </c>
      <c r="CI332" s="71">
        <f t="shared" si="1916"/>
        <v>173</v>
      </c>
      <c r="CJ332" s="72">
        <f t="shared" si="1917"/>
        <v>206</v>
      </c>
      <c r="CK332" s="72" t="str">
        <f t="shared" si="1918"/>
        <v>-</v>
      </c>
      <c r="CL332" s="72">
        <f t="shared" si="1919"/>
        <v>257</v>
      </c>
      <c r="CM332" s="72" t="str">
        <f t="shared" si="1920"/>
        <v>-</v>
      </c>
      <c r="CN332" s="72">
        <f t="shared" si="1921"/>
        <v>292</v>
      </c>
      <c r="CO332" s="72">
        <f t="shared" si="1922"/>
        <v>298</v>
      </c>
      <c r="CP332" s="72">
        <f t="shared" si="1923"/>
        <v>337</v>
      </c>
      <c r="CQ332" s="72">
        <f t="shared" si="1924"/>
        <v>369</v>
      </c>
      <c r="CR332" s="72">
        <f t="shared" si="1925"/>
        <v>405</v>
      </c>
      <c r="CS332" s="72">
        <f t="shared" si="1926"/>
        <v>431</v>
      </c>
      <c r="CT332" s="23">
        <f t="shared" si="1927"/>
        <v>1</v>
      </c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  <c r="AMK332" s="1"/>
      <c r="AML332" s="1"/>
      <c r="AMM332" s="1"/>
      <c r="AMN332" s="1"/>
      <c r="AMO332" s="1"/>
    </row>
    <row r="333" spans="1:1029" x14ac:dyDescent="0.2">
      <c r="A333" s="3" t="str">
        <f t="shared" si="1900"/>
        <v>glp1r_human_5VEW</v>
      </c>
      <c r="B333" s="3" t="s">
        <v>406</v>
      </c>
      <c r="C333" s="3" t="s">
        <v>1408</v>
      </c>
      <c r="D333" s="3" t="str">
        <f>IFERROR(MID(VLOOKUP($B333,Seqs!$A:$B,2,0),E333,1),"")</f>
        <v>S</v>
      </c>
      <c r="E333" s="3">
        <v>136</v>
      </c>
      <c r="F333" s="3" t="str">
        <f>IFERROR(MID(VLOOKUP($B333,Seqs!$A:$B,2,0),G333,1),"")</f>
        <v>F</v>
      </c>
      <c r="G333" s="3">
        <v>169</v>
      </c>
      <c r="H333" s="3" t="str">
        <f>IFERROR(MID(VLOOKUP($B333,Seqs!$A:$B,2,0),I333,1),"")</f>
        <v>R</v>
      </c>
      <c r="I333" s="23">
        <v>170</v>
      </c>
      <c r="J333" s="3" t="str">
        <f>IFERROR(MID(VLOOKUP($B333,Seqs!$A:$B,2,0),K333,1),"")</f>
        <v>H</v>
      </c>
      <c r="K333" s="23">
        <v>173</v>
      </c>
      <c r="L333" s="3" t="str">
        <f>IFERROR(MID(VLOOKUP($B333,Seqs!$A:$B,2,0),M333,1),"")</f>
        <v>C</v>
      </c>
      <c r="M333" s="23">
        <v>174</v>
      </c>
      <c r="N333" s="3" t="str">
        <f>IFERROR(MID(VLOOKUP($B333,Seqs!$A:$B,2,0),O333,1),"")</f>
        <v>L</v>
      </c>
      <c r="O333" s="3">
        <v>201</v>
      </c>
      <c r="P333" s="3" t="str">
        <f>IFERROR(MID(VLOOKUP($B333,Seqs!$A:$B,2,0),Q333,1),"")</f>
        <v/>
      </c>
      <c r="Q333" s="3" t="s">
        <v>23</v>
      </c>
      <c r="R333" s="3" t="str">
        <f>IFERROR(MID(VLOOKUP($B333,Seqs!$A:$B,2,0),S333,1),"")</f>
        <v/>
      </c>
      <c r="S333" s="3" t="s">
        <v>23</v>
      </c>
      <c r="T333" s="3" t="str">
        <f>IFERROR(MID(VLOOKUP($B333,Seqs!$A:$B,2,0),U333,1),"")</f>
        <v>L</v>
      </c>
      <c r="U333" s="3">
        <v>224</v>
      </c>
      <c r="V333" s="3" t="str">
        <f>IFERROR(MID(VLOOKUP($B333,Seqs!$A:$B,2,0),W333,1),"")</f>
        <v>F</v>
      </c>
      <c r="W333" s="3">
        <v>257</v>
      </c>
      <c r="X333" s="3" t="str">
        <f>IFERROR(MID(VLOOKUP($B333,Seqs!$A:$B,2,0),Y333,1),"")</f>
        <v/>
      </c>
      <c r="Y333" s="3" t="s">
        <v>23</v>
      </c>
      <c r="Z333" s="3" t="str">
        <f>IFERROR(MID(VLOOKUP($B333,Seqs!$A:$B,2,0),AA333,1),"")</f>
        <v/>
      </c>
      <c r="AA333" s="3" t="s">
        <v>23</v>
      </c>
      <c r="AB333" s="3" t="str">
        <f>IFERROR(MID(VLOOKUP($B333,Seqs!$A:$B,2,0),AC333,1),"")</f>
        <v>E</v>
      </c>
      <c r="AC333" s="3">
        <v>262</v>
      </c>
      <c r="AD333" s="3" t="str">
        <f>IFERROR(MID(VLOOKUP($B333,Seqs!$A:$B,2,0),AE333,1),"")</f>
        <v>E</v>
      </c>
      <c r="AE333" s="3">
        <v>292</v>
      </c>
      <c r="AF333" s="3" t="str">
        <f>IFERROR(MID(VLOOKUP($B333,Seqs!$A:$B,2,0),AG333,1),"")</f>
        <v>C</v>
      </c>
      <c r="AG333" s="3">
        <v>296</v>
      </c>
      <c r="AH333" s="3" t="str">
        <f>IFERROR(MID(VLOOKUP($B333,Seqs!$A:$B,2,0),AI333,1),"")</f>
        <v>T</v>
      </c>
      <c r="AI333" s="3">
        <v>298</v>
      </c>
      <c r="AJ333" s="3" t="str">
        <f>IFERROR(MID(VLOOKUP($B333,Seqs!$A:$B,2,0),AK333,1),"")</f>
        <v>Y</v>
      </c>
      <c r="AK333" s="3">
        <v>305</v>
      </c>
      <c r="AL333" s="3" t="str">
        <f>IFERROR(MID(VLOOKUP($B333,Seqs!$A:$B,2,0),AM333,1),"")</f>
        <v>A</v>
      </c>
      <c r="AM333" s="3">
        <v>337</v>
      </c>
      <c r="AN333" s="3" t="str">
        <f>IFERROR(MID(VLOOKUP($B333,Seqs!$A:$B,2,0),AO333,1),"")</f>
        <v>D</v>
      </c>
      <c r="AO333" s="3">
        <v>344</v>
      </c>
      <c r="AP333" s="3" t="str">
        <f>IFERROR(MID(VLOOKUP($B333,Seqs!$A:$B,2,0),AQ333,1),"")</f>
        <v>F</v>
      </c>
      <c r="AQ333" s="3">
        <v>367</v>
      </c>
      <c r="AR333" s="3" t="str">
        <f>IFERROR(MID(VLOOKUP($B333,Seqs!$A:$B,2,0),AS333,1),"")</f>
        <v>R</v>
      </c>
      <c r="AS333" s="3">
        <v>380</v>
      </c>
      <c r="AT333" s="3" t="str">
        <f>IFERROR(MID(VLOOKUP($B333,Seqs!$A:$B,2,0),AU333,1),"")</f>
        <v>V</v>
      </c>
      <c r="AU333" s="3">
        <v>405</v>
      </c>
      <c r="AV333" s="3" t="str">
        <f>IFERROR(MID(VLOOKUP($B333,Seqs!$A:$B,2,0),AW333,1),"")</f>
        <v>N</v>
      </c>
      <c r="AW333" s="3">
        <v>406</v>
      </c>
      <c r="AX333" s="3" t="str">
        <f>IFERROR(MID(VLOOKUP($B333,Seqs!$A:$B,2,0),AY333,1),"")</f>
        <v>L</v>
      </c>
      <c r="AY333" s="3">
        <v>422</v>
      </c>
      <c r="AZ333" s="77" t="str">
        <f>VLOOKUP(B333,Classification!A:D,2,0)</f>
        <v>B1</v>
      </c>
      <c r="BA333" s="94" t="str">
        <f>VLOOKUP(B333,Classification!A:D,4,0)</f>
        <v>Glucagonreceptorfamily</v>
      </c>
      <c r="BB333" s="27" t="b">
        <f t="shared" si="1901"/>
        <v>1</v>
      </c>
      <c r="BC333" s="23">
        <f t="shared" si="1902"/>
        <v>236</v>
      </c>
      <c r="BD333" s="4" t="s">
        <v>1377</v>
      </c>
      <c r="BE333" s="3" t="s">
        <v>1375</v>
      </c>
      <c r="BF333" s="119">
        <v>2.7</v>
      </c>
      <c r="BG333" s="49" t="s">
        <v>1282</v>
      </c>
      <c r="BH333" s="49" t="s">
        <v>1282</v>
      </c>
      <c r="BI333" s="1"/>
      <c r="BJ333" s="70" t="s">
        <v>1288</v>
      </c>
      <c r="BK333" s="57" t="s">
        <v>1288</v>
      </c>
      <c r="BL333" s="57" t="s">
        <v>1288</v>
      </c>
      <c r="BM333" s="57" t="s">
        <v>1288</v>
      </c>
      <c r="BN333" s="57" t="s">
        <v>1288</v>
      </c>
      <c r="BO333" s="57" t="s">
        <v>1288</v>
      </c>
      <c r="BP333" s="57" t="s">
        <v>1288</v>
      </c>
      <c r="BQ333" s="57" t="s">
        <v>1288</v>
      </c>
      <c r="BR333" s="57" t="s">
        <v>1288</v>
      </c>
      <c r="BS333" s="57" t="s">
        <v>1288</v>
      </c>
      <c r="BT333" s="57" t="s">
        <v>1288</v>
      </c>
      <c r="BU333" s="57" t="s">
        <v>1288</v>
      </c>
      <c r="BV333" s="70">
        <f t="shared" si="1903"/>
        <v>136</v>
      </c>
      <c r="BW333" s="71">
        <f t="shared" si="1904"/>
        <v>170</v>
      </c>
      <c r="BX333" s="72">
        <f t="shared" si="1905"/>
        <v>174</v>
      </c>
      <c r="BY333" s="71" t="str">
        <f t="shared" si="1906"/>
        <v>-</v>
      </c>
      <c r="BZ333" s="72">
        <f t="shared" si="1907"/>
        <v>224</v>
      </c>
      <c r="CA333" s="71" t="str">
        <f t="shared" si="1908"/>
        <v>-</v>
      </c>
      <c r="CB333" s="72">
        <f t="shared" si="1909"/>
        <v>262</v>
      </c>
      <c r="CC333" s="71">
        <f t="shared" si="1910"/>
        <v>296</v>
      </c>
      <c r="CD333" s="72">
        <f t="shared" si="1911"/>
        <v>305</v>
      </c>
      <c r="CE333" s="71">
        <f t="shared" si="1912"/>
        <v>344</v>
      </c>
      <c r="CF333" s="72">
        <f t="shared" si="1913"/>
        <v>380</v>
      </c>
      <c r="CG333" s="71">
        <f t="shared" si="1914"/>
        <v>406</v>
      </c>
      <c r="CH333" s="70">
        <f t="shared" si="1915"/>
        <v>169</v>
      </c>
      <c r="CI333" s="71">
        <f t="shared" si="1916"/>
        <v>173</v>
      </c>
      <c r="CJ333" s="72">
        <f t="shared" si="1917"/>
        <v>201</v>
      </c>
      <c r="CK333" s="72" t="str">
        <f t="shared" si="1918"/>
        <v>-</v>
      </c>
      <c r="CL333" s="72">
        <f t="shared" si="1919"/>
        <v>257</v>
      </c>
      <c r="CM333" s="72" t="str">
        <f t="shared" si="1920"/>
        <v>-</v>
      </c>
      <c r="CN333" s="72">
        <f t="shared" si="1921"/>
        <v>292</v>
      </c>
      <c r="CO333" s="72">
        <f t="shared" si="1922"/>
        <v>298</v>
      </c>
      <c r="CP333" s="72">
        <f t="shared" si="1923"/>
        <v>337</v>
      </c>
      <c r="CQ333" s="72">
        <f t="shared" si="1924"/>
        <v>367</v>
      </c>
      <c r="CR333" s="72">
        <f t="shared" si="1925"/>
        <v>405</v>
      </c>
      <c r="CS333" s="72">
        <f t="shared" si="1926"/>
        <v>422</v>
      </c>
      <c r="CT333" s="23">
        <f t="shared" si="1927"/>
        <v>1</v>
      </c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  <c r="ALN333" s="1"/>
      <c r="ALO333" s="1"/>
      <c r="ALP333" s="1"/>
      <c r="ALQ333" s="1"/>
      <c r="ALR333" s="1"/>
      <c r="ALS333" s="1"/>
      <c r="ALT333" s="1"/>
      <c r="ALU333" s="1"/>
      <c r="ALV333" s="1"/>
      <c r="ALW333" s="1"/>
      <c r="ALX333" s="1"/>
      <c r="ALY333" s="1"/>
      <c r="ALZ333" s="1"/>
      <c r="AMA333" s="1"/>
      <c r="AMB333" s="1"/>
      <c r="AMC333" s="1"/>
      <c r="AMD333" s="1"/>
      <c r="AME333" s="1"/>
      <c r="AMF333" s="1"/>
      <c r="AMG333" s="1"/>
      <c r="AMH333" s="1"/>
      <c r="AMI333" s="1"/>
      <c r="AMJ333" s="1"/>
      <c r="AMK333" s="1"/>
      <c r="AML333" s="1"/>
      <c r="AMM333" s="1"/>
      <c r="AMN333" s="1"/>
      <c r="AMO333" s="1"/>
    </row>
    <row r="334" spans="1:1029" x14ac:dyDescent="0.2">
      <c r="A334" s="3" t="str">
        <f t="shared" si="1900"/>
        <v>glp1r_human_5VEX</v>
      </c>
      <c r="B334" s="3" t="s">
        <v>406</v>
      </c>
      <c r="C334" s="3" t="s">
        <v>1407</v>
      </c>
      <c r="D334" s="3" t="str">
        <f>IFERROR(MID(VLOOKUP($B334,Seqs!$A:$B,2,0),E334,1),"")</f>
        <v>S</v>
      </c>
      <c r="E334" s="3">
        <v>136</v>
      </c>
      <c r="F334" s="3" t="str">
        <f>IFERROR(MID(VLOOKUP($B334,Seqs!$A:$B,2,0),G334,1),"")</f>
        <v>F</v>
      </c>
      <c r="G334" s="3">
        <v>169</v>
      </c>
      <c r="H334" s="3" t="str">
        <f>IFERROR(MID(VLOOKUP($B334,Seqs!$A:$B,2,0),I334,1),"")</f>
        <v>R</v>
      </c>
      <c r="I334" s="23">
        <v>170</v>
      </c>
      <c r="J334" s="3" t="str">
        <f>IFERROR(MID(VLOOKUP($B334,Seqs!$A:$B,2,0),K334,1),"")</f>
        <v>H</v>
      </c>
      <c r="K334" s="23">
        <v>173</v>
      </c>
      <c r="L334" s="3" t="str">
        <f>IFERROR(MID(VLOOKUP($B334,Seqs!$A:$B,2,0),M334,1),"")</f>
        <v>C</v>
      </c>
      <c r="M334" s="23">
        <v>174</v>
      </c>
      <c r="N334" s="3" t="str">
        <f>IFERROR(MID(VLOOKUP($B334,Seqs!$A:$B,2,0),O334,1),"")</f>
        <v>L</v>
      </c>
      <c r="O334" s="3">
        <v>201</v>
      </c>
      <c r="P334" s="3" t="str">
        <f>IFERROR(MID(VLOOKUP($B334,Seqs!$A:$B,2,0),Q334,1),"")</f>
        <v/>
      </c>
      <c r="Q334" s="3" t="s">
        <v>23</v>
      </c>
      <c r="R334" s="3" t="str">
        <f>IFERROR(MID(VLOOKUP($B334,Seqs!$A:$B,2,0),S334,1),"")</f>
        <v/>
      </c>
      <c r="S334" s="3" t="s">
        <v>23</v>
      </c>
      <c r="T334" s="3" t="str">
        <f>IFERROR(MID(VLOOKUP($B334,Seqs!$A:$B,2,0),U334,1),"")</f>
        <v>L</v>
      </c>
      <c r="U334" s="3">
        <v>224</v>
      </c>
      <c r="V334" s="3" t="str">
        <f>IFERROR(MID(VLOOKUP($B334,Seqs!$A:$B,2,0),W334,1),"")</f>
        <v>F</v>
      </c>
      <c r="W334" s="3">
        <v>257</v>
      </c>
      <c r="X334" s="3" t="str">
        <f>IFERROR(MID(VLOOKUP($B334,Seqs!$A:$B,2,0),Y334,1),"")</f>
        <v/>
      </c>
      <c r="Y334" s="3" t="s">
        <v>23</v>
      </c>
      <c r="Z334" s="3" t="str">
        <f>IFERROR(MID(VLOOKUP($B334,Seqs!$A:$B,2,0),AA334,1),"")</f>
        <v/>
      </c>
      <c r="AA334" s="3" t="s">
        <v>23</v>
      </c>
      <c r="AB334" s="3" t="str">
        <f>IFERROR(MID(VLOOKUP($B334,Seqs!$A:$B,2,0),AC334,1),"")</f>
        <v>E</v>
      </c>
      <c r="AC334" s="3">
        <v>262</v>
      </c>
      <c r="AD334" s="3" t="str">
        <f>IFERROR(MID(VLOOKUP($B334,Seqs!$A:$B,2,0),AE334,1),"")</f>
        <v>E</v>
      </c>
      <c r="AE334" s="3">
        <v>292</v>
      </c>
      <c r="AF334" s="3" t="str">
        <f>IFERROR(MID(VLOOKUP($B334,Seqs!$A:$B,2,0),AG334,1),"")</f>
        <v>C</v>
      </c>
      <c r="AG334" s="3">
        <v>296</v>
      </c>
      <c r="AH334" s="3" t="str">
        <f>IFERROR(MID(VLOOKUP($B334,Seqs!$A:$B,2,0),AI334,1),"")</f>
        <v>T</v>
      </c>
      <c r="AI334" s="3">
        <v>298</v>
      </c>
      <c r="AJ334" s="3" t="str">
        <f>IFERROR(MID(VLOOKUP($B334,Seqs!$A:$B,2,0),AK334,1),"")</f>
        <v>Y</v>
      </c>
      <c r="AK334" s="3">
        <v>305</v>
      </c>
      <c r="AL334" s="3" t="str">
        <f>IFERROR(MID(VLOOKUP($B334,Seqs!$A:$B,2,0),AM334,1),"")</f>
        <v>A</v>
      </c>
      <c r="AM334" s="3">
        <v>337</v>
      </c>
      <c r="AN334" s="3" t="str">
        <f>IFERROR(MID(VLOOKUP($B334,Seqs!$A:$B,2,0),AO334,1),"")</f>
        <v>D</v>
      </c>
      <c r="AO334" s="3">
        <v>344</v>
      </c>
      <c r="AP334" s="3" t="str">
        <f>IFERROR(MID(VLOOKUP($B334,Seqs!$A:$B,2,0),AQ334,1),"")</f>
        <v>F</v>
      </c>
      <c r="AQ334" s="3">
        <v>367</v>
      </c>
      <c r="AR334" s="3" t="str">
        <f>IFERROR(MID(VLOOKUP($B334,Seqs!$A:$B,2,0),AS334,1),"")</f>
        <v>R</v>
      </c>
      <c r="AS334" s="3">
        <v>380</v>
      </c>
      <c r="AT334" s="3" t="str">
        <f>IFERROR(MID(VLOOKUP($B334,Seqs!$A:$B,2,0),AU334,1),"")</f>
        <v>V</v>
      </c>
      <c r="AU334" s="3">
        <v>405</v>
      </c>
      <c r="AV334" s="3" t="str">
        <f>IFERROR(MID(VLOOKUP($B334,Seqs!$A:$B,2,0),AW334,1),"")</f>
        <v>N</v>
      </c>
      <c r="AW334" s="3">
        <v>406</v>
      </c>
      <c r="AX334" s="3" t="str">
        <f>IFERROR(MID(VLOOKUP($B334,Seqs!$A:$B,2,0),AY334,1),"")</f>
        <v>L</v>
      </c>
      <c r="AY334" s="3">
        <v>422</v>
      </c>
      <c r="AZ334" s="77" t="str">
        <f>VLOOKUP(B334,Classification!A:D,2,0)</f>
        <v>B1</v>
      </c>
      <c r="BA334" s="94" t="str">
        <f>VLOOKUP(B334,Classification!A:D,4,0)</f>
        <v>Glucagonreceptorfamily</v>
      </c>
      <c r="BB334" s="27" t="b">
        <f t="shared" si="1901"/>
        <v>1</v>
      </c>
      <c r="BC334" s="23">
        <f t="shared" si="1902"/>
        <v>236</v>
      </c>
      <c r="BD334" s="4" t="s">
        <v>23</v>
      </c>
      <c r="BE334" s="3" t="s">
        <v>1375</v>
      </c>
      <c r="BF334" s="119">
        <v>3</v>
      </c>
      <c r="BG334" s="49" t="s">
        <v>1</v>
      </c>
      <c r="BH334" s="49" t="s">
        <v>1</v>
      </c>
      <c r="BI334" s="1"/>
      <c r="BJ334" s="70" t="s">
        <v>1288</v>
      </c>
      <c r="BK334" s="57" t="s">
        <v>1288</v>
      </c>
      <c r="BL334" s="57" t="s">
        <v>1288</v>
      </c>
      <c r="BM334" s="57" t="s">
        <v>1288</v>
      </c>
      <c r="BN334" s="57" t="s">
        <v>1288</v>
      </c>
      <c r="BO334" s="57" t="s">
        <v>1288</v>
      </c>
      <c r="BP334" s="57" t="s">
        <v>1288</v>
      </c>
      <c r="BQ334" s="57" t="s">
        <v>1288</v>
      </c>
      <c r="BR334" s="57" t="s">
        <v>1288</v>
      </c>
      <c r="BS334" s="57" t="s">
        <v>1288</v>
      </c>
      <c r="BT334" s="57" t="s">
        <v>1288</v>
      </c>
      <c r="BU334" s="57" t="s">
        <v>1288</v>
      </c>
      <c r="BV334" s="70">
        <f t="shared" si="1903"/>
        <v>136</v>
      </c>
      <c r="BW334" s="71">
        <f t="shared" si="1904"/>
        <v>170</v>
      </c>
      <c r="BX334" s="72">
        <f t="shared" si="1905"/>
        <v>174</v>
      </c>
      <c r="BY334" s="71" t="str">
        <f t="shared" si="1906"/>
        <v>-</v>
      </c>
      <c r="BZ334" s="72">
        <f t="shared" si="1907"/>
        <v>224</v>
      </c>
      <c r="CA334" s="71" t="str">
        <f t="shared" si="1908"/>
        <v>-</v>
      </c>
      <c r="CB334" s="72">
        <f t="shared" si="1909"/>
        <v>262</v>
      </c>
      <c r="CC334" s="71">
        <f t="shared" si="1910"/>
        <v>296</v>
      </c>
      <c r="CD334" s="72">
        <f t="shared" si="1911"/>
        <v>305</v>
      </c>
      <c r="CE334" s="71">
        <f t="shared" si="1912"/>
        <v>344</v>
      </c>
      <c r="CF334" s="72">
        <f t="shared" si="1913"/>
        <v>380</v>
      </c>
      <c r="CG334" s="71">
        <f t="shared" si="1914"/>
        <v>406</v>
      </c>
      <c r="CH334" s="70">
        <f t="shared" si="1915"/>
        <v>169</v>
      </c>
      <c r="CI334" s="71">
        <f t="shared" si="1916"/>
        <v>173</v>
      </c>
      <c r="CJ334" s="72">
        <f t="shared" si="1917"/>
        <v>201</v>
      </c>
      <c r="CK334" s="72" t="str">
        <f t="shared" si="1918"/>
        <v>-</v>
      </c>
      <c r="CL334" s="72">
        <f t="shared" si="1919"/>
        <v>257</v>
      </c>
      <c r="CM334" s="72" t="str">
        <f t="shared" si="1920"/>
        <v>-</v>
      </c>
      <c r="CN334" s="72">
        <f t="shared" si="1921"/>
        <v>292</v>
      </c>
      <c r="CO334" s="72">
        <f t="shared" si="1922"/>
        <v>298</v>
      </c>
      <c r="CP334" s="72">
        <f t="shared" si="1923"/>
        <v>337</v>
      </c>
      <c r="CQ334" s="72">
        <f t="shared" si="1924"/>
        <v>367</v>
      </c>
      <c r="CR334" s="72">
        <f t="shared" si="1925"/>
        <v>405</v>
      </c>
      <c r="CS334" s="72">
        <f t="shared" si="1926"/>
        <v>422</v>
      </c>
      <c r="CT334" s="23">
        <f t="shared" si="1927"/>
        <v>1</v>
      </c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  <c r="ALN334" s="1"/>
      <c r="ALO334" s="1"/>
      <c r="ALP334" s="1"/>
      <c r="ALQ334" s="1"/>
      <c r="ALR334" s="1"/>
      <c r="ALS334" s="1"/>
      <c r="ALT334" s="1"/>
      <c r="ALU334" s="1"/>
      <c r="ALV334" s="1"/>
      <c r="ALW334" s="1"/>
      <c r="ALX334" s="1"/>
      <c r="ALY334" s="1"/>
      <c r="ALZ334" s="1"/>
      <c r="AMA334" s="1"/>
      <c r="AMB334" s="1"/>
      <c r="AMC334" s="1"/>
      <c r="AMD334" s="1"/>
      <c r="AME334" s="1"/>
      <c r="AMF334" s="1"/>
      <c r="AMG334" s="1"/>
      <c r="AMH334" s="1"/>
      <c r="AMI334" s="1"/>
      <c r="AMJ334" s="1"/>
      <c r="AMK334" s="1"/>
      <c r="AML334" s="1"/>
      <c r="AMM334" s="1"/>
      <c r="AMN334" s="1"/>
      <c r="AMO334" s="1"/>
    </row>
    <row r="335" spans="1:1029" x14ac:dyDescent="0.2">
      <c r="A335" s="3" t="str">
        <f t="shared" si="1900"/>
        <v>glp1r_human_5NX2</v>
      </c>
      <c r="B335" s="3" t="s">
        <v>406</v>
      </c>
      <c r="C335" s="3" t="s">
        <v>1419</v>
      </c>
      <c r="D335" s="3" t="str">
        <f>IFERROR(MID(VLOOKUP($B335,Seqs!$A:$B,2,0),E335,1),"")</f>
        <v>E</v>
      </c>
      <c r="E335" s="3">
        <v>138</v>
      </c>
      <c r="F335" s="3" t="str">
        <f>IFERROR(MID(VLOOKUP($B335,Seqs!$A:$B,2,0),G335,1),"")</f>
        <v>F</v>
      </c>
      <c r="G335" s="3">
        <v>169</v>
      </c>
      <c r="H335" s="3" t="str">
        <f>IFERROR(MID(VLOOKUP($B335,Seqs!$A:$B,2,0),I335,1),"")</f>
        <v>R</v>
      </c>
      <c r="I335" s="23">
        <v>170</v>
      </c>
      <c r="J335" s="3" t="str">
        <f>IFERROR(MID(VLOOKUP($B335,Seqs!$A:$B,2,0),K335,1),"")</f>
        <v>H</v>
      </c>
      <c r="K335" s="23">
        <v>173</v>
      </c>
      <c r="L335" s="3" t="str">
        <f>IFERROR(MID(VLOOKUP($B335,Seqs!$A:$B,2,0),M335,1),"")</f>
        <v>C</v>
      </c>
      <c r="M335" s="23">
        <v>174</v>
      </c>
      <c r="N335" s="3" t="str">
        <f>IFERROR(MID(VLOOKUP($B335,Seqs!$A:$B,2,0),O335,1),"")</f>
        <v>S</v>
      </c>
      <c r="O335" s="3">
        <v>206</v>
      </c>
      <c r="P335" s="3" t="str">
        <f>IFERROR(MID(VLOOKUP($B335,Seqs!$A:$B,2,0),Q335,1),"")</f>
        <v/>
      </c>
      <c r="Q335" s="3" t="s">
        <v>23</v>
      </c>
      <c r="R335" s="3" t="str">
        <f>IFERROR(MID(VLOOKUP($B335,Seqs!$A:$B,2,0),S335,1),"")</f>
        <v/>
      </c>
      <c r="S335" s="3" t="s">
        <v>23</v>
      </c>
      <c r="T335" s="3" t="str">
        <f>IFERROR(MID(VLOOKUP($B335,Seqs!$A:$B,2,0),U335,1),"")</f>
        <v>L</v>
      </c>
      <c r="U335" s="3">
        <v>224</v>
      </c>
      <c r="V335" s="3" t="str">
        <f>IFERROR(MID(VLOOKUP($B335,Seqs!$A:$B,2,0),W335,1),"")</f>
        <v>F</v>
      </c>
      <c r="W335" s="3">
        <v>257</v>
      </c>
      <c r="X335" s="3" t="str">
        <f>IFERROR(MID(VLOOKUP($B335,Seqs!$A:$B,2,0),Y335,1),"")</f>
        <v/>
      </c>
      <c r="Y335" s="3" t="s">
        <v>23</v>
      </c>
      <c r="Z335" s="3" t="str">
        <f>IFERROR(MID(VLOOKUP($B335,Seqs!$A:$B,2,0),AA335,1),"")</f>
        <v/>
      </c>
      <c r="AA335" s="3" t="s">
        <v>23</v>
      </c>
      <c r="AB335" s="3" t="str">
        <f>IFERROR(MID(VLOOKUP($B335,Seqs!$A:$B,2,0),AC335,1),"")</f>
        <v>E</v>
      </c>
      <c r="AC335" s="3">
        <v>262</v>
      </c>
      <c r="AD335" s="3" t="str">
        <f>IFERROR(MID(VLOOKUP($B335,Seqs!$A:$B,2,0),AE335,1),"")</f>
        <v>Y</v>
      </c>
      <c r="AE335" s="3">
        <v>291</v>
      </c>
      <c r="AF335" s="3" t="str">
        <f>IFERROR(MID(VLOOKUP($B335,Seqs!$A:$B,2,0),AG335,1),"")</f>
        <v>C</v>
      </c>
      <c r="AG335" s="3">
        <v>296</v>
      </c>
      <c r="AH335" s="3" t="str">
        <f>IFERROR(MID(VLOOKUP($B335,Seqs!$A:$B,2,0),AI335,1),"")</f>
        <v>T</v>
      </c>
      <c r="AI335" s="3">
        <v>298</v>
      </c>
      <c r="AJ335" s="3" t="str">
        <f>IFERROR(MID(VLOOKUP($B335,Seqs!$A:$B,2,0),AK335,1),"")</f>
        <v>N</v>
      </c>
      <c r="AK335" s="3">
        <v>302</v>
      </c>
      <c r="AL335" s="3" t="str">
        <f>IFERROR(MID(VLOOKUP($B335,Seqs!$A:$B,2,0),AM335,1),"")</f>
        <v>L</v>
      </c>
      <c r="AM335" s="3">
        <v>335</v>
      </c>
      <c r="AN335" s="3" t="str">
        <f>IFERROR(MID(VLOOKUP($B335,Seqs!$A:$B,2,0),AO335,1),"")</f>
        <v>M</v>
      </c>
      <c r="AO335" s="3">
        <v>340</v>
      </c>
      <c r="AP335" s="3" t="str">
        <f>IFERROR(MID(VLOOKUP($B335,Seqs!$A:$B,2,0),AQ335,1),"")</f>
        <v>F</v>
      </c>
      <c r="AQ335" s="3">
        <v>369</v>
      </c>
      <c r="AR335" s="3" t="str">
        <f>IFERROR(MID(VLOOKUP($B335,Seqs!$A:$B,2,0),AS335,1),"")</f>
        <v>G</v>
      </c>
      <c r="AS335" s="3">
        <v>377</v>
      </c>
      <c r="AT335" s="3" t="str">
        <f>IFERROR(MID(VLOOKUP($B335,Seqs!$A:$B,2,0),AU335,1),"")</f>
        <v>V</v>
      </c>
      <c r="AU335" s="3">
        <v>405</v>
      </c>
      <c r="AV335" s="3" t="str">
        <f>IFERROR(MID(VLOOKUP($B335,Seqs!$A:$B,2,0),AW335,1),"")</f>
        <v>N</v>
      </c>
      <c r="AW335" s="3">
        <v>406</v>
      </c>
      <c r="AX335" s="3" t="str">
        <f>IFERROR(MID(VLOOKUP($B335,Seqs!$A:$B,2,0),AY335,1),"")</f>
        <v>S</v>
      </c>
      <c r="AY335" s="3">
        <v>416</v>
      </c>
      <c r="AZ335" s="77" t="str">
        <f>VLOOKUP(B335,Classification!A:D,2,0)</f>
        <v>B1</v>
      </c>
      <c r="BA335" s="94" t="str">
        <f>VLOOKUP(B335,Classification!A:D,4,0)</f>
        <v>Glucagonreceptorfamily</v>
      </c>
      <c r="BB335" s="27" t="b">
        <f t="shared" si="1901"/>
        <v>1</v>
      </c>
      <c r="BC335" s="23">
        <f t="shared" si="1902"/>
        <v>242</v>
      </c>
      <c r="BD335" s="4" t="s">
        <v>1430</v>
      </c>
      <c r="BE335" s="3" t="s">
        <v>1429</v>
      </c>
      <c r="BF335" s="119">
        <v>3.7</v>
      </c>
      <c r="BG335" s="49" t="s">
        <v>1</v>
      </c>
      <c r="BH335" s="49" t="s">
        <v>1</v>
      </c>
      <c r="BI335" s="1"/>
      <c r="BJ335" s="70" t="s">
        <v>1288</v>
      </c>
      <c r="BK335" s="57" t="s">
        <v>1288</v>
      </c>
      <c r="BL335" s="57" t="s">
        <v>1288</v>
      </c>
      <c r="BM335" s="57" t="s">
        <v>1288</v>
      </c>
      <c r="BN335" s="57" t="s">
        <v>1288</v>
      </c>
      <c r="BO335" s="57" t="s">
        <v>1288</v>
      </c>
      <c r="BP335" s="57" t="s">
        <v>1288</v>
      </c>
      <c r="BQ335" s="57" t="s">
        <v>1288</v>
      </c>
      <c r="BR335" s="57" t="s">
        <v>1288</v>
      </c>
      <c r="BS335" s="57" t="s">
        <v>1288</v>
      </c>
      <c r="BT335" s="57" t="s">
        <v>1288</v>
      </c>
      <c r="BU335" s="57" t="s">
        <v>1288</v>
      </c>
      <c r="BV335" s="70">
        <f t="shared" si="1903"/>
        <v>138</v>
      </c>
      <c r="BW335" s="71">
        <f t="shared" si="1904"/>
        <v>170</v>
      </c>
      <c r="BX335" s="72">
        <f t="shared" si="1905"/>
        <v>174</v>
      </c>
      <c r="BY335" s="71" t="str">
        <f t="shared" si="1906"/>
        <v>-</v>
      </c>
      <c r="BZ335" s="72">
        <f t="shared" si="1907"/>
        <v>224</v>
      </c>
      <c r="CA335" s="71" t="str">
        <f t="shared" si="1908"/>
        <v>-</v>
      </c>
      <c r="CB335" s="72">
        <f t="shared" si="1909"/>
        <v>262</v>
      </c>
      <c r="CC335" s="71">
        <f t="shared" si="1910"/>
        <v>296</v>
      </c>
      <c r="CD335" s="72">
        <f t="shared" si="1911"/>
        <v>302</v>
      </c>
      <c r="CE335" s="71">
        <f t="shared" si="1912"/>
        <v>340</v>
      </c>
      <c r="CF335" s="72">
        <f t="shared" si="1913"/>
        <v>377</v>
      </c>
      <c r="CG335" s="71">
        <f t="shared" si="1914"/>
        <v>406</v>
      </c>
      <c r="CH335" s="70">
        <f t="shared" si="1915"/>
        <v>169</v>
      </c>
      <c r="CI335" s="71">
        <f t="shared" si="1916"/>
        <v>173</v>
      </c>
      <c r="CJ335" s="72">
        <f t="shared" si="1917"/>
        <v>206</v>
      </c>
      <c r="CK335" s="72" t="str">
        <f t="shared" si="1918"/>
        <v>-</v>
      </c>
      <c r="CL335" s="72">
        <f t="shared" si="1919"/>
        <v>257</v>
      </c>
      <c r="CM335" s="72" t="str">
        <f t="shared" si="1920"/>
        <v>-</v>
      </c>
      <c r="CN335" s="72">
        <f t="shared" si="1921"/>
        <v>291</v>
      </c>
      <c r="CO335" s="72">
        <f t="shared" si="1922"/>
        <v>298</v>
      </c>
      <c r="CP335" s="72">
        <f t="shared" si="1923"/>
        <v>335</v>
      </c>
      <c r="CQ335" s="72">
        <f t="shared" si="1924"/>
        <v>369</v>
      </c>
      <c r="CR335" s="72">
        <f t="shared" si="1925"/>
        <v>405</v>
      </c>
      <c r="CS335" s="72">
        <f t="shared" si="1926"/>
        <v>416</v>
      </c>
      <c r="CT335" s="23">
        <f t="shared" si="1927"/>
        <v>1</v>
      </c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  <c r="ALO335" s="1"/>
      <c r="ALP335" s="1"/>
      <c r="ALQ335" s="1"/>
      <c r="ALR335" s="1"/>
      <c r="ALS335" s="1"/>
      <c r="ALT335" s="1"/>
      <c r="ALU335" s="1"/>
      <c r="ALV335" s="1"/>
      <c r="ALW335" s="1"/>
      <c r="ALX335" s="1"/>
      <c r="ALY335" s="1"/>
      <c r="ALZ335" s="1"/>
      <c r="AMA335" s="1"/>
      <c r="AMB335" s="1"/>
      <c r="AMC335" s="1"/>
      <c r="AMD335" s="1"/>
      <c r="AME335" s="1"/>
      <c r="AMF335" s="1"/>
      <c r="AMG335" s="1"/>
      <c r="AMH335" s="1"/>
      <c r="AMI335" s="1"/>
      <c r="AMJ335" s="1"/>
      <c r="AMK335" s="1"/>
      <c r="AML335" s="1"/>
      <c r="AMM335" s="1"/>
      <c r="AMN335" s="1"/>
      <c r="AMO335" s="1"/>
    </row>
    <row r="336" spans="1:1029" x14ac:dyDescent="0.2">
      <c r="A336" s="3" t="str">
        <f t="shared" si="1900"/>
        <v>glp1r_human_6B3J</v>
      </c>
      <c r="B336" s="3" t="s">
        <v>406</v>
      </c>
      <c r="C336" s="3" t="s">
        <v>1474</v>
      </c>
      <c r="D336" s="3" t="str">
        <f>IFERROR(MID(VLOOKUP($B336,Seqs!$A:$B,2,0),E336,1),"")</f>
        <v>E</v>
      </c>
      <c r="E336" s="3">
        <v>138</v>
      </c>
      <c r="F336" s="3" t="str">
        <f>IFERROR(MID(VLOOKUP($B336,Seqs!$A:$B,2,0),G336,1),"")</f>
        <v>F</v>
      </c>
      <c r="G336" s="3">
        <v>169</v>
      </c>
      <c r="H336" s="3" t="str">
        <f>IFERROR(MID(VLOOKUP($B336,Seqs!$A:$B,2,0),I336,1),"")</f>
        <v/>
      </c>
      <c r="I336" s="23" t="s">
        <v>23</v>
      </c>
      <c r="J336" s="3" t="str">
        <f>IFERROR(MID(VLOOKUP($B336,Seqs!$A:$B,2,0),K336,1),"")</f>
        <v/>
      </c>
      <c r="K336" s="23" t="s">
        <v>23</v>
      </c>
      <c r="L336" s="3" t="str">
        <f>IFERROR(MID(VLOOKUP($B336,Seqs!$A:$B,2,0),M336,1),"")</f>
        <v>C</v>
      </c>
      <c r="M336" s="23">
        <v>174</v>
      </c>
      <c r="N336" s="3" t="str">
        <f>IFERROR(MID(VLOOKUP($B336,Seqs!$A:$B,2,0),O336,1),"")</f>
        <v>Y</v>
      </c>
      <c r="O336" s="3">
        <v>205</v>
      </c>
      <c r="P336" s="3" t="str">
        <f>IFERROR(MID(VLOOKUP($B336,Seqs!$A:$B,2,0),Q336,1),"")</f>
        <v/>
      </c>
      <c r="Q336" s="3" t="s">
        <v>23</v>
      </c>
      <c r="R336" s="3" t="str">
        <f>IFERROR(MID(VLOOKUP($B336,Seqs!$A:$B,2,0),S336,1),"")</f>
        <v/>
      </c>
      <c r="S336" s="3" t="s">
        <v>23</v>
      </c>
      <c r="T336" s="3" t="str">
        <f>IFERROR(MID(VLOOKUP($B336,Seqs!$A:$B,2,0),U336,1),"")</f>
        <v>S</v>
      </c>
      <c r="U336" s="3">
        <v>225</v>
      </c>
      <c r="V336" s="3" t="str">
        <f>IFERROR(MID(VLOOKUP($B336,Seqs!$A:$B,2,0),W336,1),"")</f>
        <v>F</v>
      </c>
      <c r="W336" s="3">
        <v>257</v>
      </c>
      <c r="X336" s="3" t="str">
        <f>IFERROR(MID(VLOOKUP($B336,Seqs!$A:$B,2,0),Y336,1),"")</f>
        <v/>
      </c>
      <c r="Y336" s="3" t="s">
        <v>23</v>
      </c>
      <c r="Z336" s="3" t="str">
        <f>IFERROR(MID(VLOOKUP($B336,Seqs!$A:$B,2,0),AA336,1),"")</f>
        <v/>
      </c>
      <c r="AA336" s="3" t="s">
        <v>23</v>
      </c>
      <c r="AB336" s="3" t="str">
        <f>IFERROR(MID(VLOOKUP($B336,Seqs!$A:$B,2,0),AC336,1),"")</f>
        <v>S</v>
      </c>
      <c r="AC336" s="3">
        <v>261</v>
      </c>
      <c r="AD336" s="3" t="str">
        <f>IFERROR(MID(VLOOKUP($B336,Seqs!$A:$B,2,0),AE336,1),"")</f>
        <v>E</v>
      </c>
      <c r="AE336" s="3">
        <v>292</v>
      </c>
      <c r="AF336" s="3" t="str">
        <f>IFERROR(MID(VLOOKUP($B336,Seqs!$A:$B,2,0),AG336,1),"")</f>
        <v>C</v>
      </c>
      <c r="AG336" s="3">
        <v>296</v>
      </c>
      <c r="AH336" s="3" t="str">
        <f>IFERROR(MID(VLOOKUP($B336,Seqs!$A:$B,2,0),AI336,1),"")</f>
        <v>T</v>
      </c>
      <c r="AI336" s="3">
        <v>298</v>
      </c>
      <c r="AJ336" s="3" t="str">
        <f>IFERROR(MID(VLOOKUP($B336,Seqs!$A:$B,2,0),AK336,1),"")</f>
        <v>N</v>
      </c>
      <c r="AK336" s="3">
        <v>302</v>
      </c>
      <c r="AL336" s="3" t="str">
        <f>IFERROR(MID(VLOOKUP($B336,Seqs!$A:$B,2,0),AM336,1),"")</f>
        <v>A</v>
      </c>
      <c r="AM336" s="3">
        <v>337</v>
      </c>
      <c r="AN336" s="3" t="str">
        <f>IFERROR(MID(VLOOKUP($B336,Seqs!$A:$B,2,0),AO336,1),"")</f>
        <v>D</v>
      </c>
      <c r="AO336" s="3">
        <v>344</v>
      </c>
      <c r="AP336" s="3" t="str">
        <f>IFERROR(MID(VLOOKUP($B336,Seqs!$A:$B,2,0),AQ336,1),"")</f>
        <v>F</v>
      </c>
      <c r="AQ336" s="3">
        <v>369</v>
      </c>
      <c r="AR336" s="3" t="str">
        <f>IFERROR(MID(VLOOKUP($B336,Seqs!$A:$B,2,0),AS336,1),"")</f>
        <v>R</v>
      </c>
      <c r="AS336" s="3">
        <v>380</v>
      </c>
      <c r="AT336" s="3" t="str">
        <f>IFERROR(MID(VLOOKUP($B336,Seqs!$A:$B,2,0),AU336,1),"")</f>
        <v>V</v>
      </c>
      <c r="AU336" s="3">
        <v>405</v>
      </c>
      <c r="AV336" s="3" t="str">
        <f>IFERROR(MID(VLOOKUP($B336,Seqs!$A:$B,2,0),AW336,1),"")</f>
        <v>N</v>
      </c>
      <c r="AW336" s="3">
        <v>406</v>
      </c>
      <c r="AX336" s="3" t="str">
        <f>IFERROR(MID(VLOOKUP($B336,Seqs!$A:$B,2,0),AY336,1),"")</f>
        <v>E</v>
      </c>
      <c r="AY336" s="3">
        <v>423</v>
      </c>
      <c r="AZ336" s="77" t="str">
        <f>VLOOKUP(B336,Classification!A:D,2,0)</f>
        <v>B1</v>
      </c>
      <c r="BA336" s="94" t="str">
        <f>VLOOKUP(B336,Classification!A:D,4,0)</f>
        <v>Glucagonreceptorfamily</v>
      </c>
      <c r="BB336" s="27" t="b">
        <f t="shared" si="1901"/>
        <v>1</v>
      </c>
      <c r="BC336" s="23">
        <f t="shared" si="1902"/>
        <v>241</v>
      </c>
      <c r="BD336" s="4" t="s">
        <v>1376</v>
      </c>
      <c r="BE336" s="3" t="s">
        <v>1292</v>
      </c>
      <c r="BF336" s="119">
        <v>3.3</v>
      </c>
      <c r="BG336" s="49" t="s">
        <v>1423</v>
      </c>
      <c r="BH336" s="49" t="s">
        <v>1423</v>
      </c>
      <c r="BI336" s="1"/>
      <c r="BJ336" s="70" t="s">
        <v>1288</v>
      </c>
      <c r="BK336" s="57" t="s">
        <v>1288</v>
      </c>
      <c r="BL336" s="57" t="s">
        <v>1288</v>
      </c>
      <c r="BM336" s="57" t="s">
        <v>1288</v>
      </c>
      <c r="BN336" s="57" t="s">
        <v>1288</v>
      </c>
      <c r="BO336" s="57" t="s">
        <v>1288</v>
      </c>
      <c r="BP336" s="57" t="s">
        <v>1288</v>
      </c>
      <c r="BQ336" s="57" t="s">
        <v>1288</v>
      </c>
      <c r="BR336" s="57" t="s">
        <v>1288</v>
      </c>
      <c r="BS336" s="57" t="s">
        <v>1288</v>
      </c>
      <c r="BT336" s="57" t="s">
        <v>1288</v>
      </c>
      <c r="BU336" s="57" t="s">
        <v>1288</v>
      </c>
      <c r="BV336" s="70">
        <f t="shared" si="1903"/>
        <v>138</v>
      </c>
      <c r="BW336" s="71" t="str">
        <f t="shared" si="1904"/>
        <v>-</v>
      </c>
      <c r="BX336" s="72">
        <f t="shared" si="1905"/>
        <v>174</v>
      </c>
      <c r="BY336" s="71" t="str">
        <f t="shared" si="1906"/>
        <v>-</v>
      </c>
      <c r="BZ336" s="72">
        <f t="shared" si="1907"/>
        <v>225</v>
      </c>
      <c r="CA336" s="71" t="str">
        <f t="shared" si="1908"/>
        <v>-</v>
      </c>
      <c r="CB336" s="72">
        <f t="shared" si="1909"/>
        <v>261</v>
      </c>
      <c r="CC336" s="71">
        <f t="shared" si="1910"/>
        <v>296</v>
      </c>
      <c r="CD336" s="72">
        <f t="shared" si="1911"/>
        <v>302</v>
      </c>
      <c r="CE336" s="71">
        <f t="shared" si="1912"/>
        <v>344</v>
      </c>
      <c r="CF336" s="72">
        <f t="shared" si="1913"/>
        <v>380</v>
      </c>
      <c r="CG336" s="71">
        <f t="shared" si="1914"/>
        <v>406</v>
      </c>
      <c r="CH336" s="70">
        <f t="shared" si="1915"/>
        <v>169</v>
      </c>
      <c r="CI336" s="71" t="str">
        <f t="shared" si="1916"/>
        <v>-</v>
      </c>
      <c r="CJ336" s="72">
        <f t="shared" si="1917"/>
        <v>205</v>
      </c>
      <c r="CK336" s="72" t="str">
        <f t="shared" si="1918"/>
        <v>-</v>
      </c>
      <c r="CL336" s="72">
        <f t="shared" si="1919"/>
        <v>257</v>
      </c>
      <c r="CM336" s="72" t="str">
        <f t="shared" si="1920"/>
        <v>-</v>
      </c>
      <c r="CN336" s="72">
        <f t="shared" si="1921"/>
        <v>292</v>
      </c>
      <c r="CO336" s="72">
        <f t="shared" si="1922"/>
        <v>298</v>
      </c>
      <c r="CP336" s="72">
        <f t="shared" si="1923"/>
        <v>337</v>
      </c>
      <c r="CQ336" s="72">
        <f t="shared" si="1924"/>
        <v>369</v>
      </c>
      <c r="CR336" s="72">
        <f t="shared" si="1925"/>
        <v>405</v>
      </c>
      <c r="CS336" s="72">
        <f t="shared" si="1926"/>
        <v>423</v>
      </c>
      <c r="CT336" s="23" t="e">
        <f t="shared" si="1927"/>
        <v>#VALUE!</v>
      </c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  <c r="ALO336" s="1"/>
      <c r="ALP336" s="1"/>
      <c r="ALQ336" s="1"/>
      <c r="ALR336" s="1"/>
      <c r="ALS336" s="1"/>
      <c r="ALT336" s="1"/>
      <c r="ALU336" s="1"/>
      <c r="ALV336" s="1"/>
      <c r="ALW336" s="1"/>
      <c r="ALX336" s="1"/>
      <c r="ALY336" s="1"/>
      <c r="ALZ336" s="1"/>
      <c r="AMA336" s="1"/>
      <c r="AMB336" s="1"/>
      <c r="AMC336" s="1"/>
      <c r="AMD336" s="1"/>
      <c r="AME336" s="1"/>
      <c r="AMF336" s="1"/>
      <c r="AMG336" s="1"/>
      <c r="AMH336" s="1"/>
      <c r="AMI336" s="1"/>
      <c r="AMJ336" s="1"/>
      <c r="AMK336" s="1"/>
      <c r="AML336" s="1"/>
      <c r="AMM336" s="1"/>
      <c r="AMN336" s="1"/>
      <c r="AMO336" s="1"/>
    </row>
    <row r="337" spans="1:1030" x14ac:dyDescent="0.2">
      <c r="A337" s="3" t="str">
        <f t="shared" si="1900"/>
        <v>g1sgd4_rabit__wt</v>
      </c>
      <c r="B337" s="3" t="s">
        <v>1421</v>
      </c>
      <c r="C337" s="3" t="s">
        <v>100</v>
      </c>
      <c r="D337" s="3" t="str">
        <f>IFERROR(MID(VLOOKUP($B337,Seqs!$A:$B,2,0),E337,1),"")</f>
        <v>P</v>
      </c>
      <c r="E337" s="3">
        <v>137</v>
      </c>
      <c r="F337" s="3" t="str">
        <f>IFERROR(MID(VLOOKUP($B337,Seqs!$A:$B,2,0),G337,1),"")</f>
        <v>F</v>
      </c>
      <c r="G337" s="3">
        <v>169</v>
      </c>
      <c r="H337" s="3" t="str">
        <f>IFERROR(MID(VLOOKUP($B337,Seqs!$A:$B,2,0),I337,1),"")</f>
        <v>R</v>
      </c>
      <c r="I337" s="23">
        <v>170</v>
      </c>
      <c r="J337" s="3" t="str">
        <f>IFERROR(MID(VLOOKUP($B337,Seqs!$A:$B,2,0),K337,1),"")</f>
        <v>H</v>
      </c>
      <c r="K337" s="23">
        <v>173</v>
      </c>
      <c r="L337" s="3" t="str">
        <f>IFERROR(MID(VLOOKUP($B337,Seqs!$A:$B,2,0),M337,1),"")</f>
        <v>C</v>
      </c>
      <c r="M337" s="23">
        <v>174</v>
      </c>
      <c r="N337" s="3" t="str">
        <f>IFERROR(MID(VLOOKUP($B337,Seqs!$A:$B,2,0),O337,1),"")</f>
        <v>Q</v>
      </c>
      <c r="O337" s="3">
        <v>211</v>
      </c>
      <c r="P337" s="3" t="str">
        <f>IFERROR(MID(VLOOKUP($B337,Seqs!$A:$B,2,0),Q337,1),"")</f>
        <v/>
      </c>
      <c r="Q337" s="3" t="s">
        <v>23</v>
      </c>
      <c r="R337" s="3" t="str">
        <f>IFERROR(MID(VLOOKUP($B337,Seqs!$A:$B,2,0),S337,1),"")</f>
        <v/>
      </c>
      <c r="S337" s="3" t="s">
        <v>23</v>
      </c>
      <c r="T337" s="3" t="str">
        <f>IFERROR(MID(VLOOKUP($B337,Seqs!$A:$B,2,0),U337,1),"")</f>
        <v>L</v>
      </c>
      <c r="U337" s="3">
        <v>224</v>
      </c>
      <c r="V337" s="3" t="str">
        <f>IFERROR(MID(VLOOKUP($B337,Seqs!$A:$B,2,0),W337,1),"")</f>
        <v>F</v>
      </c>
      <c r="W337" s="3">
        <v>257</v>
      </c>
      <c r="X337" s="3" t="str">
        <f>IFERROR(MID(VLOOKUP($B337,Seqs!$A:$B,2,0),Y337,1),"")</f>
        <v/>
      </c>
      <c r="Y337" s="3" t="s">
        <v>23</v>
      </c>
      <c r="Z337" s="3" t="str">
        <f>IFERROR(MID(VLOOKUP($B337,Seqs!$A:$B,2,0),AA337,1),"")</f>
        <v/>
      </c>
      <c r="AA337" s="3" t="s">
        <v>23</v>
      </c>
      <c r="AB337" s="3" t="str">
        <f>IFERROR(MID(VLOOKUP($B337,Seqs!$A:$B,2,0),AC337,1),"")</f>
        <v>S</v>
      </c>
      <c r="AC337" s="3">
        <v>261</v>
      </c>
      <c r="AD337" s="3" t="str">
        <f>IFERROR(MID(VLOOKUP($B337,Seqs!$A:$B,2,0),AE337,1),"")</f>
        <v>E</v>
      </c>
      <c r="AE337" s="3">
        <v>292</v>
      </c>
      <c r="AF337" s="3" t="str">
        <f>IFERROR(MID(VLOOKUP($B337,Seqs!$A:$B,2,0),AG337,1),"")</f>
        <v>C</v>
      </c>
      <c r="AG337" s="3">
        <v>296</v>
      </c>
      <c r="AH337" s="3" t="str">
        <f>IFERROR(MID(VLOOKUP($B337,Seqs!$A:$B,2,0),AI337,1),"")</f>
        <v>T</v>
      </c>
      <c r="AI337" s="3">
        <v>298</v>
      </c>
      <c r="AJ337" s="3" t="str">
        <f>IFERROR(MID(VLOOKUP($B337,Seqs!$A:$B,2,0),AK337,1),"")</f>
        <v>Y</v>
      </c>
      <c r="AK337" s="3">
        <v>305</v>
      </c>
      <c r="AL337" s="3" t="str">
        <f>IFERROR(MID(VLOOKUP($B337,Seqs!$A:$B,2,0),AM337,1),"")</f>
        <v>A</v>
      </c>
      <c r="AM337" s="3">
        <v>337</v>
      </c>
      <c r="AN337" s="3" t="str">
        <f>IFERROR(MID(VLOOKUP($B337,Seqs!$A:$B,2,0),AO337,1),"")</f>
        <v>K</v>
      </c>
      <c r="AO337" s="3">
        <v>346</v>
      </c>
      <c r="AP337" s="3" t="str">
        <f>IFERROR(MID(VLOOKUP($B337,Seqs!$A:$B,2,0),AQ337,1),"")</f>
        <v>F</v>
      </c>
      <c r="AQ337" s="3">
        <v>369</v>
      </c>
      <c r="AR337" s="3" t="str">
        <f>IFERROR(MID(VLOOKUP($B337,Seqs!$A:$B,2,0),AS337,1),"")</f>
        <v>L</v>
      </c>
      <c r="AS337" s="3">
        <v>379</v>
      </c>
      <c r="AT337" s="3" t="str">
        <f>IFERROR(MID(VLOOKUP($B337,Seqs!$A:$B,2,0),AU337,1),"")</f>
        <v>V</v>
      </c>
      <c r="AU337" s="3">
        <v>405</v>
      </c>
      <c r="AV337" s="3" t="str">
        <f>IFERROR(MID(VLOOKUP($B337,Seqs!$A:$B,2,0),AW337,1),"")</f>
        <v>N</v>
      </c>
      <c r="AW337" s="3">
        <v>406</v>
      </c>
      <c r="AX337" s="3" t="str">
        <f>IFERROR(MID(VLOOKUP($B337,Seqs!$A:$B,2,0),AY337,1),"")</f>
        <v>S</v>
      </c>
      <c r="AY337" s="3">
        <v>431</v>
      </c>
      <c r="AZ337" s="77" t="str">
        <f>VLOOKUP(B337,Classification!A:D,2,0)</f>
        <v>B1</v>
      </c>
      <c r="BA337" s="94" t="str">
        <f>VLOOKUP(B337,Classification!A:D,4,0)</f>
        <v>Glucagonreceptorfamily</v>
      </c>
      <c r="BB337" s="27" t="b">
        <f t="shared" si="1901"/>
        <v>1</v>
      </c>
      <c r="BC337" s="23">
        <f t="shared" si="1902"/>
        <v>256</v>
      </c>
      <c r="BD337" s="4" t="s">
        <v>23</v>
      </c>
      <c r="BE337" s="3" t="s">
        <v>23</v>
      </c>
      <c r="BF337" s="119" t="s">
        <v>23</v>
      </c>
      <c r="BI337" s="1"/>
      <c r="BJ337" s="70" t="s">
        <v>1288</v>
      </c>
      <c r="BK337" s="57" t="s">
        <v>1288</v>
      </c>
      <c r="BL337" s="57" t="s">
        <v>1288</v>
      </c>
      <c r="BM337" s="57" t="s">
        <v>1288</v>
      </c>
      <c r="BN337" s="57" t="s">
        <v>1288</v>
      </c>
      <c r="BO337" s="57" t="s">
        <v>1288</v>
      </c>
      <c r="BP337" s="57" t="s">
        <v>1288</v>
      </c>
      <c r="BQ337" s="57" t="s">
        <v>1288</v>
      </c>
      <c r="BR337" s="57" t="s">
        <v>1288</v>
      </c>
      <c r="BS337" s="57" t="s">
        <v>1288</v>
      </c>
      <c r="BT337" s="57" t="s">
        <v>1288</v>
      </c>
      <c r="BU337" s="57" t="s">
        <v>1288</v>
      </c>
      <c r="BV337" s="70">
        <f t="shared" si="1903"/>
        <v>137</v>
      </c>
      <c r="BW337" s="71">
        <f t="shared" si="1904"/>
        <v>170</v>
      </c>
      <c r="BX337" s="72">
        <f t="shared" si="1905"/>
        <v>174</v>
      </c>
      <c r="BY337" s="71" t="str">
        <f t="shared" si="1906"/>
        <v>-</v>
      </c>
      <c r="BZ337" s="72">
        <f t="shared" si="1907"/>
        <v>224</v>
      </c>
      <c r="CA337" s="71" t="str">
        <f t="shared" si="1908"/>
        <v>-</v>
      </c>
      <c r="CB337" s="72">
        <f t="shared" si="1909"/>
        <v>261</v>
      </c>
      <c r="CC337" s="71">
        <f t="shared" si="1910"/>
        <v>296</v>
      </c>
      <c r="CD337" s="72">
        <f t="shared" si="1911"/>
        <v>305</v>
      </c>
      <c r="CE337" s="71">
        <f t="shared" si="1912"/>
        <v>346</v>
      </c>
      <c r="CF337" s="72">
        <f t="shared" si="1913"/>
        <v>379</v>
      </c>
      <c r="CG337" s="71">
        <f t="shared" si="1914"/>
        <v>406</v>
      </c>
      <c r="CH337" s="70">
        <f t="shared" si="1915"/>
        <v>169</v>
      </c>
      <c r="CI337" s="71">
        <f t="shared" si="1916"/>
        <v>173</v>
      </c>
      <c r="CJ337" s="72">
        <f t="shared" si="1917"/>
        <v>211</v>
      </c>
      <c r="CK337" s="72" t="str">
        <f t="shared" si="1918"/>
        <v>-</v>
      </c>
      <c r="CL337" s="72">
        <f t="shared" si="1919"/>
        <v>257</v>
      </c>
      <c r="CM337" s="72" t="str">
        <f t="shared" si="1920"/>
        <v>-</v>
      </c>
      <c r="CN337" s="72">
        <f t="shared" si="1921"/>
        <v>292</v>
      </c>
      <c r="CO337" s="72">
        <f t="shared" si="1922"/>
        <v>298</v>
      </c>
      <c r="CP337" s="72">
        <f t="shared" si="1923"/>
        <v>337</v>
      </c>
      <c r="CQ337" s="72">
        <f t="shared" si="1924"/>
        <v>369</v>
      </c>
      <c r="CR337" s="72">
        <f t="shared" si="1925"/>
        <v>405</v>
      </c>
      <c r="CS337" s="72">
        <f t="shared" si="1926"/>
        <v>431</v>
      </c>
      <c r="CT337" s="23">
        <f t="shared" si="1927"/>
        <v>1</v>
      </c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  <c r="ALN337" s="1"/>
      <c r="ALO337" s="1"/>
      <c r="ALP337" s="1"/>
      <c r="ALQ337" s="1"/>
      <c r="ALR337" s="1"/>
      <c r="ALS337" s="1"/>
      <c r="ALT337" s="1"/>
      <c r="ALU337" s="1"/>
      <c r="ALV337" s="1"/>
      <c r="ALW337" s="1"/>
      <c r="ALX337" s="1"/>
      <c r="ALY337" s="1"/>
      <c r="ALZ337" s="1"/>
      <c r="AMA337" s="1"/>
      <c r="AMB337" s="1"/>
      <c r="AMC337" s="1"/>
      <c r="AMD337" s="1"/>
      <c r="AME337" s="1"/>
      <c r="AMF337" s="1"/>
      <c r="AMG337" s="1"/>
      <c r="AMH337" s="1"/>
      <c r="AMI337" s="1"/>
      <c r="AMJ337" s="1"/>
      <c r="AMK337" s="1"/>
      <c r="AML337" s="1"/>
      <c r="AMM337" s="1"/>
      <c r="AMN337" s="1"/>
      <c r="AMO337" s="1"/>
    </row>
    <row r="338" spans="1:1030" x14ac:dyDescent="0.2">
      <c r="A338" s="3" t="str">
        <f t="shared" si="1900"/>
        <v>g1sgd4_rabit_5VAI</v>
      </c>
      <c r="B338" s="3" t="s">
        <v>1421</v>
      </c>
      <c r="C338" s="3" t="s">
        <v>1422</v>
      </c>
      <c r="D338" s="3" t="str">
        <f>IFERROR(MID(VLOOKUP($B338,Seqs!$A:$B,2,0),E338,1),"")</f>
        <v>P</v>
      </c>
      <c r="E338" s="3">
        <v>137</v>
      </c>
      <c r="F338" s="3" t="str">
        <f>IFERROR(MID(VLOOKUP($B338,Seqs!$A:$B,2,0),G338,1),"")</f>
        <v>G</v>
      </c>
      <c r="G338" s="3">
        <v>168</v>
      </c>
      <c r="H338" s="3" t="str">
        <f>IFERROR(MID(VLOOKUP($B338,Seqs!$A:$B,2,0),I338,1),"")</f>
        <v>R</v>
      </c>
      <c r="I338" s="23">
        <v>170</v>
      </c>
      <c r="J338" s="3" t="str">
        <f>IFERROR(MID(VLOOKUP($B338,Seqs!$A:$B,2,0),K338,1),"")</f>
        <v>H</v>
      </c>
      <c r="K338" s="23">
        <v>173</v>
      </c>
      <c r="L338" s="3" t="str">
        <f>IFERROR(MID(VLOOKUP($B338,Seqs!$A:$B,2,0),M338,1),"")</f>
        <v>C</v>
      </c>
      <c r="M338" s="23">
        <v>174</v>
      </c>
      <c r="N338" s="3" t="str">
        <f>IFERROR(MID(VLOOKUP($B338,Seqs!$A:$B,2,0),O338,1),"")</f>
        <v>Q</v>
      </c>
      <c r="O338" s="3">
        <v>211</v>
      </c>
      <c r="P338" s="3" t="str">
        <f>IFERROR(MID(VLOOKUP($B338,Seqs!$A:$B,2,0),Q338,1),"")</f>
        <v/>
      </c>
      <c r="Q338" s="3" t="s">
        <v>23</v>
      </c>
      <c r="R338" s="3" t="str">
        <f>IFERROR(MID(VLOOKUP($B338,Seqs!$A:$B,2,0),S338,1),"")</f>
        <v/>
      </c>
      <c r="S338" s="3" t="s">
        <v>23</v>
      </c>
      <c r="T338" s="3" t="str">
        <f>IFERROR(MID(VLOOKUP($B338,Seqs!$A:$B,2,0),U338,1),"")</f>
        <v>L</v>
      </c>
      <c r="U338" s="3">
        <v>224</v>
      </c>
      <c r="V338" s="3" t="str">
        <f>IFERROR(MID(VLOOKUP($B338,Seqs!$A:$B,2,0),W338,1),"")</f>
        <v>F</v>
      </c>
      <c r="W338" s="3">
        <v>257</v>
      </c>
      <c r="X338" s="3" t="str">
        <f>IFERROR(MID(VLOOKUP($B338,Seqs!$A:$B,2,0),Y338,1),"")</f>
        <v/>
      </c>
      <c r="Y338" s="3" t="s">
        <v>23</v>
      </c>
      <c r="Z338" s="3" t="str">
        <f>IFERROR(MID(VLOOKUP($B338,Seqs!$A:$B,2,0),AA338,1),"")</f>
        <v/>
      </c>
      <c r="AA338" s="3" t="s">
        <v>23</v>
      </c>
      <c r="AB338" s="3" t="str">
        <f>IFERROR(MID(VLOOKUP($B338,Seqs!$A:$B,2,0),AC338,1),"")</f>
        <v>S</v>
      </c>
      <c r="AC338" s="3">
        <v>261</v>
      </c>
      <c r="AD338" s="3" t="str">
        <f>IFERROR(MID(VLOOKUP($B338,Seqs!$A:$B,2,0),AE338,1),"")</f>
        <v>E</v>
      </c>
      <c r="AE338" s="3">
        <v>292</v>
      </c>
      <c r="AF338" s="3" t="str">
        <f>IFERROR(MID(VLOOKUP($B338,Seqs!$A:$B,2,0),AG338,1),"")</f>
        <v>C</v>
      </c>
      <c r="AG338" s="3">
        <v>296</v>
      </c>
      <c r="AH338" s="3" t="str">
        <f>IFERROR(MID(VLOOKUP($B338,Seqs!$A:$B,2,0),AI338,1),"")</f>
        <v>T</v>
      </c>
      <c r="AI338" s="3">
        <v>298</v>
      </c>
      <c r="AJ338" s="3" t="str">
        <f>IFERROR(MID(VLOOKUP($B338,Seqs!$A:$B,2,0),AK338,1),"")</f>
        <v>Y</v>
      </c>
      <c r="AK338" s="3">
        <v>305</v>
      </c>
      <c r="AL338" s="3" t="str">
        <f>IFERROR(MID(VLOOKUP($B338,Seqs!$A:$B,2,0),AM338,1),"")</f>
        <v>A</v>
      </c>
      <c r="AM338" s="3">
        <v>337</v>
      </c>
      <c r="AN338" s="3" t="str">
        <f>IFERROR(MID(VLOOKUP($B338,Seqs!$A:$B,2,0),AO338,1),"")</f>
        <v>K</v>
      </c>
      <c r="AO338" s="3">
        <v>346</v>
      </c>
      <c r="AP338" s="3" t="str">
        <f>IFERROR(MID(VLOOKUP($B338,Seqs!$A:$B,2,0),AQ338,1),"")</f>
        <v>F</v>
      </c>
      <c r="AQ338" s="3">
        <v>369</v>
      </c>
      <c r="AR338" s="3" t="str">
        <f>IFERROR(MID(VLOOKUP($B338,Seqs!$A:$B,2,0),AS338,1),"")</f>
        <v>L</v>
      </c>
      <c r="AS338" s="3">
        <v>379</v>
      </c>
      <c r="AT338" s="3" t="str">
        <f>IFERROR(MID(VLOOKUP($B338,Seqs!$A:$B,2,0),AU338,1),"")</f>
        <v>V</v>
      </c>
      <c r="AU338" s="3">
        <v>405</v>
      </c>
      <c r="AV338" s="3" t="str">
        <f>IFERROR(MID(VLOOKUP($B338,Seqs!$A:$B,2,0),AW338,1),"")</f>
        <v>N</v>
      </c>
      <c r="AW338" s="3">
        <v>406</v>
      </c>
      <c r="AX338" s="3" t="str">
        <f>IFERROR(MID(VLOOKUP($B338,Seqs!$A:$B,2,0),AY338,1),"")</f>
        <v>R</v>
      </c>
      <c r="AY338" s="3">
        <v>421</v>
      </c>
      <c r="AZ338" s="77" t="str">
        <f>VLOOKUP(B338,Classification!A:D,2,0)</f>
        <v>B1</v>
      </c>
      <c r="BA338" s="94" t="str">
        <f>VLOOKUP(B338,Classification!A:D,4,0)</f>
        <v>Glucagonreceptorfamily</v>
      </c>
      <c r="BB338" s="27" t="b">
        <f t="shared" si="1901"/>
        <v>1</v>
      </c>
      <c r="BC338" s="23">
        <f t="shared" si="1902"/>
        <v>245</v>
      </c>
      <c r="BD338" s="4" t="s">
        <v>1376</v>
      </c>
      <c r="BE338" s="3" t="s">
        <v>1292</v>
      </c>
      <c r="BF338" s="119">
        <v>4.0999999999999996</v>
      </c>
      <c r="BG338" s="49" t="s">
        <v>1423</v>
      </c>
      <c r="BH338" s="49" t="s">
        <v>1423</v>
      </c>
      <c r="BI338" s="1"/>
      <c r="BJ338" s="70" t="s">
        <v>1288</v>
      </c>
      <c r="BK338" s="57" t="s">
        <v>1288</v>
      </c>
      <c r="BL338" s="57" t="s">
        <v>1288</v>
      </c>
      <c r="BM338" s="57" t="s">
        <v>1288</v>
      </c>
      <c r="BN338" s="57" t="s">
        <v>1288</v>
      </c>
      <c r="BO338" s="57" t="s">
        <v>1288</v>
      </c>
      <c r="BP338" s="57" t="s">
        <v>1288</v>
      </c>
      <c r="BQ338" s="57" t="s">
        <v>1288</v>
      </c>
      <c r="BR338" s="57" t="s">
        <v>1288</v>
      </c>
      <c r="BS338" s="57" t="s">
        <v>1288</v>
      </c>
      <c r="BT338" s="57" t="s">
        <v>1288</v>
      </c>
      <c r="BU338" s="57" t="s">
        <v>1288</v>
      </c>
      <c r="BV338" s="70">
        <f t="shared" si="1903"/>
        <v>137</v>
      </c>
      <c r="BW338" s="71">
        <f t="shared" si="1904"/>
        <v>170</v>
      </c>
      <c r="BX338" s="72">
        <f t="shared" si="1905"/>
        <v>174</v>
      </c>
      <c r="BY338" s="71" t="str">
        <f t="shared" si="1906"/>
        <v>-</v>
      </c>
      <c r="BZ338" s="72">
        <f t="shared" si="1907"/>
        <v>224</v>
      </c>
      <c r="CA338" s="71" t="str">
        <f t="shared" si="1908"/>
        <v>-</v>
      </c>
      <c r="CB338" s="72">
        <f t="shared" si="1909"/>
        <v>261</v>
      </c>
      <c r="CC338" s="71">
        <f t="shared" si="1910"/>
        <v>296</v>
      </c>
      <c r="CD338" s="72">
        <f t="shared" si="1911"/>
        <v>305</v>
      </c>
      <c r="CE338" s="71">
        <f t="shared" si="1912"/>
        <v>346</v>
      </c>
      <c r="CF338" s="72">
        <f t="shared" si="1913"/>
        <v>379</v>
      </c>
      <c r="CG338" s="71">
        <f t="shared" si="1914"/>
        <v>406</v>
      </c>
      <c r="CH338" s="70">
        <f t="shared" si="1915"/>
        <v>168</v>
      </c>
      <c r="CI338" s="71">
        <f t="shared" si="1916"/>
        <v>173</v>
      </c>
      <c r="CJ338" s="72">
        <f t="shared" si="1917"/>
        <v>211</v>
      </c>
      <c r="CK338" s="72" t="str">
        <f t="shared" si="1918"/>
        <v>-</v>
      </c>
      <c r="CL338" s="72">
        <f t="shared" si="1919"/>
        <v>257</v>
      </c>
      <c r="CM338" s="72" t="str">
        <f t="shared" si="1920"/>
        <v>-</v>
      </c>
      <c r="CN338" s="72">
        <f t="shared" si="1921"/>
        <v>292</v>
      </c>
      <c r="CO338" s="72">
        <f t="shared" si="1922"/>
        <v>298</v>
      </c>
      <c r="CP338" s="72">
        <f t="shared" si="1923"/>
        <v>337</v>
      </c>
      <c r="CQ338" s="72">
        <f t="shared" si="1924"/>
        <v>369</v>
      </c>
      <c r="CR338" s="72">
        <f t="shared" si="1925"/>
        <v>405</v>
      </c>
      <c r="CS338" s="72">
        <f t="shared" si="1926"/>
        <v>421</v>
      </c>
      <c r="CT338" s="23">
        <f t="shared" si="1927"/>
        <v>1</v>
      </c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  <c r="ALN338" s="1"/>
      <c r="ALO338" s="1"/>
      <c r="ALP338" s="1"/>
      <c r="ALQ338" s="1"/>
      <c r="ALR338" s="1"/>
      <c r="ALS338" s="1"/>
      <c r="ALT338" s="1"/>
      <c r="ALU338" s="1"/>
      <c r="ALV338" s="1"/>
      <c r="ALW338" s="1"/>
      <c r="ALX338" s="1"/>
      <c r="ALY338" s="1"/>
      <c r="ALZ338" s="1"/>
      <c r="AMA338" s="1"/>
      <c r="AMB338" s="1"/>
      <c r="AMC338" s="1"/>
      <c r="AMD338" s="1"/>
      <c r="AME338" s="1"/>
      <c r="AMF338" s="1"/>
      <c r="AMG338" s="1"/>
      <c r="AMH338" s="1"/>
      <c r="AMI338" s="1"/>
      <c r="AMJ338" s="1"/>
      <c r="AMK338" s="1"/>
      <c r="AML338" s="1"/>
      <c r="AMM338" s="1"/>
      <c r="AMN338" s="1"/>
      <c r="AMO338" s="1"/>
    </row>
    <row r="339" spans="1:1030" x14ac:dyDescent="0.2">
      <c r="A339" s="3" t="str">
        <f t="shared" ref="A339" si="1928">CONCATENATE(B339,"_",C339)</f>
        <v>pth1r_human__wt</v>
      </c>
      <c r="B339" s="3" t="s">
        <v>409</v>
      </c>
      <c r="C339" s="3" t="s">
        <v>100</v>
      </c>
      <c r="D339" s="3" t="str">
        <f>IFERROR(MID(VLOOKUP($B339,Seqs!$A:$B,2,0),E339,1),"")</f>
        <v>F</v>
      </c>
      <c r="E339" s="105">
        <v>173</v>
      </c>
      <c r="F339" s="3" t="str">
        <f>IFERROR(MID(VLOOKUP($B339,Seqs!$A:$B,2,0),G339,1),"")</f>
        <v>F</v>
      </c>
      <c r="G339" s="3">
        <v>212</v>
      </c>
      <c r="H339" s="3" t="str">
        <f>IFERROR(MID(VLOOKUP($B339,Seqs!$A:$B,2,0),I339,1),"")</f>
        <v>R</v>
      </c>
      <c r="I339" s="23">
        <v>213</v>
      </c>
      <c r="J339" s="3" t="str">
        <f>IFERROR(MID(VLOOKUP($B339,Seqs!$A:$B,2,0),K339,1),"")</f>
        <v>H</v>
      </c>
      <c r="K339" s="23">
        <v>216</v>
      </c>
      <c r="L339" s="3" t="str">
        <f>IFERROR(MID(VLOOKUP($B339,Seqs!$A:$B,2,0),M339,1),"")</f>
        <v>C</v>
      </c>
      <c r="M339" s="23">
        <v>217</v>
      </c>
      <c r="N339" s="3" t="str">
        <f>IFERROR(MID(VLOOKUP($B339,Seqs!$A:$B,2,0),O339,1),"")</f>
        <v>T</v>
      </c>
      <c r="O339" s="3">
        <v>249</v>
      </c>
      <c r="P339" s="3" t="str">
        <f>IFERROR(MID(VLOOKUP($B339,Seqs!$A:$B,2,0),Q339,1),"")</f>
        <v/>
      </c>
      <c r="Q339" s="3" t="s">
        <v>23</v>
      </c>
      <c r="R339" s="3" t="str">
        <f>IFERROR(MID(VLOOKUP($B339,Seqs!$A:$B,2,0),S339,1),"")</f>
        <v/>
      </c>
      <c r="S339" s="3" t="s">
        <v>23</v>
      </c>
      <c r="T339" s="3" t="str">
        <f>IFERROR(MID(VLOOKUP($B339,Seqs!$A:$B,2,0),U339,1),"")</f>
        <v>G</v>
      </c>
      <c r="U339" s="3">
        <v>277</v>
      </c>
      <c r="V339" s="3" t="str">
        <f>IFERROR(MID(VLOOKUP($B339,Seqs!$A:$B,2,0),W339,1),"")</f>
        <v>M</v>
      </c>
      <c r="W339" s="3">
        <v>312</v>
      </c>
      <c r="X339" s="3" t="str">
        <f>IFERROR(MID(VLOOKUP($B339,Seqs!$A:$B,2,0),Y339,1),"")</f>
        <v/>
      </c>
      <c r="Y339" s="3" t="s">
        <v>23</v>
      </c>
      <c r="Z339" s="3" t="str">
        <f>IFERROR(MID(VLOOKUP($B339,Seqs!$A:$B,2,0),AA339,1),"")</f>
        <v/>
      </c>
      <c r="AA339" s="3" t="s">
        <v>23</v>
      </c>
      <c r="AB339" s="3" t="str">
        <f>IFERROR(MID(VLOOKUP($B339,Seqs!$A:$B,2,0),AC339,1),"")</f>
        <v>S</v>
      </c>
      <c r="AC339" s="3">
        <v>316</v>
      </c>
      <c r="AD339" s="3" t="str">
        <f>IFERROR(MID(VLOOKUP($B339,Seqs!$A:$B,2,0),AE339,1),"")</f>
        <v>A</v>
      </c>
      <c r="AE339" s="3">
        <v>347</v>
      </c>
      <c r="AF339" s="3" t="str">
        <f>IFERROR(MID(VLOOKUP($B339,Seqs!$A:$B,2,0),AG339,1),"")</f>
        <v>C</v>
      </c>
      <c r="AG339" s="3">
        <v>351</v>
      </c>
      <c r="AH339" s="3" t="str">
        <f>IFERROR(MID(VLOOKUP($B339,Seqs!$A:$B,2,0),AI339,1),"")</f>
        <v>D</v>
      </c>
      <c r="AI339" s="3">
        <v>353</v>
      </c>
      <c r="AJ339" s="3" t="str">
        <f>IFERROR(MID(VLOOKUP($B339,Seqs!$A:$B,2,0),AK339,1),"")</f>
        <v>G</v>
      </c>
      <c r="AK339" s="105">
        <v>357</v>
      </c>
      <c r="AL339" s="3" t="str">
        <f>IFERROR(MID(VLOOKUP($B339,Seqs!$A:$B,2,0),AM339,1),"")</f>
        <v>L</v>
      </c>
      <c r="AM339" s="3">
        <v>389</v>
      </c>
      <c r="AN339" s="3" t="str">
        <f>IFERROR(MID(VLOOKUP($B339,Seqs!$A:$B,2,0),AO339,1),"")</f>
        <v>D</v>
      </c>
      <c r="AO339" s="3">
        <v>398</v>
      </c>
      <c r="AP339" s="3" t="str">
        <f>IFERROR(MID(VLOOKUP($B339,Seqs!$A:$B,2,0),AQ339,1),"")</f>
        <v>T</v>
      </c>
      <c r="AQ339" s="3">
        <v>427</v>
      </c>
      <c r="AR339" s="3" t="str">
        <f>IFERROR(MID(VLOOKUP($B339,Seqs!$A:$B,2,0),AS339,1),"")</f>
        <v>G</v>
      </c>
      <c r="AS339" s="3">
        <v>434</v>
      </c>
      <c r="AT339" s="3" t="str">
        <f>IFERROR(MID(VLOOKUP($B339,Seqs!$A:$B,2,0),AU339,1),"")</f>
        <v>C</v>
      </c>
      <c r="AU339" s="3">
        <v>462</v>
      </c>
      <c r="AV339" s="3" t="str">
        <f>IFERROR(MID(VLOOKUP($B339,Seqs!$A:$B,2,0),AW339,1),"")</f>
        <v>N</v>
      </c>
      <c r="AW339" s="3">
        <v>463</v>
      </c>
      <c r="AX339" s="3" t="str">
        <f>IFERROR(MID(VLOOKUP($B339,Seqs!$A:$B,2,0),AY339,1),"")</f>
        <v>R</v>
      </c>
      <c r="AY339" s="3">
        <v>488</v>
      </c>
      <c r="AZ339" s="77" t="str">
        <f>VLOOKUP(B339,Classification!A:D,2,0)</f>
        <v>B1</v>
      </c>
      <c r="BA339" s="94" t="str">
        <f>VLOOKUP(B339,Classification!A:D,4,0)</f>
        <v>Parathyroidhormone</v>
      </c>
      <c r="BB339" s="27" t="b">
        <f t="shared" ref="BB339" si="1929">AND(E339&lt;G339,OR(G339&lt;I339,I339="-"),OR(I339&lt;K339,I339="-"),OR(K339&lt;M339,K339="-"),M339&lt;O339,OR(O339&lt;Q339,Q339="-"),OR(Q339&lt;S339,Q339="-"),OR(S339&lt;U339,S339="-"),U339&lt;W339,OR(W339&lt;Y339,Y339="-"),OR(Y339&lt;AA339,Y339="-"),OR(AA339&lt;AC339,AA339="-"),AC339&lt;AE339,OR(AE339&lt;AG339,AG339="-"),OR(AG339&lt;AI339,AG339="-"),OR(AI339&lt;AK339,AI339="-"),AK339&lt;AM339,AM339&lt;AO339,AO339&lt;AQ339,AQ339&lt;AS339,AS339&lt;AU339,OR(AU339&lt;AW339,AW339="-"),OR(AW339&lt;AY339,AW339="-"))</f>
        <v>1</v>
      </c>
      <c r="BC339" s="23">
        <f t="shared" ref="BC339" si="1930">_xlfn.AGGREGATE(9,6,CH339:CS339)-_xlfn.AGGREGATE(9,6,BV339:CG339)+12</f>
        <v>268</v>
      </c>
      <c r="BD339" s="4" t="s">
        <v>23</v>
      </c>
      <c r="BE339" s="3" t="s">
        <v>23</v>
      </c>
      <c r="BF339" s="119" t="s">
        <v>23</v>
      </c>
      <c r="BG339" s="49" t="s">
        <v>23</v>
      </c>
      <c r="BH339" s="49" t="s">
        <v>23</v>
      </c>
      <c r="BI339" s="1"/>
      <c r="BJ339" s="70" t="s">
        <v>1288</v>
      </c>
      <c r="BK339" s="57" t="s">
        <v>1288</v>
      </c>
      <c r="BL339" s="57" t="s">
        <v>1288</v>
      </c>
      <c r="BM339" s="57" t="s">
        <v>1288</v>
      </c>
      <c r="BN339" s="57" t="s">
        <v>1288</v>
      </c>
      <c r="BO339" s="57" t="s">
        <v>1288</v>
      </c>
      <c r="BP339" s="57" t="s">
        <v>1288</v>
      </c>
      <c r="BQ339" s="57" t="s">
        <v>1288</v>
      </c>
      <c r="BR339" s="57" t="s">
        <v>1288</v>
      </c>
      <c r="BS339" s="57" t="s">
        <v>1288</v>
      </c>
      <c r="BT339" s="57" t="s">
        <v>1288</v>
      </c>
      <c r="BU339" s="57" t="s">
        <v>1288</v>
      </c>
      <c r="BV339" s="70">
        <f t="shared" ref="BV339" si="1931">E339</f>
        <v>173</v>
      </c>
      <c r="BW339" s="71">
        <f t="shared" ref="BW339" si="1932">I339</f>
        <v>213</v>
      </c>
      <c r="BX339" s="72">
        <f t="shared" ref="BX339" si="1933">M339</f>
        <v>217</v>
      </c>
      <c r="BY339" s="71" t="str">
        <f t="shared" ref="BY339" si="1934">Q339</f>
        <v>-</v>
      </c>
      <c r="BZ339" s="72">
        <f t="shared" ref="BZ339" si="1935">U339</f>
        <v>277</v>
      </c>
      <c r="CA339" s="71" t="str">
        <f t="shared" ref="CA339" si="1936">Y339</f>
        <v>-</v>
      </c>
      <c r="CB339" s="72">
        <f t="shared" ref="CB339" si="1937">AC339</f>
        <v>316</v>
      </c>
      <c r="CC339" s="71">
        <f t="shared" ref="CC339" si="1938">AG339</f>
        <v>351</v>
      </c>
      <c r="CD339" s="72">
        <f t="shared" ref="CD339" si="1939">AK339</f>
        <v>357</v>
      </c>
      <c r="CE339" s="71">
        <f t="shared" ref="CE339" si="1940">AO339</f>
        <v>398</v>
      </c>
      <c r="CF339" s="72">
        <f t="shared" ref="CF339" si="1941">AS339</f>
        <v>434</v>
      </c>
      <c r="CG339" s="71">
        <f t="shared" ref="CG339" si="1942">AW339</f>
        <v>463</v>
      </c>
      <c r="CH339" s="70">
        <f t="shared" ref="CH339" si="1943">G339</f>
        <v>212</v>
      </c>
      <c r="CI339" s="71">
        <f t="shared" ref="CI339" si="1944">K339</f>
        <v>216</v>
      </c>
      <c r="CJ339" s="72">
        <f t="shared" ref="CJ339" si="1945">O339</f>
        <v>249</v>
      </c>
      <c r="CK339" s="72" t="str">
        <f t="shared" ref="CK339" si="1946">S339</f>
        <v>-</v>
      </c>
      <c r="CL339" s="72">
        <f t="shared" ref="CL339" si="1947">W339</f>
        <v>312</v>
      </c>
      <c r="CM339" s="72" t="str">
        <f t="shared" ref="CM339" si="1948">AA339</f>
        <v>-</v>
      </c>
      <c r="CN339" s="72">
        <f t="shared" ref="CN339" si="1949">AE339</f>
        <v>347</v>
      </c>
      <c r="CO339" s="72">
        <f t="shared" ref="CO339" si="1950">AI339</f>
        <v>353</v>
      </c>
      <c r="CP339" s="72">
        <f t="shared" ref="CP339" si="1951">AM339</f>
        <v>389</v>
      </c>
      <c r="CQ339" s="72">
        <f t="shared" ref="CQ339" si="1952">AQ339</f>
        <v>427</v>
      </c>
      <c r="CR339" s="72">
        <f t="shared" ref="CR339" si="1953">AU339</f>
        <v>462</v>
      </c>
      <c r="CS339" s="72">
        <f t="shared" ref="CS339" si="1954">AY339</f>
        <v>488</v>
      </c>
      <c r="CT339" s="23">
        <f t="shared" ref="CT339" si="1955">M339-K339</f>
        <v>1</v>
      </c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  <c r="ALO339" s="1"/>
      <c r="ALP339" s="1"/>
      <c r="ALQ339" s="1"/>
      <c r="ALR339" s="1"/>
      <c r="ALS339" s="1"/>
      <c r="ALT339" s="1"/>
      <c r="ALU339" s="1"/>
      <c r="ALV339" s="1"/>
      <c r="ALW339" s="1"/>
      <c r="ALX339" s="1"/>
      <c r="ALY339" s="1"/>
      <c r="ALZ339" s="1"/>
      <c r="AMA339" s="1"/>
      <c r="AMB339" s="1"/>
      <c r="AMC339" s="1"/>
      <c r="AMD339" s="1"/>
      <c r="AME339" s="1"/>
      <c r="AMF339" s="1"/>
      <c r="AMG339" s="1"/>
      <c r="AMH339" s="1"/>
      <c r="AMI339" s="1"/>
      <c r="AMJ339" s="1"/>
      <c r="AMK339" s="1"/>
      <c r="AML339" s="1"/>
      <c r="AMM339" s="1"/>
      <c r="AMN339" s="1"/>
      <c r="AMO339" s="1"/>
    </row>
    <row r="340" spans="1:1030" x14ac:dyDescent="0.2">
      <c r="A340" s="3" t="str">
        <f t="shared" ref="A340" si="1956">CONCATENATE(B340,"_",C340)</f>
        <v>pth1r_human_6FJ3</v>
      </c>
      <c r="B340" s="3" t="s">
        <v>409</v>
      </c>
      <c r="C340" s="3" t="s">
        <v>1528</v>
      </c>
      <c r="D340" s="3" t="str">
        <f>IFERROR(MID(VLOOKUP($B340,Seqs!$A:$B,2,0),E340,1),"")</f>
        <v>R</v>
      </c>
      <c r="E340" s="3">
        <v>179</v>
      </c>
      <c r="F340" s="3" t="str">
        <f>IFERROR(MID(VLOOKUP($B340,Seqs!$A:$B,2,0),G340,1),"")</f>
        <v>F</v>
      </c>
      <c r="G340" s="3">
        <v>212</v>
      </c>
      <c r="H340" s="3" t="str">
        <f>IFERROR(MID(VLOOKUP($B340,Seqs!$A:$B,2,0),I340,1),"")</f>
        <v>R</v>
      </c>
      <c r="I340" s="23">
        <v>213</v>
      </c>
      <c r="J340" s="3" t="str">
        <f>IFERROR(MID(VLOOKUP($B340,Seqs!$A:$B,2,0),K340,1),"")</f>
        <v>H</v>
      </c>
      <c r="K340" s="23">
        <v>216</v>
      </c>
      <c r="L340" s="3" t="str">
        <f>IFERROR(MID(VLOOKUP($B340,Seqs!$A:$B,2,0),M340,1),"")</f>
        <v>C</v>
      </c>
      <c r="M340" s="23">
        <v>217</v>
      </c>
      <c r="N340" s="3" t="str">
        <f>IFERROR(MID(VLOOKUP($B340,Seqs!$A:$B,2,0),O340,1),"")</f>
        <v>Y</v>
      </c>
      <c r="O340" s="3">
        <v>245</v>
      </c>
      <c r="P340" s="3" t="str">
        <f>IFERROR(MID(VLOOKUP($B340,Seqs!$A:$B,2,0),Q340,1),"")</f>
        <v/>
      </c>
      <c r="Q340" s="3" t="s">
        <v>23</v>
      </c>
      <c r="R340" s="3" t="str">
        <f>IFERROR(MID(VLOOKUP($B340,Seqs!$A:$B,2,0),S340,1),"")</f>
        <v/>
      </c>
      <c r="S340" s="3" t="s">
        <v>23</v>
      </c>
      <c r="T340" s="3" t="str">
        <f>IFERROR(MID(VLOOKUP($B340,Seqs!$A:$B,2,0),U340,1),"")</f>
        <v>Y</v>
      </c>
      <c r="U340" s="3">
        <v>278</v>
      </c>
      <c r="V340" s="3" t="str">
        <f>IFERROR(MID(VLOOKUP($B340,Seqs!$A:$B,2,0),W340,1),"")</f>
        <v>M</v>
      </c>
      <c r="W340" s="3">
        <v>312</v>
      </c>
      <c r="X340" s="3" t="str">
        <f>IFERROR(MID(VLOOKUP($B340,Seqs!$A:$B,2,0),Y340,1),"")</f>
        <v/>
      </c>
      <c r="Y340" s="3" t="s">
        <v>23</v>
      </c>
      <c r="Z340" s="3" t="str">
        <f>IFERROR(MID(VLOOKUP($B340,Seqs!$A:$B,2,0),AA340,1),"")</f>
        <v/>
      </c>
      <c r="AA340" s="3" t="s">
        <v>23</v>
      </c>
      <c r="AB340" s="3" t="str">
        <f>IFERROR(MID(VLOOKUP($B340,Seqs!$A:$B,2,0),AC340,1),"")</f>
        <v>S</v>
      </c>
      <c r="AC340" s="3">
        <v>316</v>
      </c>
      <c r="AD340" s="3" t="str">
        <f>IFERROR(MID(VLOOKUP($B340,Seqs!$A:$B,2,0),AE340,1),"")</f>
        <v>A</v>
      </c>
      <c r="AE340" s="3">
        <v>347</v>
      </c>
      <c r="AF340" s="3" t="str">
        <f>IFERROR(MID(VLOOKUP($B340,Seqs!$A:$B,2,0),AG340,1),"")</f>
        <v>C</v>
      </c>
      <c r="AG340" s="3">
        <v>351</v>
      </c>
      <c r="AH340" s="3" t="str">
        <f>IFERROR(MID(VLOOKUP($B340,Seqs!$A:$B,2,0),AI340,1),"")</f>
        <v>D</v>
      </c>
      <c r="AI340" s="3">
        <v>353</v>
      </c>
      <c r="AJ340" s="3" t="str">
        <f>IFERROR(MID(VLOOKUP($B340,Seqs!$A:$B,2,0),AK340,1),"")</f>
        <v>G</v>
      </c>
      <c r="AK340" s="3">
        <v>357</v>
      </c>
      <c r="AL340" s="3" t="str">
        <f>IFERROR(MID(VLOOKUP($B340,Seqs!$A:$B,2,0),AM340,1),"")</f>
        <v>R</v>
      </c>
      <c r="AM340" s="3">
        <v>383</v>
      </c>
      <c r="AN340" s="3" t="str">
        <f>IFERROR(MID(VLOOKUP($B340,Seqs!$A:$B,2,0),AO340,1),"")</f>
        <v>D</v>
      </c>
      <c r="AO340" s="3">
        <v>398</v>
      </c>
      <c r="AP340" s="3" t="str">
        <f>IFERROR(MID(VLOOKUP($B340,Seqs!$A:$B,2,0),AQ340,1),"")</f>
        <v>T</v>
      </c>
      <c r="AQ340" s="3">
        <v>427</v>
      </c>
      <c r="AR340" s="3" t="str">
        <f>IFERROR(MID(VLOOKUP($B340,Seqs!$A:$B,2,0),AS340,1),"")</f>
        <v>G</v>
      </c>
      <c r="AS340" s="3">
        <v>434</v>
      </c>
      <c r="AT340" s="3" t="str">
        <f>IFERROR(MID(VLOOKUP($B340,Seqs!$A:$B,2,0),AU340,1),"")</f>
        <v>C</v>
      </c>
      <c r="AU340" s="3">
        <v>462</v>
      </c>
      <c r="AV340" s="3" t="str">
        <f>IFERROR(MID(VLOOKUP($B340,Seqs!$A:$B,2,0),AW340,1),"")</f>
        <v>N</v>
      </c>
      <c r="AW340" s="3">
        <v>463</v>
      </c>
      <c r="AX340" s="3" t="str">
        <f>IFERROR(MID(VLOOKUP($B340,Seqs!$A:$B,2,0),AY340,1),"")</f>
        <v>W</v>
      </c>
      <c r="AY340" s="3">
        <v>477</v>
      </c>
      <c r="AZ340" s="77" t="str">
        <f>VLOOKUP(B340,Classification!A:D,2,0)</f>
        <v>B1</v>
      </c>
      <c r="BA340" s="94" t="str">
        <f>VLOOKUP(B340,Classification!A:D,4,0)</f>
        <v>Parathyroidhormone</v>
      </c>
      <c r="BB340" s="27" t="b">
        <f t="shared" ref="BB340" si="1957">AND(E340&lt;G340,OR(G340&lt;I340,I340="-"),OR(I340&lt;K340,I340="-"),OR(K340&lt;M340,K340="-"),M340&lt;O340,OR(O340&lt;Q340,Q340="-"),OR(Q340&lt;S340,Q340="-"),OR(S340&lt;U340,S340="-"),U340&lt;W340,OR(W340&lt;Y340,Y340="-"),OR(Y340&lt;AA340,Y340="-"),OR(AA340&lt;AC340,AA340="-"),AC340&lt;AE340,OR(AE340&lt;AG340,AG340="-"),OR(AG340&lt;AI340,AG340="-"),OR(AI340&lt;AK340,AI340="-"),AK340&lt;AM340,AM340&lt;AO340,AO340&lt;AQ340,AQ340&lt;AS340,AS340&lt;AU340,OR(AU340&lt;AW340,AW340="-"),OR(AW340&lt;AY340,AW340="-"))</f>
        <v>1</v>
      </c>
      <c r="BC340" s="23">
        <f t="shared" ref="BC340" si="1958">_xlfn.AGGREGATE(9,6,CH340:CS340)-_xlfn.AGGREGATE(9,6,BV340:CG340)+12</f>
        <v>240</v>
      </c>
      <c r="BD340" s="4" t="s">
        <v>1377</v>
      </c>
      <c r="BE340" s="3" t="s">
        <v>1375</v>
      </c>
      <c r="BF340" s="119">
        <v>2.5</v>
      </c>
      <c r="BG340" s="49" t="s">
        <v>1</v>
      </c>
      <c r="BH340" s="49" t="s">
        <v>1</v>
      </c>
      <c r="BI340" s="1"/>
      <c r="BJ340" s="70" t="s">
        <v>1288</v>
      </c>
      <c r="BK340" s="57" t="s">
        <v>1288</v>
      </c>
      <c r="BL340" s="57" t="s">
        <v>1288</v>
      </c>
      <c r="BM340" s="57" t="s">
        <v>1288</v>
      </c>
      <c r="BN340" s="57" t="s">
        <v>1288</v>
      </c>
      <c r="BO340" s="57" t="s">
        <v>1288</v>
      </c>
      <c r="BP340" s="57" t="s">
        <v>1288</v>
      </c>
      <c r="BQ340" s="57" t="s">
        <v>1288</v>
      </c>
      <c r="BR340" s="57" t="s">
        <v>1288</v>
      </c>
      <c r="BS340" s="57" t="s">
        <v>1288</v>
      </c>
      <c r="BT340" s="57" t="s">
        <v>1288</v>
      </c>
      <c r="BU340" s="57" t="s">
        <v>1288</v>
      </c>
      <c r="BV340" s="70">
        <f t="shared" ref="BV340" si="1959">E340</f>
        <v>179</v>
      </c>
      <c r="BW340" s="71">
        <f t="shared" ref="BW340" si="1960">I340</f>
        <v>213</v>
      </c>
      <c r="BX340" s="72">
        <f t="shared" ref="BX340" si="1961">M340</f>
        <v>217</v>
      </c>
      <c r="BY340" s="71" t="str">
        <f t="shared" ref="BY340" si="1962">Q340</f>
        <v>-</v>
      </c>
      <c r="BZ340" s="72">
        <f t="shared" ref="BZ340" si="1963">U340</f>
        <v>278</v>
      </c>
      <c r="CA340" s="71" t="str">
        <f t="shared" ref="CA340" si="1964">Y340</f>
        <v>-</v>
      </c>
      <c r="CB340" s="72">
        <f t="shared" ref="CB340" si="1965">AC340</f>
        <v>316</v>
      </c>
      <c r="CC340" s="71">
        <f t="shared" ref="CC340" si="1966">AG340</f>
        <v>351</v>
      </c>
      <c r="CD340" s="72">
        <f t="shared" ref="CD340" si="1967">AK340</f>
        <v>357</v>
      </c>
      <c r="CE340" s="71">
        <f t="shared" ref="CE340" si="1968">AO340</f>
        <v>398</v>
      </c>
      <c r="CF340" s="72">
        <f t="shared" ref="CF340" si="1969">AS340</f>
        <v>434</v>
      </c>
      <c r="CG340" s="71">
        <f t="shared" ref="CG340" si="1970">AW340</f>
        <v>463</v>
      </c>
      <c r="CH340" s="70">
        <f t="shared" ref="CH340" si="1971">G340</f>
        <v>212</v>
      </c>
      <c r="CI340" s="71">
        <f t="shared" ref="CI340" si="1972">K340</f>
        <v>216</v>
      </c>
      <c r="CJ340" s="72">
        <f t="shared" ref="CJ340" si="1973">O340</f>
        <v>245</v>
      </c>
      <c r="CK340" s="72" t="str">
        <f t="shared" ref="CK340" si="1974">S340</f>
        <v>-</v>
      </c>
      <c r="CL340" s="72">
        <f t="shared" ref="CL340" si="1975">W340</f>
        <v>312</v>
      </c>
      <c r="CM340" s="72" t="str">
        <f t="shared" ref="CM340" si="1976">AA340</f>
        <v>-</v>
      </c>
      <c r="CN340" s="72">
        <f t="shared" ref="CN340" si="1977">AE340</f>
        <v>347</v>
      </c>
      <c r="CO340" s="72">
        <f t="shared" ref="CO340" si="1978">AI340</f>
        <v>353</v>
      </c>
      <c r="CP340" s="72">
        <f t="shared" ref="CP340" si="1979">AM340</f>
        <v>383</v>
      </c>
      <c r="CQ340" s="72">
        <f t="shared" ref="CQ340" si="1980">AQ340</f>
        <v>427</v>
      </c>
      <c r="CR340" s="72">
        <f t="shared" ref="CR340" si="1981">AU340</f>
        <v>462</v>
      </c>
      <c r="CS340" s="72">
        <f t="shared" ref="CS340" si="1982">AY340</f>
        <v>477</v>
      </c>
      <c r="CT340" s="23">
        <f t="shared" ref="CT340" si="1983">M340-K340</f>
        <v>1</v>
      </c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  <c r="ALN340" s="1"/>
      <c r="ALO340" s="1"/>
      <c r="ALP340" s="1"/>
      <c r="ALQ340" s="1"/>
      <c r="ALR340" s="1"/>
      <c r="ALS340" s="1"/>
      <c r="ALT340" s="1"/>
      <c r="ALU340" s="1"/>
      <c r="ALV340" s="1"/>
      <c r="ALW340" s="1"/>
      <c r="ALX340" s="1"/>
      <c r="ALY340" s="1"/>
      <c r="ALZ340" s="1"/>
      <c r="AMA340" s="1"/>
      <c r="AMB340" s="1"/>
      <c r="AMC340" s="1"/>
      <c r="AMD340" s="1"/>
      <c r="AME340" s="1"/>
      <c r="AMF340" s="1"/>
      <c r="AMG340" s="1"/>
      <c r="AMH340" s="1"/>
      <c r="AMI340" s="1"/>
      <c r="AMJ340" s="1"/>
      <c r="AMK340" s="1"/>
      <c r="AML340" s="1"/>
      <c r="AMM340" s="1"/>
      <c r="AMN340" s="1"/>
      <c r="AMO340" s="1"/>
    </row>
    <row r="341" spans="1:1030" s="12" customFormat="1" x14ac:dyDescent="0.2">
      <c r="A341" s="9" t="str">
        <f t="shared" ref="A341" si="1984">CONCATENATE(B341,"_",C341)</f>
        <v>pth1r_human_6NBF</v>
      </c>
      <c r="B341" s="9" t="s">
        <v>409</v>
      </c>
      <c r="C341" s="9" t="s">
        <v>1574</v>
      </c>
      <c r="D341" s="9" t="str">
        <f>IFERROR(MID(VLOOKUP($B341,Seqs!$A:$B,2,0),E341,1),"")</f>
        <v>T</v>
      </c>
      <c r="E341" s="9">
        <v>178</v>
      </c>
      <c r="F341" s="9" t="str">
        <f>IFERROR(MID(VLOOKUP($B341,Seqs!$A:$B,2,0),G341,1),"")</f>
        <v>F</v>
      </c>
      <c r="G341" s="9">
        <v>212</v>
      </c>
      <c r="H341" s="9" t="str">
        <f>IFERROR(MID(VLOOKUP($B341,Seqs!$A:$B,2,0),I341,1),"")</f>
        <v>R</v>
      </c>
      <c r="I341" s="109">
        <v>213</v>
      </c>
      <c r="J341" s="9" t="str">
        <f>IFERROR(MID(VLOOKUP($B341,Seqs!$A:$B,2,0),K341,1),"")</f>
        <v>H</v>
      </c>
      <c r="K341" s="109">
        <v>216</v>
      </c>
      <c r="L341" s="9" t="str">
        <f>IFERROR(MID(VLOOKUP($B341,Seqs!$A:$B,2,0),M341,1),"")</f>
        <v>C</v>
      </c>
      <c r="M341" s="109">
        <v>217</v>
      </c>
      <c r="N341" s="9" t="str">
        <f>IFERROR(MID(VLOOKUP($B341,Seqs!$A:$B,2,0),O341,1),"")</f>
        <v>S</v>
      </c>
      <c r="O341" s="9">
        <v>246</v>
      </c>
      <c r="P341" s="9" t="str">
        <f>IFERROR(MID(VLOOKUP($B341,Seqs!$A:$B,2,0),Q341,1),"")</f>
        <v/>
      </c>
      <c r="Q341" s="9" t="s">
        <v>23</v>
      </c>
      <c r="R341" s="9" t="str">
        <f>IFERROR(MID(VLOOKUP($B341,Seqs!$A:$B,2,0),S341,1),"")</f>
        <v/>
      </c>
      <c r="S341" s="9" t="s">
        <v>23</v>
      </c>
      <c r="T341" s="9" t="str">
        <f>IFERROR(MID(VLOOKUP($B341,Seqs!$A:$B,2,0),U341,1),"")</f>
        <v>Y</v>
      </c>
      <c r="U341" s="9">
        <v>278</v>
      </c>
      <c r="V341" s="9" t="str">
        <f>IFERROR(MID(VLOOKUP($B341,Seqs!$A:$B,2,0),W341,1),"")</f>
        <v>M</v>
      </c>
      <c r="W341" s="9">
        <v>312</v>
      </c>
      <c r="X341" s="9" t="str">
        <f>IFERROR(MID(VLOOKUP($B341,Seqs!$A:$B,2,0),Y341,1),"")</f>
        <v/>
      </c>
      <c r="Y341" s="9" t="s">
        <v>23</v>
      </c>
      <c r="Z341" s="9" t="str">
        <f>IFERROR(MID(VLOOKUP($B341,Seqs!$A:$B,2,0),AA341,1),"")</f>
        <v/>
      </c>
      <c r="AA341" s="9" t="s">
        <v>23</v>
      </c>
      <c r="AB341" s="9" t="str">
        <f>IFERROR(MID(VLOOKUP($B341,Seqs!$A:$B,2,0),AC341,1),"")</f>
        <v>S</v>
      </c>
      <c r="AC341" s="9">
        <v>316</v>
      </c>
      <c r="AD341" s="9" t="str">
        <f>IFERROR(MID(VLOOKUP($B341,Seqs!$A:$B,2,0),AE341,1),"")</f>
        <v>L</v>
      </c>
      <c r="AE341" s="9">
        <v>346</v>
      </c>
      <c r="AF341" s="9" t="str">
        <f>IFERROR(MID(VLOOKUP($B341,Seqs!$A:$B,2,0),AG341,1),"")</f>
        <v>C</v>
      </c>
      <c r="AG341" s="9">
        <v>351</v>
      </c>
      <c r="AH341" s="9" t="str">
        <f>IFERROR(MID(VLOOKUP($B341,Seqs!$A:$B,2,0),AI341,1),"")</f>
        <v>D</v>
      </c>
      <c r="AI341" s="9">
        <v>353</v>
      </c>
      <c r="AJ341" s="9" t="str">
        <f>IFERROR(MID(VLOOKUP($B341,Seqs!$A:$B,2,0),AK341,1),"")</f>
        <v>G</v>
      </c>
      <c r="AK341" s="9">
        <v>357</v>
      </c>
      <c r="AL341" s="9" t="str">
        <f>IFERROR(MID(VLOOKUP($B341,Seqs!$A:$B,2,0),AM341,1),"")</f>
        <v>N</v>
      </c>
      <c r="AM341" s="9">
        <v>393</v>
      </c>
      <c r="AN341" s="9" t="str">
        <f>IFERROR(MID(VLOOKUP($B341,Seqs!$A:$B,2,0),AO341,1),"")</f>
        <v>T</v>
      </c>
      <c r="AO341" s="9">
        <v>399</v>
      </c>
      <c r="AP341" s="9" t="str">
        <f>IFERROR(MID(VLOOKUP($B341,Seqs!$A:$B,2,0),AQ341,1),"")</f>
        <v>F</v>
      </c>
      <c r="AQ341" s="9">
        <v>424</v>
      </c>
      <c r="AR341" s="9" t="str">
        <f>IFERROR(MID(VLOOKUP($B341,Seqs!$A:$B,2,0),AS341,1),"")</f>
        <v>G</v>
      </c>
      <c r="AS341" s="9">
        <v>434</v>
      </c>
      <c r="AT341" s="9" t="str">
        <f>IFERROR(MID(VLOOKUP($B341,Seqs!$A:$B,2,0),AU341,1),"")</f>
        <v>C</v>
      </c>
      <c r="AU341" s="9">
        <v>462</v>
      </c>
      <c r="AV341" s="9" t="str">
        <f>IFERROR(MID(VLOOKUP($B341,Seqs!$A:$B,2,0),AW341,1),"")</f>
        <v>N</v>
      </c>
      <c r="AW341" s="9">
        <v>463</v>
      </c>
      <c r="AX341" s="9" t="str">
        <f>IFERROR(MID(VLOOKUP($B341,Seqs!$A:$B,2,0),AY341,1),"")</f>
        <v>L</v>
      </c>
      <c r="AY341" s="9">
        <v>481</v>
      </c>
      <c r="AZ341" s="110" t="str">
        <f>VLOOKUP(B341,Classification!A:D,2,0)</f>
        <v>B1</v>
      </c>
      <c r="BA341" s="98" t="str">
        <f>VLOOKUP(B341,Classification!A:D,4,0)</f>
        <v>Parathyroidhormone</v>
      </c>
      <c r="BB341" s="36" t="b">
        <f t="shared" ref="BB341" si="1985">AND(E341&lt;G341,OR(G341&lt;I341,I341="-"),OR(I341&lt;K341,I341="-"),OR(K341&lt;M341,K341="-"),M341&lt;O341,OR(O341&lt;Q341,Q341="-"),OR(Q341&lt;S341,Q341="-"),OR(S341&lt;U341,S341="-"),U341&lt;W341,OR(W341&lt;Y341,Y341="-"),OR(Y341&lt;AA341,Y341="-"),OR(AA341&lt;AC341,AA341="-"),AC341&lt;AE341,OR(AE341&lt;AG341,AG341="-"),OR(AG341&lt;AI341,AG341="-"),OR(AI341&lt;AK341,AI341="-"),AK341&lt;AM341,AM341&lt;AO341,AO341&lt;AQ341,AQ341&lt;AS341,AS341&lt;AU341,OR(AU341&lt;AW341,AW341="-"),OR(AW341&lt;AY341,AW341="-"))</f>
        <v>1</v>
      </c>
      <c r="BC341" s="109">
        <f t="shared" ref="BC341" si="1986">_xlfn.AGGREGATE(9,6,CH341:CS341)-_xlfn.AGGREGATE(9,6,BV341:CG341)+12</f>
        <v>251</v>
      </c>
      <c r="BD341" s="11" t="s">
        <v>23</v>
      </c>
      <c r="BE341" s="9" t="s">
        <v>1292</v>
      </c>
      <c r="BF341" s="120">
        <v>3</v>
      </c>
      <c r="BG341" s="51" t="s">
        <v>1423</v>
      </c>
      <c r="BH341" s="51" t="s">
        <v>1423</v>
      </c>
      <c r="BJ341" s="111" t="s">
        <v>1288</v>
      </c>
      <c r="BK341" s="112" t="s">
        <v>1288</v>
      </c>
      <c r="BL341" s="112" t="s">
        <v>1288</v>
      </c>
      <c r="BM341" s="112" t="s">
        <v>1288</v>
      </c>
      <c r="BN341" s="112" t="s">
        <v>1288</v>
      </c>
      <c r="BO341" s="112" t="s">
        <v>1288</v>
      </c>
      <c r="BP341" s="112" t="s">
        <v>1288</v>
      </c>
      <c r="BQ341" s="112" t="s">
        <v>1288</v>
      </c>
      <c r="BR341" s="112" t="s">
        <v>1288</v>
      </c>
      <c r="BS341" s="112" t="s">
        <v>1288</v>
      </c>
      <c r="BT341" s="112" t="s">
        <v>1288</v>
      </c>
      <c r="BU341" s="112" t="s">
        <v>1288</v>
      </c>
      <c r="BV341" s="111">
        <f t="shared" ref="BV341" si="1987">E341</f>
        <v>178</v>
      </c>
      <c r="BW341" s="113">
        <f t="shared" ref="BW341" si="1988">I341</f>
        <v>213</v>
      </c>
      <c r="BX341" s="114">
        <f t="shared" ref="BX341" si="1989">M341</f>
        <v>217</v>
      </c>
      <c r="BY341" s="113" t="str">
        <f t="shared" ref="BY341" si="1990">Q341</f>
        <v>-</v>
      </c>
      <c r="BZ341" s="114">
        <f t="shared" ref="BZ341" si="1991">U341</f>
        <v>278</v>
      </c>
      <c r="CA341" s="113" t="str">
        <f t="shared" ref="CA341" si="1992">Y341</f>
        <v>-</v>
      </c>
      <c r="CB341" s="114">
        <f t="shared" ref="CB341" si="1993">AC341</f>
        <v>316</v>
      </c>
      <c r="CC341" s="113">
        <f t="shared" ref="CC341" si="1994">AG341</f>
        <v>351</v>
      </c>
      <c r="CD341" s="114">
        <f t="shared" ref="CD341" si="1995">AK341</f>
        <v>357</v>
      </c>
      <c r="CE341" s="113">
        <f t="shared" ref="CE341" si="1996">AO341</f>
        <v>399</v>
      </c>
      <c r="CF341" s="114">
        <f t="shared" ref="CF341" si="1997">AS341</f>
        <v>434</v>
      </c>
      <c r="CG341" s="113">
        <f t="shared" ref="CG341" si="1998">AW341</f>
        <v>463</v>
      </c>
      <c r="CH341" s="111">
        <f t="shared" ref="CH341" si="1999">G341</f>
        <v>212</v>
      </c>
      <c r="CI341" s="113">
        <f t="shared" ref="CI341" si="2000">K341</f>
        <v>216</v>
      </c>
      <c r="CJ341" s="114">
        <f t="shared" ref="CJ341" si="2001">O341</f>
        <v>246</v>
      </c>
      <c r="CK341" s="114" t="str">
        <f t="shared" ref="CK341" si="2002">S341</f>
        <v>-</v>
      </c>
      <c r="CL341" s="114">
        <f t="shared" ref="CL341" si="2003">W341</f>
        <v>312</v>
      </c>
      <c r="CM341" s="114" t="str">
        <f t="shared" ref="CM341" si="2004">AA341</f>
        <v>-</v>
      </c>
      <c r="CN341" s="114">
        <f t="shared" ref="CN341" si="2005">AE341</f>
        <v>346</v>
      </c>
      <c r="CO341" s="114">
        <f t="shared" ref="CO341" si="2006">AI341</f>
        <v>353</v>
      </c>
      <c r="CP341" s="114">
        <f t="shared" ref="CP341" si="2007">AM341</f>
        <v>393</v>
      </c>
      <c r="CQ341" s="114">
        <f t="shared" ref="CQ341" si="2008">AQ341</f>
        <v>424</v>
      </c>
      <c r="CR341" s="114">
        <f t="shared" ref="CR341" si="2009">AU341</f>
        <v>462</v>
      </c>
      <c r="CS341" s="114">
        <f t="shared" ref="CS341" si="2010">AY341</f>
        <v>481</v>
      </c>
      <c r="CT341" s="109">
        <f t="shared" ref="CT341" si="2011">M341-K341</f>
        <v>1</v>
      </c>
    </row>
    <row r="342" spans="1:1030" s="12" customFormat="1" x14ac:dyDescent="0.2">
      <c r="A342" s="9" t="str">
        <f t="shared" ref="A342" si="2012">CONCATENATE(B342,"_",C342)</f>
        <v>pth1r_human_6NBH</v>
      </c>
      <c r="B342" s="9" t="s">
        <v>409</v>
      </c>
      <c r="C342" s="9" t="s">
        <v>1575</v>
      </c>
      <c r="D342" s="9" t="str">
        <f>IFERROR(MID(VLOOKUP($B342,Seqs!$A:$B,2,0),E342,1),"")</f>
        <v>T</v>
      </c>
      <c r="E342" s="9">
        <v>178</v>
      </c>
      <c r="F342" s="9" t="str">
        <f>IFERROR(MID(VLOOKUP($B342,Seqs!$A:$B,2,0),G342,1),"")</f>
        <v>F</v>
      </c>
      <c r="G342" s="9">
        <v>212</v>
      </c>
      <c r="H342" s="9" t="str">
        <f>IFERROR(MID(VLOOKUP($B342,Seqs!$A:$B,2,0),I342,1),"")</f>
        <v>R</v>
      </c>
      <c r="I342" s="109">
        <v>213</v>
      </c>
      <c r="J342" s="9" t="str">
        <f>IFERROR(MID(VLOOKUP($B342,Seqs!$A:$B,2,0),K342,1),"")</f>
        <v>H</v>
      </c>
      <c r="K342" s="109">
        <v>216</v>
      </c>
      <c r="L342" s="9" t="str">
        <f>IFERROR(MID(VLOOKUP($B342,Seqs!$A:$B,2,0),M342,1),"")</f>
        <v>C</v>
      </c>
      <c r="M342" s="109">
        <v>217</v>
      </c>
      <c r="N342" s="9" t="str">
        <f>IFERROR(MID(VLOOKUP($B342,Seqs!$A:$B,2,0),O342,1),"")</f>
        <v>L</v>
      </c>
      <c r="O342" s="9">
        <v>250</v>
      </c>
      <c r="P342" s="9" t="str">
        <f>IFERROR(MID(VLOOKUP($B342,Seqs!$A:$B,2,0),Q342,1),"")</f>
        <v/>
      </c>
      <c r="Q342" s="9" t="s">
        <v>23</v>
      </c>
      <c r="R342" s="9" t="str">
        <f>IFERROR(MID(VLOOKUP($B342,Seqs!$A:$B,2,0),S342,1),"")</f>
        <v/>
      </c>
      <c r="S342" s="9" t="s">
        <v>23</v>
      </c>
      <c r="T342" s="9" t="str">
        <f>IFERROR(MID(VLOOKUP($B342,Seqs!$A:$B,2,0),U342,1),"")</f>
        <v>Y</v>
      </c>
      <c r="U342" s="9">
        <v>278</v>
      </c>
      <c r="V342" s="9" t="str">
        <f>IFERROR(MID(VLOOKUP($B342,Seqs!$A:$B,2,0),W342,1),"")</f>
        <v>M</v>
      </c>
      <c r="W342" s="9">
        <v>312</v>
      </c>
      <c r="X342" s="9" t="str">
        <f>IFERROR(MID(VLOOKUP($B342,Seqs!$A:$B,2,0),Y342,1),"")</f>
        <v/>
      </c>
      <c r="Y342" s="9" t="s">
        <v>23</v>
      </c>
      <c r="Z342" s="9" t="str">
        <f>IFERROR(MID(VLOOKUP($B342,Seqs!$A:$B,2,0),AA342,1),"")</f>
        <v/>
      </c>
      <c r="AA342" s="9" t="s">
        <v>23</v>
      </c>
      <c r="AB342" s="9" t="str">
        <f>IFERROR(MID(VLOOKUP($B342,Seqs!$A:$B,2,0),AC342,1),"")</f>
        <v>S</v>
      </c>
      <c r="AC342" s="9">
        <v>316</v>
      </c>
      <c r="AD342" s="9" t="str">
        <f>IFERROR(MID(VLOOKUP($B342,Seqs!$A:$B,2,0),AE342,1),"")</f>
        <v>A</v>
      </c>
      <c r="AE342" s="9">
        <v>347</v>
      </c>
      <c r="AF342" s="9" t="str">
        <f>IFERROR(MID(VLOOKUP($B342,Seqs!$A:$B,2,0),AG342,1),"")</f>
        <v>C</v>
      </c>
      <c r="AG342" s="9">
        <v>351</v>
      </c>
      <c r="AH342" s="9" t="str">
        <f>IFERROR(MID(VLOOKUP($B342,Seqs!$A:$B,2,0),AI342,1),"")</f>
        <v>D</v>
      </c>
      <c r="AI342" s="9">
        <v>353</v>
      </c>
      <c r="AJ342" s="9" t="str">
        <f>IFERROR(MID(VLOOKUP($B342,Seqs!$A:$B,2,0),AK342,1),"")</f>
        <v>G</v>
      </c>
      <c r="AK342" s="9">
        <v>357</v>
      </c>
      <c r="AL342" s="9" t="str">
        <f>IFERROR(MID(VLOOKUP($B342,Seqs!$A:$B,2,0),AM342,1),"")</f>
        <v>T</v>
      </c>
      <c r="AM342" s="9">
        <v>392</v>
      </c>
      <c r="AN342" s="9" t="str">
        <f>IFERROR(MID(VLOOKUP($B342,Seqs!$A:$B,2,0),AO342,1),"")</f>
        <v>T</v>
      </c>
      <c r="AO342" s="9">
        <v>399</v>
      </c>
      <c r="AP342" s="9" t="str">
        <f>IFERROR(MID(VLOOKUP($B342,Seqs!$A:$B,2,0),AQ342,1),"")</f>
        <v>F</v>
      </c>
      <c r="AQ342" s="9">
        <v>424</v>
      </c>
      <c r="AR342" s="9" t="str">
        <f>IFERROR(MID(VLOOKUP($B342,Seqs!$A:$B,2,0),AS342,1),"")</f>
        <v>G</v>
      </c>
      <c r="AS342" s="9">
        <v>434</v>
      </c>
      <c r="AT342" s="9" t="str">
        <f>IFERROR(MID(VLOOKUP($B342,Seqs!$A:$B,2,0),AU342,1),"")</f>
        <v>C</v>
      </c>
      <c r="AU342" s="9">
        <v>462</v>
      </c>
      <c r="AV342" s="9" t="str">
        <f>IFERROR(MID(VLOOKUP($B342,Seqs!$A:$B,2,0),AW342,1),"")</f>
        <v>N</v>
      </c>
      <c r="AW342" s="9">
        <v>463</v>
      </c>
      <c r="AX342" s="9" t="str">
        <f>IFERROR(MID(VLOOKUP($B342,Seqs!$A:$B,2,0),AY342,1),"")</f>
        <v>D</v>
      </c>
      <c r="AY342" s="9">
        <v>482</v>
      </c>
      <c r="AZ342" s="110" t="str">
        <f>VLOOKUP(B342,Classification!A:D,2,0)</f>
        <v>B1</v>
      </c>
      <c r="BA342" s="98" t="str">
        <f>VLOOKUP(B342,Classification!A:D,4,0)</f>
        <v>Parathyroidhormone</v>
      </c>
      <c r="BB342" s="36" t="b">
        <f t="shared" ref="BB342" si="2013">AND(E342&lt;G342,OR(G342&lt;I342,I342="-"),OR(I342&lt;K342,I342="-"),OR(K342&lt;M342,K342="-"),M342&lt;O342,OR(O342&lt;Q342,Q342="-"),OR(Q342&lt;S342,Q342="-"),OR(S342&lt;U342,S342="-"),U342&lt;W342,OR(W342&lt;Y342,Y342="-"),OR(Y342&lt;AA342,Y342="-"),OR(AA342&lt;AC342,AA342="-"),AC342&lt;AE342,OR(AE342&lt;AG342,AG342="-"),OR(AG342&lt;AI342,AG342="-"),OR(AI342&lt;AK342,AI342="-"),AK342&lt;AM342,AM342&lt;AO342,AO342&lt;AQ342,AQ342&lt;AS342,AS342&lt;AU342,OR(AU342&lt;AW342,AW342="-"),OR(AW342&lt;AY342,AW342="-"))</f>
        <v>1</v>
      </c>
      <c r="BC342" s="109">
        <f t="shared" ref="BC342" si="2014">_xlfn.AGGREGATE(9,6,CH342:CS342)-_xlfn.AGGREGATE(9,6,BV342:CG342)+12</f>
        <v>256</v>
      </c>
      <c r="BD342" s="11" t="s">
        <v>23</v>
      </c>
      <c r="BE342" s="9" t="s">
        <v>1292</v>
      </c>
      <c r="BF342" s="120">
        <v>3.5</v>
      </c>
      <c r="BG342" s="51" t="s">
        <v>1423</v>
      </c>
      <c r="BH342" s="51" t="s">
        <v>1423</v>
      </c>
      <c r="BJ342" s="111" t="s">
        <v>1288</v>
      </c>
      <c r="BK342" s="112" t="s">
        <v>1288</v>
      </c>
      <c r="BL342" s="112" t="s">
        <v>1288</v>
      </c>
      <c r="BM342" s="112" t="s">
        <v>1288</v>
      </c>
      <c r="BN342" s="112" t="s">
        <v>1288</v>
      </c>
      <c r="BO342" s="112" t="s">
        <v>1288</v>
      </c>
      <c r="BP342" s="112" t="s">
        <v>1288</v>
      </c>
      <c r="BQ342" s="112" t="s">
        <v>1288</v>
      </c>
      <c r="BR342" s="112" t="s">
        <v>1288</v>
      </c>
      <c r="BS342" s="112" t="s">
        <v>1288</v>
      </c>
      <c r="BT342" s="112" t="s">
        <v>1288</v>
      </c>
      <c r="BU342" s="112" t="s">
        <v>1288</v>
      </c>
      <c r="BV342" s="111">
        <f t="shared" ref="BV342" si="2015">E342</f>
        <v>178</v>
      </c>
      <c r="BW342" s="113">
        <f t="shared" ref="BW342" si="2016">I342</f>
        <v>213</v>
      </c>
      <c r="BX342" s="114">
        <f t="shared" ref="BX342" si="2017">M342</f>
        <v>217</v>
      </c>
      <c r="BY342" s="113" t="str">
        <f t="shared" ref="BY342" si="2018">Q342</f>
        <v>-</v>
      </c>
      <c r="BZ342" s="114">
        <f t="shared" ref="BZ342" si="2019">U342</f>
        <v>278</v>
      </c>
      <c r="CA342" s="113" t="str">
        <f t="shared" ref="CA342" si="2020">Y342</f>
        <v>-</v>
      </c>
      <c r="CB342" s="114">
        <f t="shared" ref="CB342" si="2021">AC342</f>
        <v>316</v>
      </c>
      <c r="CC342" s="113">
        <f t="shared" ref="CC342" si="2022">AG342</f>
        <v>351</v>
      </c>
      <c r="CD342" s="114">
        <f t="shared" ref="CD342" si="2023">AK342</f>
        <v>357</v>
      </c>
      <c r="CE342" s="113">
        <f t="shared" ref="CE342" si="2024">AO342</f>
        <v>399</v>
      </c>
      <c r="CF342" s="114">
        <f t="shared" ref="CF342" si="2025">AS342</f>
        <v>434</v>
      </c>
      <c r="CG342" s="113">
        <f t="shared" ref="CG342" si="2026">AW342</f>
        <v>463</v>
      </c>
      <c r="CH342" s="111">
        <f t="shared" ref="CH342" si="2027">G342</f>
        <v>212</v>
      </c>
      <c r="CI342" s="113">
        <f t="shared" ref="CI342" si="2028">K342</f>
        <v>216</v>
      </c>
      <c r="CJ342" s="114">
        <f t="shared" ref="CJ342" si="2029">O342</f>
        <v>250</v>
      </c>
      <c r="CK342" s="114" t="str">
        <f t="shared" ref="CK342" si="2030">S342</f>
        <v>-</v>
      </c>
      <c r="CL342" s="114">
        <f t="shared" ref="CL342" si="2031">W342</f>
        <v>312</v>
      </c>
      <c r="CM342" s="114" t="str">
        <f t="shared" ref="CM342" si="2032">AA342</f>
        <v>-</v>
      </c>
      <c r="CN342" s="114">
        <f t="shared" ref="CN342" si="2033">AE342</f>
        <v>347</v>
      </c>
      <c r="CO342" s="114">
        <f t="shared" ref="CO342" si="2034">AI342</f>
        <v>353</v>
      </c>
      <c r="CP342" s="114">
        <f t="shared" ref="CP342" si="2035">AM342</f>
        <v>392</v>
      </c>
      <c r="CQ342" s="114">
        <f t="shared" ref="CQ342" si="2036">AQ342</f>
        <v>424</v>
      </c>
      <c r="CR342" s="114">
        <f t="shared" ref="CR342" si="2037">AU342</f>
        <v>462</v>
      </c>
      <c r="CS342" s="114">
        <f t="shared" ref="CS342" si="2038">AY342</f>
        <v>482</v>
      </c>
      <c r="CT342" s="109">
        <f t="shared" ref="CT342" si="2039">M342-K342</f>
        <v>1</v>
      </c>
    </row>
    <row r="343" spans="1:1030" s="12" customFormat="1" x14ac:dyDescent="0.2">
      <c r="A343" s="9" t="str">
        <f t="shared" ref="A343" si="2040">CONCATENATE(B343,"_",C343)</f>
        <v>pth1r_human_6NBI</v>
      </c>
      <c r="B343" s="9" t="s">
        <v>409</v>
      </c>
      <c r="C343" s="9" t="s">
        <v>1576</v>
      </c>
      <c r="D343" s="9" t="str">
        <f>IFERROR(MID(VLOOKUP($B343,Seqs!$A:$B,2,0),E343,1),"")</f>
        <v>F</v>
      </c>
      <c r="E343" s="9">
        <v>173</v>
      </c>
      <c r="F343" s="9" t="str">
        <f>IFERROR(MID(VLOOKUP($B343,Seqs!$A:$B,2,0),G343,1),"")</f>
        <v>F</v>
      </c>
      <c r="G343" s="9">
        <v>212</v>
      </c>
      <c r="H343" s="9" t="str">
        <f>IFERROR(MID(VLOOKUP($B343,Seqs!$A:$B,2,0),I343,1),"")</f>
        <v>R</v>
      </c>
      <c r="I343" s="109">
        <v>213</v>
      </c>
      <c r="J343" s="9" t="str">
        <f>IFERROR(MID(VLOOKUP($B343,Seqs!$A:$B,2,0),K343,1),"")</f>
        <v>H</v>
      </c>
      <c r="K343" s="109">
        <v>216</v>
      </c>
      <c r="L343" s="9" t="str">
        <f>IFERROR(MID(VLOOKUP($B343,Seqs!$A:$B,2,0),M343,1),"")</f>
        <v>C</v>
      </c>
      <c r="M343" s="109">
        <v>217</v>
      </c>
      <c r="N343" s="9" t="str">
        <f>IFERROR(MID(VLOOKUP($B343,Seqs!$A:$B,2,0),O343,1),"")</f>
        <v>L</v>
      </c>
      <c r="O343" s="9">
        <v>250</v>
      </c>
      <c r="P343" s="9" t="str">
        <f>IFERROR(MID(VLOOKUP($B343,Seqs!$A:$B,2,0),Q343,1),"")</f>
        <v/>
      </c>
      <c r="Q343" s="9" t="s">
        <v>23</v>
      </c>
      <c r="R343" s="9" t="str">
        <f>IFERROR(MID(VLOOKUP($B343,Seqs!$A:$B,2,0),S343,1),"")</f>
        <v/>
      </c>
      <c r="S343" s="9" t="s">
        <v>23</v>
      </c>
      <c r="T343" s="9" t="str">
        <f>IFERROR(MID(VLOOKUP($B343,Seqs!$A:$B,2,0),U343,1),"")</f>
        <v>T</v>
      </c>
      <c r="U343" s="9">
        <v>273</v>
      </c>
      <c r="V343" s="9" t="str">
        <f>IFERROR(MID(VLOOKUP($B343,Seqs!$A:$B,2,0),W343,1),"")</f>
        <v>F</v>
      </c>
      <c r="W343" s="9">
        <v>311</v>
      </c>
      <c r="X343" s="9" t="str">
        <f>IFERROR(MID(VLOOKUP($B343,Seqs!$A:$B,2,0),Y343,1),"")</f>
        <v/>
      </c>
      <c r="Y343" s="9" t="s">
        <v>23</v>
      </c>
      <c r="Z343" s="9" t="str">
        <f>IFERROR(MID(VLOOKUP($B343,Seqs!$A:$B,2,0),AA343,1),"")</f>
        <v/>
      </c>
      <c r="AA343" s="9" t="s">
        <v>23</v>
      </c>
      <c r="AB343" s="9" t="str">
        <f>IFERROR(MID(VLOOKUP($B343,Seqs!$A:$B,2,0),AC343,1),"")</f>
        <v>S</v>
      </c>
      <c r="AC343" s="9">
        <v>316</v>
      </c>
      <c r="AD343" s="9" t="str">
        <f>IFERROR(MID(VLOOKUP($B343,Seqs!$A:$B,2,0),AE343,1),"")</f>
        <v>A</v>
      </c>
      <c r="AE343" s="9">
        <v>347</v>
      </c>
      <c r="AF343" s="9" t="str">
        <f>IFERROR(MID(VLOOKUP($B343,Seqs!$A:$B,2,0),AG343,1),"")</f>
        <v>C</v>
      </c>
      <c r="AG343" s="9">
        <v>351</v>
      </c>
      <c r="AH343" s="9" t="str">
        <f>IFERROR(MID(VLOOKUP($B343,Seqs!$A:$B,2,0),AI343,1),"")</f>
        <v>D</v>
      </c>
      <c r="AI343" s="9">
        <v>353</v>
      </c>
      <c r="AJ343" s="9" t="str">
        <f>IFERROR(MID(VLOOKUP($B343,Seqs!$A:$B,2,0),AK343,1),"")</f>
        <v>G</v>
      </c>
      <c r="AK343" s="9">
        <v>357</v>
      </c>
      <c r="AL343" s="9" t="str">
        <f>IFERROR(MID(VLOOKUP($B343,Seqs!$A:$B,2,0),AM343,1),"")</f>
        <v>A</v>
      </c>
      <c r="AM343" s="9">
        <v>394</v>
      </c>
      <c r="AN343" s="9" t="str">
        <f>IFERROR(MID(VLOOKUP($B343,Seqs!$A:$B,2,0),AO343,1),"")</f>
        <v>T</v>
      </c>
      <c r="AO343" s="9">
        <v>399</v>
      </c>
      <c r="AP343" s="9" t="str">
        <f>IFERROR(MID(VLOOKUP($B343,Seqs!$A:$B,2,0),AQ343,1),"")</f>
        <v>F</v>
      </c>
      <c r="AQ343" s="9">
        <v>424</v>
      </c>
      <c r="AR343" s="9" t="str">
        <f>IFERROR(MID(VLOOKUP($B343,Seqs!$A:$B,2,0),AS343,1),"")</f>
        <v>G</v>
      </c>
      <c r="AS343" s="9">
        <v>434</v>
      </c>
      <c r="AT343" s="9" t="str">
        <f>IFERROR(MID(VLOOKUP($B343,Seqs!$A:$B,2,0),AU343,1),"")</f>
        <v>C</v>
      </c>
      <c r="AU343" s="9">
        <v>462</v>
      </c>
      <c r="AV343" s="9" t="str">
        <f>IFERROR(MID(VLOOKUP($B343,Seqs!$A:$B,2,0),AW343,1),"")</f>
        <v>N</v>
      </c>
      <c r="AW343" s="9">
        <v>463</v>
      </c>
      <c r="AX343" s="9" t="str">
        <f>IFERROR(MID(VLOOKUP($B343,Seqs!$A:$B,2,0),AY343,1),"")</f>
        <v>D</v>
      </c>
      <c r="AY343" s="9">
        <v>482</v>
      </c>
      <c r="AZ343" s="110" t="str">
        <f>VLOOKUP(B343,Classification!A:D,2,0)</f>
        <v>B1</v>
      </c>
      <c r="BA343" s="98" t="str">
        <f>VLOOKUP(B343,Classification!A:D,4,0)</f>
        <v>Parathyroidhormone</v>
      </c>
      <c r="BB343" s="36" t="b">
        <f t="shared" ref="BB343" si="2041">AND(E343&lt;G343,OR(G343&lt;I343,I343="-"),OR(I343&lt;K343,I343="-"),OR(K343&lt;M343,K343="-"),M343&lt;O343,OR(O343&lt;Q343,Q343="-"),OR(Q343&lt;S343,Q343="-"),OR(S343&lt;U343,S343="-"),U343&lt;W343,OR(W343&lt;Y343,Y343="-"),OR(Y343&lt;AA343,Y343="-"),OR(AA343&lt;AC343,AA343="-"),AC343&lt;AE343,OR(AE343&lt;AG343,AG343="-"),OR(AG343&lt;AI343,AG343="-"),OR(AI343&lt;AK343,AI343="-"),AK343&lt;AM343,AM343&lt;AO343,AO343&lt;AQ343,AQ343&lt;AS343,AS343&lt;AU343,OR(AU343&lt;AW343,AW343="-"),OR(AW343&lt;AY343,AW343="-"))</f>
        <v>1</v>
      </c>
      <c r="BC343" s="109">
        <f t="shared" ref="BC343" si="2042">_xlfn.AGGREGATE(9,6,CH343:CS343)-_xlfn.AGGREGATE(9,6,BV343:CG343)+12</f>
        <v>267</v>
      </c>
      <c r="BD343" s="11" t="s">
        <v>1376</v>
      </c>
      <c r="BE343" s="9" t="s">
        <v>1292</v>
      </c>
      <c r="BF343" s="120">
        <v>4</v>
      </c>
      <c r="BG343" s="51" t="s">
        <v>1423</v>
      </c>
      <c r="BH343" s="51" t="s">
        <v>1423</v>
      </c>
      <c r="BJ343" s="111" t="s">
        <v>1288</v>
      </c>
      <c r="BK343" s="112" t="s">
        <v>1288</v>
      </c>
      <c r="BL343" s="112" t="s">
        <v>1288</v>
      </c>
      <c r="BM343" s="112" t="s">
        <v>1288</v>
      </c>
      <c r="BN343" s="112" t="s">
        <v>1288</v>
      </c>
      <c r="BO343" s="112" t="s">
        <v>1288</v>
      </c>
      <c r="BP343" s="112" t="s">
        <v>1288</v>
      </c>
      <c r="BQ343" s="112" t="s">
        <v>1288</v>
      </c>
      <c r="BR343" s="112" t="s">
        <v>1288</v>
      </c>
      <c r="BS343" s="112" t="s">
        <v>1288</v>
      </c>
      <c r="BT343" s="112" t="s">
        <v>1288</v>
      </c>
      <c r="BU343" s="112" t="s">
        <v>1288</v>
      </c>
      <c r="BV343" s="111">
        <f t="shared" ref="BV343" si="2043">E343</f>
        <v>173</v>
      </c>
      <c r="BW343" s="113">
        <f t="shared" ref="BW343" si="2044">I343</f>
        <v>213</v>
      </c>
      <c r="BX343" s="114">
        <f t="shared" ref="BX343" si="2045">M343</f>
        <v>217</v>
      </c>
      <c r="BY343" s="113" t="str">
        <f t="shared" ref="BY343" si="2046">Q343</f>
        <v>-</v>
      </c>
      <c r="BZ343" s="114">
        <f t="shared" ref="BZ343" si="2047">U343</f>
        <v>273</v>
      </c>
      <c r="CA343" s="113" t="str">
        <f t="shared" ref="CA343" si="2048">Y343</f>
        <v>-</v>
      </c>
      <c r="CB343" s="114">
        <f t="shared" ref="CB343" si="2049">AC343</f>
        <v>316</v>
      </c>
      <c r="CC343" s="113">
        <f t="shared" ref="CC343" si="2050">AG343</f>
        <v>351</v>
      </c>
      <c r="CD343" s="114">
        <f t="shared" ref="CD343" si="2051">AK343</f>
        <v>357</v>
      </c>
      <c r="CE343" s="113">
        <f t="shared" ref="CE343" si="2052">AO343</f>
        <v>399</v>
      </c>
      <c r="CF343" s="114">
        <f t="shared" ref="CF343" si="2053">AS343</f>
        <v>434</v>
      </c>
      <c r="CG343" s="113">
        <f t="shared" ref="CG343" si="2054">AW343</f>
        <v>463</v>
      </c>
      <c r="CH343" s="111">
        <f t="shared" ref="CH343" si="2055">G343</f>
        <v>212</v>
      </c>
      <c r="CI343" s="113">
        <f t="shared" ref="CI343" si="2056">K343</f>
        <v>216</v>
      </c>
      <c r="CJ343" s="114">
        <f t="shared" ref="CJ343" si="2057">O343</f>
        <v>250</v>
      </c>
      <c r="CK343" s="114" t="str">
        <f t="shared" ref="CK343" si="2058">S343</f>
        <v>-</v>
      </c>
      <c r="CL343" s="114">
        <f t="shared" ref="CL343" si="2059">W343</f>
        <v>311</v>
      </c>
      <c r="CM343" s="114" t="str">
        <f t="shared" ref="CM343" si="2060">AA343</f>
        <v>-</v>
      </c>
      <c r="CN343" s="114">
        <f t="shared" ref="CN343" si="2061">AE343</f>
        <v>347</v>
      </c>
      <c r="CO343" s="114">
        <f t="shared" ref="CO343" si="2062">AI343</f>
        <v>353</v>
      </c>
      <c r="CP343" s="114">
        <f t="shared" ref="CP343" si="2063">AM343</f>
        <v>394</v>
      </c>
      <c r="CQ343" s="114">
        <f t="shared" ref="CQ343" si="2064">AQ343</f>
        <v>424</v>
      </c>
      <c r="CR343" s="114">
        <f t="shared" ref="CR343" si="2065">AU343</f>
        <v>462</v>
      </c>
      <c r="CS343" s="114">
        <f t="shared" ref="CS343" si="2066">AY343</f>
        <v>482</v>
      </c>
      <c r="CT343" s="109">
        <f t="shared" ref="CT343" si="2067">M343-K343</f>
        <v>1</v>
      </c>
    </row>
    <row r="344" spans="1:1030" x14ac:dyDescent="0.2">
      <c r="A344" s="3" t="str">
        <f t="shared" si="1898"/>
        <v>grm1_human__wt</v>
      </c>
      <c r="B344" s="3" t="s">
        <v>40</v>
      </c>
      <c r="C344" s="3" t="s">
        <v>100</v>
      </c>
      <c r="D344" s="3" t="str">
        <f>IFERROR(MID(VLOOKUP($B344,Seqs!$A:$B,2,0),E344,1),"")</f>
        <v>I</v>
      </c>
      <c r="E344" s="3">
        <v>591</v>
      </c>
      <c r="F344" s="3" t="str">
        <f>IFERROR(MID(VLOOKUP($B344,Seqs!$A:$B,2,0),G344,1),"")</f>
        <v>Y</v>
      </c>
      <c r="G344" s="3">
        <v>617</v>
      </c>
      <c r="H344" s="3" t="str">
        <f>IFERROR(MID(VLOOKUP($B344,Seqs!$A:$B,2,0),I344,1),"")</f>
        <v>T</v>
      </c>
      <c r="I344" s="23">
        <v>620</v>
      </c>
      <c r="J344" s="3" t="str">
        <f>IFERROR(MID(VLOOKUP($B344,Seqs!$A:$B,2,0),K344,1),"")</f>
        <v>S</v>
      </c>
      <c r="K344" s="23">
        <v>626</v>
      </c>
      <c r="L344" s="3" t="str">
        <f>IFERROR(MID(VLOOKUP($B344,Seqs!$A:$B,2,0),M344,1),"")</f>
        <v>S</v>
      </c>
      <c r="M344" s="3">
        <v>627</v>
      </c>
      <c r="N344" s="3" t="str">
        <f>IFERROR(MID(VLOOKUP($B344,Seqs!$A:$B,2,0),O344,1),"")</f>
        <v>I</v>
      </c>
      <c r="O344" s="3">
        <v>649</v>
      </c>
      <c r="P344" s="3" t="str">
        <f>IFERROR(MID(VLOOKUP($B344,Seqs!$A:$B,2,0),Q344,1),"")</f>
        <v/>
      </c>
      <c r="Q344" s="3" t="s">
        <v>23</v>
      </c>
      <c r="R344" s="3" t="str">
        <f>IFERROR(MID(VLOOKUP($B344,Seqs!$A:$B,2,0),S344,1),"")</f>
        <v/>
      </c>
      <c r="S344" s="3" t="s">
        <v>23</v>
      </c>
      <c r="T344" s="3" t="str">
        <f>IFERROR(MID(VLOOKUP($B344,Seqs!$A:$B,2,0),U344,1),"")</f>
        <v>T</v>
      </c>
      <c r="U344" s="3">
        <v>654</v>
      </c>
      <c r="V344" s="3" t="str">
        <f>IFERROR(MID(VLOOKUP($B344,Seqs!$A:$B,2,0),W344,1),"")</f>
        <v>L</v>
      </c>
      <c r="W344" s="3">
        <v>686</v>
      </c>
      <c r="X344" s="3" t="str">
        <f>IFERROR(MID(VLOOKUP($B344,Seqs!$A:$B,2,0),Y344,1),"")</f>
        <v/>
      </c>
      <c r="Y344" s="3" t="s">
        <v>23</v>
      </c>
      <c r="Z344" s="3" t="str">
        <f>IFERROR(MID(VLOOKUP($B344,Seqs!$A:$B,2,0),AA344,1),"")</f>
        <v/>
      </c>
      <c r="AA344" s="3" t="s">
        <v>23</v>
      </c>
      <c r="AB344" s="3" t="str">
        <f>IFERROR(MID(VLOOKUP($B344,Seqs!$A:$B,2,0),AC344,1),"")</f>
        <v>S</v>
      </c>
      <c r="AC344" s="3">
        <v>702</v>
      </c>
      <c r="AD344" s="3" t="str">
        <f>IFERROR(MID(VLOOKUP($B344,Seqs!$A:$B,2,0),AE344,1),"")</f>
        <v>E</v>
      </c>
      <c r="AE344" s="3">
        <v>728</v>
      </c>
      <c r="AF344" s="3" t="str">
        <f>IFERROR(MID(VLOOKUP($B344,Seqs!$A:$B,2,0),AG344,1),"")</f>
        <v>C</v>
      </c>
      <c r="AG344" s="3">
        <v>746</v>
      </c>
      <c r="AH344" s="3" t="str">
        <f>IFERROR(MID(VLOOKUP($B344,Seqs!$A:$B,2,0),AI344,1),"")</f>
        <v>T</v>
      </c>
      <c r="AI344" s="3">
        <v>748</v>
      </c>
      <c r="AJ344" s="3" t="str">
        <f>IFERROR(MID(VLOOKUP($B344,Seqs!$A:$B,2,0),AK344,1),"")</f>
        <v>S</v>
      </c>
      <c r="AK344" s="3">
        <v>749</v>
      </c>
      <c r="AL344" s="3" t="str">
        <f>IFERROR(MID(VLOOKUP($B344,Seqs!$A:$B,2,0),AM344,1),"")</f>
        <v>T</v>
      </c>
      <c r="AM344" s="3">
        <v>774</v>
      </c>
      <c r="AN344" s="3" t="str">
        <f>IFERROR(MID(VLOOKUP($B344,Seqs!$A:$B,2,0),AO344,1),"")</f>
        <v>E</v>
      </c>
      <c r="AO344" s="3">
        <v>783</v>
      </c>
      <c r="AP344" s="3" t="str">
        <f>IFERROR(MID(VLOOKUP($B344,Seqs!$A:$B,2,0),AQ344,1),"")</f>
        <v>G</v>
      </c>
      <c r="AQ344" s="3">
        <v>807</v>
      </c>
      <c r="AR344" s="3" t="str">
        <f>IFERROR(MID(VLOOKUP($B344,Seqs!$A:$B,2,0),AS344,1),"")</f>
        <v>Y</v>
      </c>
      <c r="AS344" s="3">
        <v>810</v>
      </c>
      <c r="AT344" s="3" t="str">
        <f>IFERROR(MID(VLOOKUP($B344,Seqs!$A:$B,2,0),AU344,1),"")</f>
        <v>K</v>
      </c>
      <c r="AU344" s="3">
        <v>841</v>
      </c>
      <c r="AV344" s="3" t="str">
        <f>IFERROR(MID(VLOOKUP($B344,Seqs!$A:$B,2,0),AW344,1),"")</f>
        <v>P</v>
      </c>
      <c r="AW344" s="3">
        <v>842</v>
      </c>
      <c r="AX344" s="3" t="str">
        <f>IFERROR(MID(VLOOKUP($B344,Seqs!$A:$B,2,0),AY344,1),"")</f>
        <v>S</v>
      </c>
      <c r="AY344" s="3">
        <v>853</v>
      </c>
      <c r="AZ344" s="77" t="str">
        <f>VLOOKUP(B344,Classification!A:D,2,0)</f>
        <v>C</v>
      </c>
      <c r="BA344" s="94" t="str">
        <f>VLOOKUP(B344,Classification!A:D,4,0)</f>
        <v>Metabotropicglutamate</v>
      </c>
      <c r="BB344" s="27" t="b">
        <f t="shared" si="1899"/>
        <v>1</v>
      </c>
      <c r="BC344" s="23">
        <f t="shared" si="1872"/>
        <v>217</v>
      </c>
      <c r="BD344" s="56" t="s">
        <v>23</v>
      </c>
      <c r="BE344" s="3" t="s">
        <v>23</v>
      </c>
      <c r="BF344" s="119" t="s">
        <v>23</v>
      </c>
      <c r="BG344" s="49" t="s">
        <v>1373</v>
      </c>
      <c r="BH344" s="49" t="s">
        <v>1378</v>
      </c>
      <c r="BI344" s="3" t="s">
        <v>1164</v>
      </c>
      <c r="BJ344" s="70" t="s">
        <v>1288</v>
      </c>
      <c r="BK344" s="57" t="s">
        <v>1288</v>
      </c>
      <c r="BL344" s="57" t="s">
        <v>1288</v>
      </c>
      <c r="BM344" s="57" t="s">
        <v>1288</v>
      </c>
      <c r="BN344" s="57" t="s">
        <v>1288</v>
      </c>
      <c r="BO344" s="57" t="s">
        <v>1288</v>
      </c>
      <c r="BP344" s="57" t="s">
        <v>1288</v>
      </c>
      <c r="BQ344" s="57" t="s">
        <v>1288</v>
      </c>
      <c r="BR344" s="57" t="s">
        <v>1288</v>
      </c>
      <c r="BS344" s="57" t="s">
        <v>1288</v>
      </c>
      <c r="BT344" s="57" t="s">
        <v>1288</v>
      </c>
      <c r="BU344" s="57" t="s">
        <v>1288</v>
      </c>
      <c r="BV344" s="70">
        <f t="shared" si="1873"/>
        <v>591</v>
      </c>
      <c r="BW344" s="71">
        <f t="shared" si="1874"/>
        <v>620</v>
      </c>
      <c r="BX344" s="72">
        <f t="shared" si="1875"/>
        <v>627</v>
      </c>
      <c r="BY344" s="71" t="str">
        <f t="shared" si="1876"/>
        <v>-</v>
      </c>
      <c r="BZ344" s="72">
        <f t="shared" si="1877"/>
        <v>654</v>
      </c>
      <c r="CA344" s="71" t="str">
        <f t="shared" si="1878"/>
        <v>-</v>
      </c>
      <c r="CB344" s="72">
        <f t="shared" si="1879"/>
        <v>702</v>
      </c>
      <c r="CC344" s="71">
        <f t="shared" si="1880"/>
        <v>746</v>
      </c>
      <c r="CD344" s="72">
        <f t="shared" si="1881"/>
        <v>749</v>
      </c>
      <c r="CE344" s="71">
        <f t="shared" si="1882"/>
        <v>783</v>
      </c>
      <c r="CF344" s="72">
        <f t="shared" si="1883"/>
        <v>810</v>
      </c>
      <c r="CG344" s="71">
        <f t="shared" si="1884"/>
        <v>842</v>
      </c>
      <c r="CH344" s="70">
        <f t="shared" si="1885"/>
        <v>617</v>
      </c>
      <c r="CI344" s="71">
        <f t="shared" si="1886"/>
        <v>626</v>
      </c>
      <c r="CJ344" s="72">
        <f t="shared" si="1887"/>
        <v>649</v>
      </c>
      <c r="CK344" s="72" t="str">
        <f t="shared" si="1888"/>
        <v>-</v>
      </c>
      <c r="CL344" s="72">
        <f t="shared" si="1889"/>
        <v>686</v>
      </c>
      <c r="CM344" s="72" t="str">
        <f t="shared" si="1890"/>
        <v>-</v>
      </c>
      <c r="CN344" s="72">
        <f t="shared" si="1891"/>
        <v>728</v>
      </c>
      <c r="CO344" s="72">
        <f t="shared" si="1892"/>
        <v>748</v>
      </c>
      <c r="CP344" s="72">
        <f t="shared" si="1893"/>
        <v>774</v>
      </c>
      <c r="CQ344" s="72">
        <f t="shared" si="1894"/>
        <v>807</v>
      </c>
      <c r="CR344" s="72">
        <f t="shared" si="1895"/>
        <v>841</v>
      </c>
      <c r="CS344" s="72">
        <f t="shared" si="1896"/>
        <v>853</v>
      </c>
      <c r="CT344" s="23">
        <f t="shared" si="1897"/>
        <v>1</v>
      </c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  <c r="AMK344" s="1"/>
      <c r="AML344" s="1"/>
      <c r="AMM344" s="1"/>
      <c r="AMN344" s="1"/>
      <c r="AMO344" s="1"/>
    </row>
    <row r="345" spans="1:1030" x14ac:dyDescent="0.2">
      <c r="A345" s="3" t="str">
        <f t="shared" si="1898"/>
        <v>grm1_human_4OR2</v>
      </c>
      <c r="B345" s="3" t="s">
        <v>40</v>
      </c>
      <c r="C345" s="3" t="s">
        <v>96</v>
      </c>
      <c r="D345" s="3" t="str">
        <f>IFERROR(MID(VLOOKUP($B345,Seqs!$A:$B,2,0),E345,1),"")</f>
        <v>I</v>
      </c>
      <c r="E345" s="3">
        <v>591</v>
      </c>
      <c r="F345" s="3" t="str">
        <f>IFERROR(MID(VLOOKUP($B345,Seqs!$A:$B,2,0),G345,1),"")</f>
        <v>Y</v>
      </c>
      <c r="G345" s="3">
        <v>617</v>
      </c>
      <c r="H345" s="3" t="str">
        <f>IFERROR(MID(VLOOKUP($B345,Seqs!$A:$B,2,0),I345,1),"")</f>
        <v>T</v>
      </c>
      <c r="I345" s="23">
        <v>620</v>
      </c>
      <c r="J345" s="3" t="str">
        <f>IFERROR(MID(VLOOKUP($B345,Seqs!$A:$B,2,0),K345,1),"")</f>
        <v>S</v>
      </c>
      <c r="K345" s="23">
        <v>626</v>
      </c>
      <c r="L345" s="3" t="str">
        <f>IFERROR(MID(VLOOKUP($B345,Seqs!$A:$B,2,0),M345,1),"")</f>
        <v>S</v>
      </c>
      <c r="M345" s="3">
        <v>627</v>
      </c>
      <c r="N345" s="3" t="str">
        <f>IFERROR(MID(VLOOKUP($B345,Seqs!$A:$B,2,0),O345,1),"")</f>
        <v>I</v>
      </c>
      <c r="O345" s="3">
        <v>649</v>
      </c>
      <c r="P345" s="3" t="str">
        <f>IFERROR(MID(VLOOKUP($B345,Seqs!$A:$B,2,0),Q345,1),"")</f>
        <v/>
      </c>
      <c r="Q345" s="3" t="s">
        <v>23</v>
      </c>
      <c r="R345" s="3" t="str">
        <f>IFERROR(MID(VLOOKUP($B345,Seqs!$A:$B,2,0),S345,1),"")</f>
        <v/>
      </c>
      <c r="S345" s="3" t="s">
        <v>23</v>
      </c>
      <c r="T345" s="3" t="str">
        <f>IFERROR(MID(VLOOKUP($B345,Seqs!$A:$B,2,0),U345,1),"")</f>
        <v>T</v>
      </c>
      <c r="U345" s="3">
        <v>654</v>
      </c>
      <c r="V345" s="3" t="str">
        <f>IFERROR(MID(VLOOKUP($B345,Seqs!$A:$B,2,0),W345,1),"")</f>
        <v>L</v>
      </c>
      <c r="W345" s="3">
        <v>686</v>
      </c>
      <c r="X345" s="3" t="str">
        <f>IFERROR(MID(VLOOKUP($B345,Seqs!$A:$B,2,0),Y345,1),"")</f>
        <v/>
      </c>
      <c r="Y345" s="3" t="s">
        <v>23</v>
      </c>
      <c r="Z345" s="3" t="str">
        <f>IFERROR(MID(VLOOKUP($B345,Seqs!$A:$B,2,0),AA345,1),"")</f>
        <v/>
      </c>
      <c r="AA345" s="3" t="s">
        <v>23</v>
      </c>
      <c r="AB345" s="3" t="str">
        <f>IFERROR(MID(VLOOKUP($B345,Seqs!$A:$B,2,0),AC345,1),"")</f>
        <v>S</v>
      </c>
      <c r="AC345" s="9">
        <v>702</v>
      </c>
      <c r="AD345" s="3" t="str">
        <f>IFERROR(MID(VLOOKUP($B345,Seqs!$A:$B,2,0),AE345,1),"")</f>
        <v>E</v>
      </c>
      <c r="AE345" s="3">
        <v>728</v>
      </c>
      <c r="AF345" s="3" t="str">
        <f>IFERROR(MID(VLOOKUP($B345,Seqs!$A:$B,2,0),AG345,1),"")</f>
        <v>C</v>
      </c>
      <c r="AG345" s="3">
        <v>746</v>
      </c>
      <c r="AH345" s="3" t="str">
        <f>IFERROR(MID(VLOOKUP($B345,Seqs!$A:$B,2,0),AI345,1),"")</f>
        <v>T</v>
      </c>
      <c r="AI345" s="3">
        <v>748</v>
      </c>
      <c r="AJ345" s="3" t="str">
        <f>IFERROR(MID(VLOOKUP($B345,Seqs!$A:$B,2,0),AK345,1),"")</f>
        <v>S</v>
      </c>
      <c r="AK345" s="105">
        <v>749</v>
      </c>
      <c r="AL345" s="3" t="str">
        <f>IFERROR(MID(VLOOKUP($B345,Seqs!$A:$B,2,0),AM345,1),"")</f>
        <v>T</v>
      </c>
      <c r="AM345" s="3">
        <v>774</v>
      </c>
      <c r="AN345" s="3" t="str">
        <f>IFERROR(MID(VLOOKUP($B345,Seqs!$A:$B,2,0),AO345,1),"")</f>
        <v>E</v>
      </c>
      <c r="AO345" s="3">
        <v>783</v>
      </c>
      <c r="AP345" s="3" t="str">
        <f>IFERROR(MID(VLOOKUP($B345,Seqs!$A:$B,2,0),AQ345,1),"")</f>
        <v>G</v>
      </c>
      <c r="AQ345" s="3">
        <v>807</v>
      </c>
      <c r="AR345" s="3" t="str">
        <f>IFERROR(MID(VLOOKUP($B345,Seqs!$A:$B,2,0),AS345,1),"")</f>
        <v>Y</v>
      </c>
      <c r="AS345" s="105">
        <v>810</v>
      </c>
      <c r="AT345" s="3" t="str">
        <f>IFERROR(MID(VLOOKUP($B345,Seqs!$A:$B,2,0),AU345,1),"")</f>
        <v>K</v>
      </c>
      <c r="AU345" s="3">
        <v>841</v>
      </c>
      <c r="AV345" s="3" t="str">
        <f>IFERROR(MID(VLOOKUP($B345,Seqs!$A:$B,2,0),AW345,1),"")</f>
        <v/>
      </c>
      <c r="AW345" s="3" t="s">
        <v>23</v>
      </c>
      <c r="AX345" s="3" t="str">
        <f>IFERROR(MID(VLOOKUP($B345,Seqs!$A:$B,2,0),AY345,1),"")</f>
        <v/>
      </c>
      <c r="AY345" s="3" t="s">
        <v>23</v>
      </c>
      <c r="AZ345" s="77" t="str">
        <f>VLOOKUP(B345,Classification!A:D,2,0)</f>
        <v>C</v>
      </c>
      <c r="BA345" s="94" t="str">
        <f>VLOOKUP(B345,Classification!A:D,4,0)</f>
        <v>Metabotropicglutamate</v>
      </c>
      <c r="BB345" s="27" t="b">
        <f t="shared" si="1899"/>
        <v>1</v>
      </c>
      <c r="BC345" s="23">
        <f t="shared" si="1872"/>
        <v>206</v>
      </c>
      <c r="BD345" s="2" t="s">
        <v>1377</v>
      </c>
      <c r="BE345" s="3" t="s">
        <v>1375</v>
      </c>
      <c r="BF345" s="119">
        <v>2.8</v>
      </c>
      <c r="BG345" s="49" t="s">
        <v>1378</v>
      </c>
      <c r="BH345" s="49" t="s">
        <v>1378</v>
      </c>
      <c r="BJ345" s="70" t="s">
        <v>1288</v>
      </c>
      <c r="BK345" s="57" t="s">
        <v>1288</v>
      </c>
      <c r="BL345" s="57" t="s">
        <v>1288</v>
      </c>
      <c r="BM345" s="57" t="s">
        <v>1288</v>
      </c>
      <c r="BN345" s="57" t="s">
        <v>1288</v>
      </c>
      <c r="BO345" s="57" t="s">
        <v>1288</v>
      </c>
      <c r="BP345" s="57" t="s">
        <v>1288</v>
      </c>
      <c r="BQ345" s="57" t="s">
        <v>1288</v>
      </c>
      <c r="BR345" s="57" t="s">
        <v>1288</v>
      </c>
      <c r="BS345" s="57" t="s">
        <v>1288</v>
      </c>
      <c r="BT345" s="57" t="s">
        <v>1288</v>
      </c>
      <c r="BU345" s="57" t="s">
        <v>1288</v>
      </c>
      <c r="BV345" s="70">
        <f t="shared" si="1873"/>
        <v>591</v>
      </c>
      <c r="BW345" s="71">
        <f t="shared" si="1874"/>
        <v>620</v>
      </c>
      <c r="BX345" s="72">
        <f t="shared" si="1875"/>
        <v>627</v>
      </c>
      <c r="BY345" s="71" t="str">
        <f t="shared" si="1876"/>
        <v>-</v>
      </c>
      <c r="BZ345" s="72">
        <f t="shared" si="1877"/>
        <v>654</v>
      </c>
      <c r="CA345" s="71" t="str">
        <f t="shared" si="1878"/>
        <v>-</v>
      </c>
      <c r="CB345" s="72">
        <f t="shared" si="1879"/>
        <v>702</v>
      </c>
      <c r="CC345" s="71">
        <f t="shared" si="1880"/>
        <v>746</v>
      </c>
      <c r="CD345" s="72">
        <f t="shared" si="1881"/>
        <v>749</v>
      </c>
      <c r="CE345" s="71">
        <f t="shared" si="1882"/>
        <v>783</v>
      </c>
      <c r="CF345" s="72">
        <f t="shared" si="1883"/>
        <v>810</v>
      </c>
      <c r="CG345" s="71" t="str">
        <f t="shared" si="1884"/>
        <v>-</v>
      </c>
      <c r="CH345" s="70">
        <f t="shared" si="1885"/>
        <v>617</v>
      </c>
      <c r="CI345" s="71">
        <f t="shared" si="1886"/>
        <v>626</v>
      </c>
      <c r="CJ345" s="72">
        <f t="shared" si="1887"/>
        <v>649</v>
      </c>
      <c r="CK345" s="72" t="str">
        <f t="shared" si="1888"/>
        <v>-</v>
      </c>
      <c r="CL345" s="72">
        <f t="shared" si="1889"/>
        <v>686</v>
      </c>
      <c r="CM345" s="72" t="str">
        <f t="shared" si="1890"/>
        <v>-</v>
      </c>
      <c r="CN345" s="72">
        <f t="shared" si="1891"/>
        <v>728</v>
      </c>
      <c r="CO345" s="72">
        <f t="shared" si="1892"/>
        <v>748</v>
      </c>
      <c r="CP345" s="72">
        <f t="shared" si="1893"/>
        <v>774</v>
      </c>
      <c r="CQ345" s="72">
        <f t="shared" si="1894"/>
        <v>807</v>
      </c>
      <c r="CR345" s="72">
        <f t="shared" si="1895"/>
        <v>841</v>
      </c>
      <c r="CS345" s="72" t="str">
        <f t="shared" si="1896"/>
        <v>-</v>
      </c>
      <c r="CT345" s="23">
        <f t="shared" si="1897"/>
        <v>1</v>
      </c>
    </row>
    <row r="346" spans="1:1030" x14ac:dyDescent="0.2">
      <c r="A346" s="3" t="str">
        <f t="shared" si="1898"/>
        <v>grm5_human__wt</v>
      </c>
      <c r="B346" s="3" t="s">
        <v>41</v>
      </c>
      <c r="C346" s="3" t="s">
        <v>100</v>
      </c>
      <c r="D346" s="3" t="str">
        <f>IFERROR(MID(VLOOKUP($B346,Seqs!$A:$B,2,0),E346,1),"")</f>
        <v>P</v>
      </c>
      <c r="E346" s="3">
        <v>578</v>
      </c>
      <c r="F346" s="3" t="str">
        <f>IFERROR(MID(VLOOKUP($B346,Seqs!$A:$B,2,0),G346,1),"")</f>
        <v>Y</v>
      </c>
      <c r="G346" s="3">
        <v>604</v>
      </c>
      <c r="H346" s="3" t="str">
        <f>IFERROR(MID(VLOOKUP($B346,Seqs!$A:$B,2,0),I346,1),"")</f>
        <v>T</v>
      </c>
      <c r="I346" s="23">
        <v>607</v>
      </c>
      <c r="J346" s="3" t="str">
        <f>IFERROR(MID(VLOOKUP($B346,Seqs!$A:$B,2,0),K346,1),"")</f>
        <v>S</v>
      </c>
      <c r="K346" s="23">
        <v>613</v>
      </c>
      <c r="L346" s="3" t="str">
        <f>IFERROR(MID(VLOOKUP($B346,Seqs!$A:$B,2,0),M346,1),"")</f>
        <v>S</v>
      </c>
      <c r="M346" s="3">
        <v>614</v>
      </c>
      <c r="N346" s="3" t="str">
        <f>IFERROR(MID(VLOOKUP($B346,Seqs!$A:$B,2,0),O346,1),"")</f>
        <v>I</v>
      </c>
      <c r="O346" s="3">
        <v>636</v>
      </c>
      <c r="P346" s="3" t="str">
        <f>IFERROR(MID(VLOOKUP($B346,Seqs!$A:$B,2,0),Q346,1),"")</f>
        <v/>
      </c>
      <c r="Q346" s="3" t="s">
        <v>23</v>
      </c>
      <c r="R346" s="3" t="str">
        <f>IFERROR(MID(VLOOKUP($B346,Seqs!$A:$B,2,0),S346,1),"")</f>
        <v/>
      </c>
      <c r="S346" s="3" t="s">
        <v>23</v>
      </c>
      <c r="T346" s="3" t="str">
        <f>IFERROR(MID(VLOOKUP($B346,Seqs!$A:$B,2,0),U346,1),"")</f>
        <v>K</v>
      </c>
      <c r="U346" s="105">
        <v>640</v>
      </c>
      <c r="V346" s="3" t="str">
        <f>IFERROR(MID(VLOOKUP($B346,Seqs!$A:$B,2,0),W346,1),"")</f>
        <v>L</v>
      </c>
      <c r="W346" s="3">
        <v>673</v>
      </c>
      <c r="X346" s="3" t="str">
        <f>IFERROR(MID(VLOOKUP($B346,Seqs!$A:$B,2,0),Y346,1),"")</f>
        <v/>
      </c>
      <c r="Y346" s="3" t="s">
        <v>23</v>
      </c>
      <c r="Z346" s="3" t="str">
        <f>IFERROR(MID(VLOOKUP($B346,Seqs!$A:$B,2,0),AA346,1),"")</f>
        <v/>
      </c>
      <c r="AA346" s="3" t="s">
        <v>23</v>
      </c>
      <c r="AB346" s="3" t="str">
        <f>IFERROR(MID(VLOOKUP($B346,Seqs!$A:$B,2,0),AC346,1),"")</f>
        <v>S</v>
      </c>
      <c r="AC346" s="9">
        <v>689</v>
      </c>
      <c r="AD346" s="3" t="str">
        <f>IFERROR(MID(VLOOKUP($B346,Seqs!$A:$B,2,0),AE346,1),"")</f>
        <v>E</v>
      </c>
      <c r="AE346" s="3">
        <v>715</v>
      </c>
      <c r="AF346" s="3" t="str">
        <f>IFERROR(MID(VLOOKUP($B346,Seqs!$A:$B,2,0),AG346,1),"")</f>
        <v>C</v>
      </c>
      <c r="AG346" s="3">
        <v>733</v>
      </c>
      <c r="AH346" s="3" t="str">
        <f>IFERROR(MID(VLOOKUP($B346,Seqs!$A:$B,2,0),AI346,1),"")</f>
        <v>T</v>
      </c>
      <c r="AI346" s="3">
        <v>735</v>
      </c>
      <c r="AJ346" s="3" t="str">
        <f>IFERROR(MID(VLOOKUP($B346,Seqs!$A:$B,2,0),AK346,1),"")</f>
        <v>T</v>
      </c>
      <c r="AK346" s="105">
        <v>736</v>
      </c>
      <c r="AL346" s="3" t="str">
        <f>IFERROR(MID(VLOOKUP($B346,Seqs!$A:$B,2,0),AM346,1),"")</f>
        <v>T</v>
      </c>
      <c r="AM346" s="3">
        <v>761</v>
      </c>
      <c r="AN346" s="3" t="str">
        <f>IFERROR(MID(VLOOKUP($B346,Seqs!$A:$B,2,0),AO346,1),"")</f>
        <v>E</v>
      </c>
      <c r="AO346" s="3">
        <v>770</v>
      </c>
      <c r="AP346" s="3" t="str">
        <f>IFERROR(MID(VLOOKUP($B346,Seqs!$A:$B,2,0),AQ346,1),"")</f>
        <v>G</v>
      </c>
      <c r="AQ346" s="3">
        <v>794</v>
      </c>
      <c r="AR346" s="3" t="str">
        <f>IFERROR(MID(VLOOKUP($B346,Seqs!$A:$B,2,0),AS346,1),"")</f>
        <v>Y</v>
      </c>
      <c r="AS346" s="105">
        <v>797</v>
      </c>
      <c r="AT346" s="3" t="str">
        <f>IFERROR(MID(VLOOKUP($B346,Seqs!$A:$B,2,0),AU346,1),"")</f>
        <v>K</v>
      </c>
      <c r="AU346" s="3">
        <v>828</v>
      </c>
      <c r="AV346" s="3" t="str">
        <f>IFERROR(MID(VLOOKUP($B346,Seqs!$A:$B,2,0),AW346,1),"")</f>
        <v>P</v>
      </c>
      <c r="AW346" s="3">
        <v>829</v>
      </c>
      <c r="AX346" s="3" t="str">
        <f>IFERROR(MID(VLOOKUP($B346,Seqs!$A:$B,2,0),AY346,1),"")</f>
        <v>S</v>
      </c>
      <c r="AY346" s="3">
        <v>840</v>
      </c>
      <c r="AZ346" s="77" t="str">
        <f>VLOOKUP(B346,Classification!A:D,2,0)</f>
        <v>C</v>
      </c>
      <c r="BA346" s="94" t="str">
        <f>VLOOKUP(B346,Classification!A:D,4,0)</f>
        <v>Metabotropicglutamate</v>
      </c>
      <c r="BB346" s="27" t="b">
        <f t="shared" si="1899"/>
        <v>1</v>
      </c>
      <c r="BC346" s="23">
        <f t="shared" si="1872"/>
        <v>218</v>
      </c>
      <c r="BD346" s="56" t="s">
        <v>23</v>
      </c>
      <c r="BE346" s="3" t="s">
        <v>23</v>
      </c>
      <c r="BF346" s="119" t="s">
        <v>23</v>
      </c>
      <c r="BG346" s="49" t="s">
        <v>1373</v>
      </c>
      <c r="BH346" s="49" t="s">
        <v>1378</v>
      </c>
      <c r="BJ346" s="70" t="s">
        <v>1288</v>
      </c>
      <c r="BK346" s="57" t="s">
        <v>1288</v>
      </c>
      <c r="BL346" s="57" t="s">
        <v>1288</v>
      </c>
      <c r="BM346" s="57" t="s">
        <v>1288</v>
      </c>
      <c r="BN346" s="57" t="s">
        <v>1288</v>
      </c>
      <c r="BO346" s="57" t="s">
        <v>1288</v>
      </c>
      <c r="BP346" s="57" t="s">
        <v>1288</v>
      </c>
      <c r="BQ346" s="57" t="s">
        <v>1288</v>
      </c>
      <c r="BR346" s="57" t="s">
        <v>1288</v>
      </c>
      <c r="BS346" s="57" t="s">
        <v>1288</v>
      </c>
      <c r="BT346" s="57" t="s">
        <v>1288</v>
      </c>
      <c r="BU346" s="57" t="s">
        <v>1288</v>
      </c>
      <c r="BV346" s="70">
        <f t="shared" si="1873"/>
        <v>578</v>
      </c>
      <c r="BW346" s="71">
        <f t="shared" si="1874"/>
        <v>607</v>
      </c>
      <c r="BX346" s="72">
        <f t="shared" si="1875"/>
        <v>614</v>
      </c>
      <c r="BY346" s="71" t="str">
        <f t="shared" si="1876"/>
        <v>-</v>
      </c>
      <c r="BZ346" s="72">
        <f t="shared" si="1877"/>
        <v>640</v>
      </c>
      <c r="CA346" s="71" t="str">
        <f t="shared" si="1878"/>
        <v>-</v>
      </c>
      <c r="CB346" s="72">
        <f t="shared" si="1879"/>
        <v>689</v>
      </c>
      <c r="CC346" s="71">
        <f t="shared" si="1880"/>
        <v>733</v>
      </c>
      <c r="CD346" s="72">
        <f t="shared" si="1881"/>
        <v>736</v>
      </c>
      <c r="CE346" s="71">
        <f t="shared" si="1882"/>
        <v>770</v>
      </c>
      <c r="CF346" s="72">
        <f t="shared" si="1883"/>
        <v>797</v>
      </c>
      <c r="CG346" s="71">
        <f t="shared" si="1884"/>
        <v>829</v>
      </c>
      <c r="CH346" s="70">
        <f t="shared" si="1885"/>
        <v>604</v>
      </c>
      <c r="CI346" s="71">
        <f t="shared" si="1886"/>
        <v>613</v>
      </c>
      <c r="CJ346" s="72">
        <f t="shared" si="1887"/>
        <v>636</v>
      </c>
      <c r="CK346" s="72" t="str">
        <f t="shared" si="1888"/>
        <v>-</v>
      </c>
      <c r="CL346" s="72">
        <f t="shared" si="1889"/>
        <v>673</v>
      </c>
      <c r="CM346" s="72" t="str">
        <f t="shared" si="1890"/>
        <v>-</v>
      </c>
      <c r="CN346" s="72">
        <f t="shared" si="1891"/>
        <v>715</v>
      </c>
      <c r="CO346" s="72">
        <f t="shared" si="1892"/>
        <v>735</v>
      </c>
      <c r="CP346" s="72">
        <f t="shared" si="1893"/>
        <v>761</v>
      </c>
      <c r="CQ346" s="72">
        <f t="shared" si="1894"/>
        <v>794</v>
      </c>
      <c r="CR346" s="72">
        <f t="shared" si="1895"/>
        <v>828</v>
      </c>
      <c r="CS346" s="72">
        <f t="shared" si="1896"/>
        <v>840</v>
      </c>
      <c r="CT346" s="23">
        <f t="shared" si="1897"/>
        <v>1</v>
      </c>
    </row>
    <row r="347" spans="1:1030" x14ac:dyDescent="0.2">
      <c r="A347" s="3" t="str">
        <f t="shared" si="1898"/>
        <v>grm5_human_4OO9</v>
      </c>
      <c r="B347" s="3" t="s">
        <v>41</v>
      </c>
      <c r="C347" s="3" t="s">
        <v>57</v>
      </c>
      <c r="D347" s="3" t="str">
        <f>IFERROR(MID(VLOOKUP($B347,Seqs!$A:$B,2,0),E347,1),"")</f>
        <v>P</v>
      </c>
      <c r="E347" s="3">
        <v>578</v>
      </c>
      <c r="F347" s="3" t="str">
        <f>IFERROR(MID(VLOOKUP($B347,Seqs!$A:$B,2,0),G347,1),"")</f>
        <v>Y</v>
      </c>
      <c r="G347" s="3">
        <v>604</v>
      </c>
      <c r="H347" s="3" t="str">
        <f>IFERROR(MID(VLOOKUP($B347,Seqs!$A:$B,2,0),I347,1),"")</f>
        <v>T</v>
      </c>
      <c r="I347" s="23">
        <v>607</v>
      </c>
      <c r="J347" s="3" t="str">
        <f>IFERROR(MID(VLOOKUP($B347,Seqs!$A:$B,2,0),K347,1),"")</f>
        <v>S</v>
      </c>
      <c r="K347" s="23">
        <v>613</v>
      </c>
      <c r="L347" s="3" t="str">
        <f>IFERROR(MID(VLOOKUP($B347,Seqs!$A:$B,2,0),M347,1),"")</f>
        <v>S</v>
      </c>
      <c r="M347" s="3">
        <v>614</v>
      </c>
      <c r="N347" s="3" t="str">
        <f>IFERROR(MID(VLOOKUP($B347,Seqs!$A:$B,2,0),O347,1),"")</f>
        <v>I</v>
      </c>
      <c r="O347" s="3">
        <v>636</v>
      </c>
      <c r="P347" s="3" t="str">
        <f>IFERROR(MID(VLOOKUP($B347,Seqs!$A:$B,2,0),Q347,1),"")</f>
        <v/>
      </c>
      <c r="Q347" s="3" t="s">
        <v>23</v>
      </c>
      <c r="R347" s="3" t="str">
        <f>IFERROR(MID(VLOOKUP($B347,Seqs!$A:$B,2,0),S347,1),"")</f>
        <v/>
      </c>
      <c r="S347" s="3" t="s">
        <v>23</v>
      </c>
      <c r="T347" s="3" t="str">
        <f>IFERROR(MID(VLOOKUP($B347,Seqs!$A:$B,2,0),U347,1),"")</f>
        <v>Q</v>
      </c>
      <c r="U347" s="3">
        <v>641</v>
      </c>
      <c r="V347" s="3" t="str">
        <f>IFERROR(MID(VLOOKUP($B347,Seqs!$A:$B,2,0),W347,1),"")</f>
        <v>K</v>
      </c>
      <c r="W347" s="3">
        <v>678</v>
      </c>
      <c r="X347" s="3" t="str">
        <f>IFERROR(MID(VLOOKUP($B347,Seqs!$A:$B,2,0),Y347,1),"")</f>
        <v/>
      </c>
      <c r="Y347" s="3" t="s">
        <v>23</v>
      </c>
      <c r="Z347" s="3" t="str">
        <f>IFERROR(MID(VLOOKUP($B347,Seqs!$A:$B,2,0),AA347,1),"")</f>
        <v/>
      </c>
      <c r="AA347" s="3" t="s">
        <v>23</v>
      </c>
      <c r="AB347" s="3" t="str">
        <f>IFERROR(MID(VLOOKUP($B347,Seqs!$A:$B,2,0),AC347,1),"")</f>
        <v>S</v>
      </c>
      <c r="AC347" s="9">
        <v>689</v>
      </c>
      <c r="AD347" s="3" t="str">
        <f>IFERROR(MID(VLOOKUP($B347,Seqs!$A:$B,2,0),AE347,1),"")</f>
        <v>E</v>
      </c>
      <c r="AE347" s="3">
        <v>715</v>
      </c>
      <c r="AF347" s="3" t="str">
        <f>IFERROR(MID(VLOOKUP($B347,Seqs!$A:$B,2,0),AG347,1),"")</f>
        <v>C</v>
      </c>
      <c r="AG347" s="3">
        <v>733</v>
      </c>
      <c r="AH347" s="3" t="str">
        <f>IFERROR(MID(VLOOKUP($B347,Seqs!$A:$B,2,0),AI347,1),"")</f>
        <v>T</v>
      </c>
      <c r="AI347" s="3">
        <v>735</v>
      </c>
      <c r="AJ347" s="3" t="str">
        <f>IFERROR(MID(VLOOKUP($B347,Seqs!$A:$B,2,0),AK347,1),"")</f>
        <v>N</v>
      </c>
      <c r="AK347" s="3">
        <v>737</v>
      </c>
      <c r="AL347" s="3" t="str">
        <f>IFERROR(MID(VLOOKUP($B347,Seqs!$A:$B,2,0),AM347,1),"")</f>
        <v>T</v>
      </c>
      <c r="AM347" s="3">
        <v>761</v>
      </c>
      <c r="AN347" s="3" t="str">
        <f>IFERROR(MID(VLOOKUP($B347,Seqs!$A:$B,2,0),AO347,1),"")</f>
        <v>E</v>
      </c>
      <c r="AO347" s="3">
        <v>770</v>
      </c>
      <c r="AP347" s="3" t="str">
        <f>IFERROR(MID(VLOOKUP($B347,Seqs!$A:$B,2,0),AQ347,1),"")</f>
        <v>G</v>
      </c>
      <c r="AQ347" s="3">
        <v>794</v>
      </c>
      <c r="AR347" s="3" t="str">
        <f>IFERROR(MID(VLOOKUP($B347,Seqs!$A:$B,2,0),AS347,1),"")</f>
        <v>Y</v>
      </c>
      <c r="AS347" s="105">
        <v>797</v>
      </c>
      <c r="AT347" s="3" t="str">
        <f>IFERROR(MID(VLOOKUP($B347,Seqs!$A:$B,2,0),AU347,1),"")</f>
        <v>K</v>
      </c>
      <c r="AU347" s="3">
        <v>828</v>
      </c>
      <c r="AV347" s="3" t="str">
        <f>IFERROR(MID(VLOOKUP($B347,Seqs!$A:$B,2,0),AW347,1),"")</f>
        <v>P</v>
      </c>
      <c r="AW347" s="3">
        <v>829</v>
      </c>
      <c r="AX347" s="3" t="str">
        <f>IFERROR(MID(VLOOKUP($B347,Seqs!$A:$B,2,0),AY347,1),"")</f>
        <v>N</v>
      </c>
      <c r="AY347" s="3">
        <v>832</v>
      </c>
      <c r="AZ347" s="77" t="str">
        <f>VLOOKUP(B347,Classification!A:D,2,0)</f>
        <v>C</v>
      </c>
      <c r="BA347" s="94" t="str">
        <f>VLOOKUP(B347,Classification!A:D,4,0)</f>
        <v>Metabotropicglutamate</v>
      </c>
      <c r="BB347" s="27" t="b">
        <f t="shared" si="1899"/>
        <v>1</v>
      </c>
      <c r="BC347" s="23">
        <f t="shared" si="1872"/>
        <v>213</v>
      </c>
      <c r="BD347" s="106" t="s">
        <v>1377</v>
      </c>
      <c r="BE347" s="3" t="s">
        <v>1375</v>
      </c>
      <c r="BF347" s="119">
        <v>2.6</v>
      </c>
      <c r="BG347" s="49" t="s">
        <v>1378</v>
      </c>
      <c r="BH347" s="49" t="s">
        <v>1378</v>
      </c>
      <c r="BJ347" s="70" t="s">
        <v>1288</v>
      </c>
      <c r="BK347" s="57" t="s">
        <v>1288</v>
      </c>
      <c r="BL347" s="57" t="s">
        <v>1288</v>
      </c>
      <c r="BM347" s="57" t="s">
        <v>1288</v>
      </c>
      <c r="BN347" s="57" t="s">
        <v>1288</v>
      </c>
      <c r="BO347" s="57" t="s">
        <v>1288</v>
      </c>
      <c r="BP347" s="57" t="s">
        <v>1288</v>
      </c>
      <c r="BQ347" s="57" t="s">
        <v>1288</v>
      </c>
      <c r="BR347" s="57" t="s">
        <v>1288</v>
      </c>
      <c r="BS347" s="57" t="s">
        <v>1288</v>
      </c>
      <c r="BT347" s="57" t="s">
        <v>1288</v>
      </c>
      <c r="BU347" s="57" t="s">
        <v>1288</v>
      </c>
      <c r="BV347" s="70">
        <f t="shared" si="1873"/>
        <v>578</v>
      </c>
      <c r="BW347" s="71">
        <f t="shared" si="1874"/>
        <v>607</v>
      </c>
      <c r="BX347" s="72">
        <f t="shared" si="1875"/>
        <v>614</v>
      </c>
      <c r="BY347" s="71" t="str">
        <f t="shared" si="1876"/>
        <v>-</v>
      </c>
      <c r="BZ347" s="72">
        <f t="shared" si="1877"/>
        <v>641</v>
      </c>
      <c r="CA347" s="71" t="str">
        <f t="shared" si="1878"/>
        <v>-</v>
      </c>
      <c r="CB347" s="72">
        <f t="shared" si="1879"/>
        <v>689</v>
      </c>
      <c r="CC347" s="71">
        <f t="shared" si="1880"/>
        <v>733</v>
      </c>
      <c r="CD347" s="72">
        <f t="shared" si="1881"/>
        <v>737</v>
      </c>
      <c r="CE347" s="71">
        <f t="shared" si="1882"/>
        <v>770</v>
      </c>
      <c r="CF347" s="72">
        <f t="shared" si="1883"/>
        <v>797</v>
      </c>
      <c r="CG347" s="71">
        <f t="shared" si="1884"/>
        <v>829</v>
      </c>
      <c r="CH347" s="70">
        <f t="shared" si="1885"/>
        <v>604</v>
      </c>
      <c r="CI347" s="71">
        <f t="shared" si="1886"/>
        <v>613</v>
      </c>
      <c r="CJ347" s="72">
        <f t="shared" si="1887"/>
        <v>636</v>
      </c>
      <c r="CK347" s="72" t="str">
        <f t="shared" si="1888"/>
        <v>-</v>
      </c>
      <c r="CL347" s="72">
        <f t="shared" si="1889"/>
        <v>678</v>
      </c>
      <c r="CM347" s="72" t="str">
        <f t="shared" si="1890"/>
        <v>-</v>
      </c>
      <c r="CN347" s="72">
        <f t="shared" si="1891"/>
        <v>715</v>
      </c>
      <c r="CO347" s="72">
        <f t="shared" si="1892"/>
        <v>735</v>
      </c>
      <c r="CP347" s="72">
        <f t="shared" si="1893"/>
        <v>761</v>
      </c>
      <c r="CQ347" s="72">
        <f t="shared" si="1894"/>
        <v>794</v>
      </c>
      <c r="CR347" s="72">
        <f t="shared" si="1895"/>
        <v>828</v>
      </c>
      <c r="CS347" s="72">
        <f t="shared" si="1896"/>
        <v>832</v>
      </c>
      <c r="CT347" s="23">
        <f t="shared" si="1897"/>
        <v>1</v>
      </c>
    </row>
    <row r="348" spans="1:1030" x14ac:dyDescent="0.2">
      <c r="A348" s="3" t="str">
        <f t="shared" si="1898"/>
        <v>grm5_human_5CGC</v>
      </c>
      <c r="B348" s="3" t="s">
        <v>41</v>
      </c>
      <c r="C348" s="3" t="s">
        <v>58</v>
      </c>
      <c r="D348" s="3" t="str">
        <f>IFERROR(MID(VLOOKUP($B348,Seqs!$A:$B,2,0),E348,1),"")</f>
        <v>P</v>
      </c>
      <c r="E348" s="3">
        <v>578</v>
      </c>
      <c r="F348" s="3" t="str">
        <f>IFERROR(MID(VLOOKUP($B348,Seqs!$A:$B,2,0),G348,1),"")</f>
        <v>Y</v>
      </c>
      <c r="G348" s="3">
        <v>604</v>
      </c>
      <c r="H348" s="3" t="str">
        <f>IFERROR(MID(VLOOKUP($B348,Seqs!$A:$B,2,0),I348,1),"")</f>
        <v>T</v>
      </c>
      <c r="I348" s="23">
        <v>607</v>
      </c>
      <c r="J348" s="3" t="str">
        <f>IFERROR(MID(VLOOKUP($B348,Seqs!$A:$B,2,0),K348,1),"")</f>
        <v>S</v>
      </c>
      <c r="K348" s="23">
        <v>613</v>
      </c>
      <c r="L348" s="3" t="str">
        <f>IFERROR(MID(VLOOKUP($B348,Seqs!$A:$B,2,0),M348,1),"")</f>
        <v>S</v>
      </c>
      <c r="M348" s="3">
        <v>614</v>
      </c>
      <c r="N348" s="3" t="str">
        <f>IFERROR(MID(VLOOKUP($B348,Seqs!$A:$B,2,0),O348,1),"")</f>
        <v>I</v>
      </c>
      <c r="O348" s="3">
        <v>636</v>
      </c>
      <c r="P348" s="3" t="str">
        <f>IFERROR(MID(VLOOKUP($B348,Seqs!$A:$B,2,0),Q348,1),"")</f>
        <v/>
      </c>
      <c r="Q348" s="3" t="s">
        <v>23</v>
      </c>
      <c r="R348" s="3" t="str">
        <f>IFERROR(MID(VLOOKUP($B348,Seqs!$A:$B,2,0),S348,1),"")</f>
        <v/>
      </c>
      <c r="S348" s="3" t="s">
        <v>23</v>
      </c>
      <c r="T348" s="3" t="str">
        <f>IFERROR(MID(VLOOKUP($B348,Seqs!$A:$B,2,0),U348,1),"")</f>
        <v>K</v>
      </c>
      <c r="U348" s="105">
        <v>640</v>
      </c>
      <c r="V348" s="3" t="str">
        <f>IFERROR(MID(VLOOKUP($B348,Seqs!$A:$B,2,0),W348,1),"")</f>
        <v>K</v>
      </c>
      <c r="W348" s="3">
        <v>678</v>
      </c>
      <c r="X348" s="3" t="str">
        <f>IFERROR(MID(VLOOKUP($B348,Seqs!$A:$B,2,0),Y348,1),"")</f>
        <v/>
      </c>
      <c r="Y348" s="3" t="s">
        <v>23</v>
      </c>
      <c r="Z348" s="3" t="str">
        <f>IFERROR(MID(VLOOKUP($B348,Seqs!$A:$B,2,0),AA348,1),"")</f>
        <v/>
      </c>
      <c r="AA348" s="3" t="s">
        <v>23</v>
      </c>
      <c r="AB348" s="3" t="str">
        <f>IFERROR(MID(VLOOKUP($B348,Seqs!$A:$B,2,0),AC348,1),"")</f>
        <v>S</v>
      </c>
      <c r="AC348" s="9">
        <v>689</v>
      </c>
      <c r="AD348" s="3" t="str">
        <f>IFERROR(MID(VLOOKUP($B348,Seqs!$A:$B,2,0),AE348,1),"")</f>
        <v>E</v>
      </c>
      <c r="AE348" s="3">
        <v>715</v>
      </c>
      <c r="AF348" s="3" t="str">
        <f>IFERROR(MID(VLOOKUP($B348,Seqs!$A:$B,2,0),AG348,1),"")</f>
        <v>C</v>
      </c>
      <c r="AG348" s="3">
        <v>733</v>
      </c>
      <c r="AH348" s="3" t="str">
        <f>IFERROR(MID(VLOOKUP($B348,Seqs!$A:$B,2,0),AI348,1),"")</f>
        <v>T</v>
      </c>
      <c r="AI348" s="3">
        <v>735</v>
      </c>
      <c r="AJ348" s="3" t="str">
        <f>IFERROR(MID(VLOOKUP($B348,Seqs!$A:$B,2,0),AK348,1),"")</f>
        <v>N</v>
      </c>
      <c r="AK348" s="3">
        <v>737</v>
      </c>
      <c r="AL348" s="3" t="str">
        <f>IFERROR(MID(VLOOKUP($B348,Seqs!$A:$B,2,0),AM348,1),"")</f>
        <v>T</v>
      </c>
      <c r="AM348" s="3">
        <v>761</v>
      </c>
      <c r="AN348" s="3" t="str">
        <f>IFERROR(MID(VLOOKUP($B348,Seqs!$A:$B,2,0),AO348,1),"")</f>
        <v>E</v>
      </c>
      <c r="AO348" s="3">
        <v>770</v>
      </c>
      <c r="AP348" s="3" t="str">
        <f>IFERROR(MID(VLOOKUP($B348,Seqs!$A:$B,2,0),AQ348,1),"")</f>
        <v>G</v>
      </c>
      <c r="AQ348" s="3">
        <v>794</v>
      </c>
      <c r="AR348" s="3" t="str">
        <f>IFERROR(MID(VLOOKUP($B348,Seqs!$A:$B,2,0),AS348,1),"")</f>
        <v>Y</v>
      </c>
      <c r="AS348" s="105">
        <v>797</v>
      </c>
      <c r="AT348" s="3" t="str">
        <f>IFERROR(MID(VLOOKUP($B348,Seqs!$A:$B,2,0),AU348,1),"")</f>
        <v>K</v>
      </c>
      <c r="AU348" s="3">
        <v>828</v>
      </c>
      <c r="AV348" s="3" t="str">
        <f>IFERROR(MID(VLOOKUP($B348,Seqs!$A:$B,2,0),AW348,1),"")</f>
        <v>P</v>
      </c>
      <c r="AW348" s="3">
        <v>829</v>
      </c>
      <c r="AX348" s="3" t="str">
        <f>IFERROR(MID(VLOOKUP($B348,Seqs!$A:$B,2,0),AY348,1),"")</f>
        <v>N</v>
      </c>
      <c r="AY348" s="3">
        <v>832</v>
      </c>
      <c r="AZ348" s="77" t="str">
        <f>VLOOKUP(B348,Classification!A:D,2,0)</f>
        <v>C</v>
      </c>
      <c r="BA348" s="94" t="str">
        <f>VLOOKUP(B348,Classification!A:D,4,0)</f>
        <v>Metabotropicglutamate</v>
      </c>
      <c r="BB348" s="27" t="b">
        <f t="shared" si="1899"/>
        <v>1</v>
      </c>
      <c r="BC348" s="23">
        <f t="shared" si="1872"/>
        <v>214</v>
      </c>
      <c r="BD348" s="4" t="s">
        <v>23</v>
      </c>
      <c r="BE348" s="3" t="s">
        <v>1375</v>
      </c>
      <c r="BF348" s="119">
        <v>3.1</v>
      </c>
      <c r="BG348" s="49" t="s">
        <v>1378</v>
      </c>
      <c r="BH348" s="49" t="s">
        <v>1378</v>
      </c>
      <c r="BJ348" s="70" t="s">
        <v>1288</v>
      </c>
      <c r="BK348" s="57" t="s">
        <v>1288</v>
      </c>
      <c r="BL348" s="57" t="s">
        <v>1288</v>
      </c>
      <c r="BM348" s="57" t="s">
        <v>1288</v>
      </c>
      <c r="BN348" s="57" t="s">
        <v>1288</v>
      </c>
      <c r="BO348" s="57" t="s">
        <v>1288</v>
      </c>
      <c r="BP348" s="57" t="s">
        <v>1288</v>
      </c>
      <c r="BQ348" s="57" t="s">
        <v>1288</v>
      </c>
      <c r="BR348" s="57" t="s">
        <v>1288</v>
      </c>
      <c r="BS348" s="57" t="s">
        <v>1288</v>
      </c>
      <c r="BT348" s="57" t="s">
        <v>1288</v>
      </c>
      <c r="BU348" s="57" t="s">
        <v>1288</v>
      </c>
      <c r="BV348" s="70">
        <f t="shared" si="1873"/>
        <v>578</v>
      </c>
      <c r="BW348" s="71">
        <f t="shared" si="1874"/>
        <v>607</v>
      </c>
      <c r="BX348" s="72">
        <f t="shared" si="1875"/>
        <v>614</v>
      </c>
      <c r="BY348" s="71" t="str">
        <f t="shared" si="1876"/>
        <v>-</v>
      </c>
      <c r="BZ348" s="72">
        <f t="shared" si="1877"/>
        <v>640</v>
      </c>
      <c r="CA348" s="71" t="str">
        <f t="shared" si="1878"/>
        <v>-</v>
      </c>
      <c r="CB348" s="72">
        <f t="shared" si="1879"/>
        <v>689</v>
      </c>
      <c r="CC348" s="71">
        <f t="shared" si="1880"/>
        <v>733</v>
      </c>
      <c r="CD348" s="72">
        <f t="shared" si="1881"/>
        <v>737</v>
      </c>
      <c r="CE348" s="71">
        <f t="shared" si="1882"/>
        <v>770</v>
      </c>
      <c r="CF348" s="72">
        <f t="shared" si="1883"/>
        <v>797</v>
      </c>
      <c r="CG348" s="71">
        <f t="shared" si="1884"/>
        <v>829</v>
      </c>
      <c r="CH348" s="70">
        <f t="shared" si="1885"/>
        <v>604</v>
      </c>
      <c r="CI348" s="71">
        <f t="shared" si="1886"/>
        <v>613</v>
      </c>
      <c r="CJ348" s="72">
        <f t="shared" si="1887"/>
        <v>636</v>
      </c>
      <c r="CK348" s="72" t="str">
        <f t="shared" si="1888"/>
        <v>-</v>
      </c>
      <c r="CL348" s="72">
        <f t="shared" si="1889"/>
        <v>678</v>
      </c>
      <c r="CM348" s="72" t="str">
        <f t="shared" si="1890"/>
        <v>-</v>
      </c>
      <c r="CN348" s="72">
        <f t="shared" si="1891"/>
        <v>715</v>
      </c>
      <c r="CO348" s="72">
        <f t="shared" si="1892"/>
        <v>735</v>
      </c>
      <c r="CP348" s="72">
        <f t="shared" si="1893"/>
        <v>761</v>
      </c>
      <c r="CQ348" s="72">
        <f t="shared" si="1894"/>
        <v>794</v>
      </c>
      <c r="CR348" s="72">
        <f t="shared" si="1895"/>
        <v>828</v>
      </c>
      <c r="CS348" s="72">
        <f t="shared" si="1896"/>
        <v>832</v>
      </c>
      <c r="CT348" s="23">
        <f t="shared" si="1897"/>
        <v>1</v>
      </c>
    </row>
    <row r="349" spans="1:1030" x14ac:dyDescent="0.2">
      <c r="A349" s="3" t="str">
        <f t="shared" si="1898"/>
        <v>grm5_human_5CGD</v>
      </c>
      <c r="B349" s="3" t="s">
        <v>41</v>
      </c>
      <c r="C349" s="3" t="s">
        <v>59</v>
      </c>
      <c r="D349" s="3" t="str">
        <f>IFERROR(MID(VLOOKUP($B349,Seqs!$A:$B,2,0),E349,1),"")</f>
        <v>P</v>
      </c>
      <c r="E349" s="3">
        <v>578</v>
      </c>
      <c r="F349" s="3" t="str">
        <f>IFERROR(MID(VLOOKUP($B349,Seqs!$A:$B,2,0),G349,1),"")</f>
        <v>Y</v>
      </c>
      <c r="G349" s="3">
        <v>604</v>
      </c>
      <c r="H349" s="3" t="str">
        <f>IFERROR(MID(VLOOKUP($B349,Seqs!$A:$B,2,0),I349,1),"")</f>
        <v>T</v>
      </c>
      <c r="I349" s="23">
        <v>607</v>
      </c>
      <c r="J349" s="3" t="str">
        <f>IFERROR(MID(VLOOKUP($B349,Seqs!$A:$B,2,0),K349,1),"")</f>
        <v>S</v>
      </c>
      <c r="K349" s="23">
        <v>613</v>
      </c>
      <c r="L349" s="3" t="str">
        <f>IFERROR(MID(VLOOKUP($B349,Seqs!$A:$B,2,0),M349,1),"")</f>
        <v>S</v>
      </c>
      <c r="M349" s="3">
        <v>614</v>
      </c>
      <c r="N349" s="3" t="str">
        <f>IFERROR(MID(VLOOKUP($B349,Seqs!$A:$B,2,0),O349,1),"")</f>
        <v>I</v>
      </c>
      <c r="O349" s="3">
        <v>636</v>
      </c>
      <c r="P349" s="3" t="str">
        <f>IFERROR(MID(VLOOKUP($B349,Seqs!$A:$B,2,0),Q349,1),"")</f>
        <v/>
      </c>
      <c r="Q349" s="3" t="s">
        <v>23</v>
      </c>
      <c r="R349" s="3" t="str">
        <f>IFERROR(MID(VLOOKUP($B349,Seqs!$A:$B,2,0),S349,1),"")</f>
        <v/>
      </c>
      <c r="S349" s="3" t="s">
        <v>23</v>
      </c>
      <c r="T349" s="3" t="str">
        <f>IFERROR(MID(VLOOKUP($B349,Seqs!$A:$B,2,0),U349,1),"")</f>
        <v>Q</v>
      </c>
      <c r="U349" s="3">
        <v>641</v>
      </c>
      <c r="V349" s="3" t="str">
        <f>IFERROR(MID(VLOOKUP($B349,Seqs!$A:$B,2,0),W349,1),"")</f>
        <v>K</v>
      </c>
      <c r="W349" s="3">
        <v>678</v>
      </c>
      <c r="X349" s="3" t="str">
        <f>IFERROR(MID(VLOOKUP($B349,Seqs!$A:$B,2,0),Y349,1),"")</f>
        <v/>
      </c>
      <c r="Y349" s="3" t="s">
        <v>23</v>
      </c>
      <c r="Z349" s="3" t="str">
        <f>IFERROR(MID(VLOOKUP($B349,Seqs!$A:$B,2,0),AA349,1),"")</f>
        <v/>
      </c>
      <c r="AA349" s="3" t="s">
        <v>23</v>
      </c>
      <c r="AB349" s="3" t="str">
        <f>IFERROR(MID(VLOOKUP($B349,Seqs!$A:$B,2,0),AC349,1),"")</f>
        <v>S</v>
      </c>
      <c r="AC349" s="9">
        <v>689</v>
      </c>
      <c r="AD349" s="3" t="str">
        <f>IFERROR(MID(VLOOKUP($B349,Seqs!$A:$B,2,0),AE349,1),"")</f>
        <v>E</v>
      </c>
      <c r="AE349" s="3">
        <v>715</v>
      </c>
      <c r="AF349" s="3" t="str">
        <f>IFERROR(MID(VLOOKUP($B349,Seqs!$A:$B,2,0),AG349,1),"")</f>
        <v>C</v>
      </c>
      <c r="AG349" s="3">
        <v>733</v>
      </c>
      <c r="AH349" s="3" t="str">
        <f>IFERROR(MID(VLOOKUP($B349,Seqs!$A:$B,2,0),AI349,1),"")</f>
        <v>T</v>
      </c>
      <c r="AI349" s="3">
        <v>735</v>
      </c>
      <c r="AJ349" s="3" t="str">
        <f>IFERROR(MID(VLOOKUP($B349,Seqs!$A:$B,2,0),AK349,1),"")</f>
        <v>N</v>
      </c>
      <c r="AK349" s="3">
        <v>737</v>
      </c>
      <c r="AL349" s="3" t="str">
        <f>IFERROR(MID(VLOOKUP($B349,Seqs!$A:$B,2,0),AM349,1),"")</f>
        <v>T</v>
      </c>
      <c r="AM349" s="3">
        <v>761</v>
      </c>
      <c r="AN349" s="3" t="str">
        <f>IFERROR(MID(VLOOKUP($B349,Seqs!$A:$B,2,0),AO349,1),"")</f>
        <v>E</v>
      </c>
      <c r="AO349" s="3">
        <v>770</v>
      </c>
      <c r="AP349" s="3" t="str">
        <f>IFERROR(MID(VLOOKUP($B349,Seqs!$A:$B,2,0),AQ349,1),"")</f>
        <v>G</v>
      </c>
      <c r="AQ349" s="3">
        <v>794</v>
      </c>
      <c r="AR349" s="3" t="str">
        <f>IFERROR(MID(VLOOKUP($B349,Seqs!$A:$B,2,0),AS349,1),"")</f>
        <v>Y</v>
      </c>
      <c r="AS349" s="105">
        <v>797</v>
      </c>
      <c r="AT349" s="3" t="str">
        <f>IFERROR(MID(VLOOKUP($B349,Seqs!$A:$B,2,0),AU349,1),"")</f>
        <v>K</v>
      </c>
      <c r="AU349" s="3">
        <v>828</v>
      </c>
      <c r="AV349" s="3" t="str">
        <f>IFERROR(MID(VLOOKUP($B349,Seqs!$A:$B,2,0),AW349,1),"")</f>
        <v>P</v>
      </c>
      <c r="AW349" s="3">
        <v>829</v>
      </c>
      <c r="AX349" s="3" t="str">
        <f>IFERROR(MID(VLOOKUP($B349,Seqs!$A:$B,2,0),AY349,1),"")</f>
        <v>R</v>
      </c>
      <c r="AY349" s="3">
        <v>831</v>
      </c>
      <c r="AZ349" s="77" t="str">
        <f>VLOOKUP(B349,Classification!A:D,2,0)</f>
        <v>C</v>
      </c>
      <c r="BA349" s="94" t="str">
        <f>VLOOKUP(B349,Classification!A:D,4,0)</f>
        <v>Metabotropicglutamate</v>
      </c>
      <c r="BB349" s="27" t="b">
        <f t="shared" si="1899"/>
        <v>1</v>
      </c>
      <c r="BC349" s="23">
        <f t="shared" si="1872"/>
        <v>212</v>
      </c>
      <c r="BD349" s="4" t="s">
        <v>23</v>
      </c>
      <c r="BE349" s="3" t="s">
        <v>1375</v>
      </c>
      <c r="BF349" s="119">
        <v>2.6</v>
      </c>
      <c r="BG349" s="49" t="s">
        <v>1378</v>
      </c>
      <c r="BH349" s="49" t="s">
        <v>1378</v>
      </c>
      <c r="BJ349" s="70" t="s">
        <v>1288</v>
      </c>
      <c r="BK349" s="57" t="s">
        <v>1288</v>
      </c>
      <c r="BL349" s="57" t="s">
        <v>1288</v>
      </c>
      <c r="BM349" s="57" t="s">
        <v>1288</v>
      </c>
      <c r="BN349" s="57" t="s">
        <v>1288</v>
      </c>
      <c r="BO349" s="57" t="s">
        <v>1288</v>
      </c>
      <c r="BP349" s="57" t="s">
        <v>1288</v>
      </c>
      <c r="BQ349" s="57" t="s">
        <v>1288</v>
      </c>
      <c r="BR349" s="57" t="s">
        <v>1288</v>
      </c>
      <c r="BS349" s="57" t="s">
        <v>1288</v>
      </c>
      <c r="BT349" s="57" t="s">
        <v>1288</v>
      </c>
      <c r="BU349" s="57" t="s">
        <v>1288</v>
      </c>
      <c r="BV349" s="70">
        <f t="shared" si="1873"/>
        <v>578</v>
      </c>
      <c r="BW349" s="71">
        <f t="shared" si="1874"/>
        <v>607</v>
      </c>
      <c r="BX349" s="72">
        <f t="shared" si="1875"/>
        <v>614</v>
      </c>
      <c r="BY349" s="71" t="str">
        <f t="shared" si="1876"/>
        <v>-</v>
      </c>
      <c r="BZ349" s="72">
        <f t="shared" si="1877"/>
        <v>641</v>
      </c>
      <c r="CA349" s="71" t="str">
        <f t="shared" si="1878"/>
        <v>-</v>
      </c>
      <c r="CB349" s="72">
        <f t="shared" si="1879"/>
        <v>689</v>
      </c>
      <c r="CC349" s="71">
        <f t="shared" si="1880"/>
        <v>733</v>
      </c>
      <c r="CD349" s="72">
        <f t="shared" si="1881"/>
        <v>737</v>
      </c>
      <c r="CE349" s="71">
        <f t="shared" si="1882"/>
        <v>770</v>
      </c>
      <c r="CF349" s="72">
        <f t="shared" si="1883"/>
        <v>797</v>
      </c>
      <c r="CG349" s="71">
        <f t="shared" si="1884"/>
        <v>829</v>
      </c>
      <c r="CH349" s="70">
        <f t="shared" si="1885"/>
        <v>604</v>
      </c>
      <c r="CI349" s="71">
        <f t="shared" si="1886"/>
        <v>613</v>
      </c>
      <c r="CJ349" s="72">
        <f t="shared" si="1887"/>
        <v>636</v>
      </c>
      <c r="CK349" s="72" t="str">
        <f t="shared" si="1888"/>
        <v>-</v>
      </c>
      <c r="CL349" s="72">
        <f t="shared" si="1889"/>
        <v>678</v>
      </c>
      <c r="CM349" s="72" t="str">
        <f t="shared" si="1890"/>
        <v>-</v>
      </c>
      <c r="CN349" s="72">
        <f t="shared" si="1891"/>
        <v>715</v>
      </c>
      <c r="CO349" s="72">
        <f t="shared" si="1892"/>
        <v>735</v>
      </c>
      <c r="CP349" s="72">
        <f t="shared" si="1893"/>
        <v>761</v>
      </c>
      <c r="CQ349" s="72">
        <f t="shared" si="1894"/>
        <v>794</v>
      </c>
      <c r="CR349" s="72">
        <f t="shared" si="1895"/>
        <v>828</v>
      </c>
      <c r="CS349" s="72">
        <f t="shared" si="1896"/>
        <v>831</v>
      </c>
      <c r="CT349" s="23">
        <f t="shared" si="1897"/>
        <v>1</v>
      </c>
      <c r="AMP349" s="3"/>
    </row>
    <row r="350" spans="1:1030" x14ac:dyDescent="0.2">
      <c r="A350" s="3" t="str">
        <f>CONCATENATE(B350,"_",C350)</f>
        <v>grm5_human_6FFH</v>
      </c>
      <c r="B350" s="3" t="s">
        <v>41</v>
      </c>
      <c r="C350" s="3" t="s">
        <v>1475</v>
      </c>
      <c r="D350" s="3" t="str">
        <f>IFERROR(MID(VLOOKUP($B350,Seqs!$A:$B,2,0),E350,1),"")</f>
        <v>P</v>
      </c>
      <c r="E350" s="3">
        <v>578</v>
      </c>
      <c r="F350" s="3" t="str">
        <f>IFERROR(MID(VLOOKUP($B350,Seqs!$A:$B,2,0),G350,1),"")</f>
        <v>Y</v>
      </c>
      <c r="G350" s="3">
        <v>604</v>
      </c>
      <c r="H350" s="3" t="str">
        <f>IFERROR(MID(VLOOKUP($B350,Seqs!$A:$B,2,0),I350,1),"")</f>
        <v>T</v>
      </c>
      <c r="I350" s="23">
        <v>607</v>
      </c>
      <c r="J350" s="3" t="str">
        <f>IFERROR(MID(VLOOKUP($B350,Seqs!$A:$B,2,0),K350,1),"")</f>
        <v>S</v>
      </c>
      <c r="K350" s="23">
        <v>613</v>
      </c>
      <c r="L350" s="3" t="str">
        <f>IFERROR(MID(VLOOKUP($B350,Seqs!$A:$B,2,0),M350,1),"")</f>
        <v>S</v>
      </c>
      <c r="M350" s="3">
        <v>614</v>
      </c>
      <c r="N350" s="3" t="str">
        <f>IFERROR(MID(VLOOKUP($B350,Seqs!$A:$B,2,0),O350,1),"")</f>
        <v>I</v>
      </c>
      <c r="O350" s="3">
        <v>636</v>
      </c>
      <c r="P350" s="3" t="str">
        <f>IFERROR(MID(VLOOKUP($B350,Seqs!$A:$B,2,0),Q350,1),"")</f>
        <v/>
      </c>
      <c r="Q350" s="3" t="s">
        <v>23</v>
      </c>
      <c r="R350" s="3" t="str">
        <f>IFERROR(MID(VLOOKUP($B350,Seqs!$A:$B,2,0),S350,1),"")</f>
        <v/>
      </c>
      <c r="S350" s="3" t="s">
        <v>23</v>
      </c>
      <c r="T350" s="3" t="str">
        <f>IFERROR(MID(VLOOKUP($B350,Seqs!$A:$B,2,0),U350,1),"")</f>
        <v>K</v>
      </c>
      <c r="U350" s="3">
        <v>640</v>
      </c>
      <c r="V350" s="3" t="str">
        <f>IFERROR(MID(VLOOKUP($B350,Seqs!$A:$B,2,0),W350,1),"")</f>
        <v>K</v>
      </c>
      <c r="W350" s="3">
        <v>678</v>
      </c>
      <c r="X350" s="3" t="str">
        <f>IFERROR(MID(VLOOKUP($B350,Seqs!$A:$B,2,0),Y350,1),"")</f>
        <v/>
      </c>
      <c r="Y350" s="3" t="s">
        <v>23</v>
      </c>
      <c r="Z350" s="3" t="str">
        <f>IFERROR(MID(VLOOKUP($B350,Seqs!$A:$B,2,0),AA350,1),"")</f>
        <v/>
      </c>
      <c r="AA350" s="3" t="s">
        <v>23</v>
      </c>
      <c r="AB350" s="3" t="str">
        <f>IFERROR(MID(VLOOKUP($B350,Seqs!$A:$B,2,0),AC350,1),"")</f>
        <v/>
      </c>
      <c r="AC350" s="3">
        <v>1689</v>
      </c>
      <c r="AD350" s="3" t="str">
        <f>IFERROR(MID(VLOOKUP($B350,Seqs!$A:$B,2,0),AE350,1),"")</f>
        <v/>
      </c>
      <c r="AE350" s="3">
        <v>1715</v>
      </c>
      <c r="AF350" s="3" t="str">
        <f>IFERROR(MID(VLOOKUP($B350,Seqs!$A:$B,2,0),AG350,1),"")</f>
        <v/>
      </c>
      <c r="AG350" s="3">
        <v>1733</v>
      </c>
      <c r="AH350" s="3" t="str">
        <f>IFERROR(MID(VLOOKUP($B350,Seqs!$A:$B,2,0),AI350,1),"")</f>
        <v/>
      </c>
      <c r="AI350" s="3">
        <v>1735</v>
      </c>
      <c r="AJ350" s="3" t="str">
        <f>IFERROR(MID(VLOOKUP($B350,Seqs!$A:$B,2,0),AK350,1),"")</f>
        <v/>
      </c>
      <c r="AK350" s="3">
        <v>1736</v>
      </c>
      <c r="AL350" s="3" t="str">
        <f>IFERROR(MID(VLOOKUP($B350,Seqs!$A:$B,2,0),AM350,1),"")</f>
        <v/>
      </c>
      <c r="AM350" s="3">
        <v>1761</v>
      </c>
      <c r="AN350" s="3" t="str">
        <f>IFERROR(MID(VLOOKUP($B350,Seqs!$A:$B,2,0),AO350,1),"")</f>
        <v/>
      </c>
      <c r="AO350" s="3">
        <v>1770</v>
      </c>
      <c r="AP350" s="3" t="str">
        <f>IFERROR(MID(VLOOKUP($B350,Seqs!$A:$B,2,0),AQ350,1),"")</f>
        <v/>
      </c>
      <c r="AQ350" s="3">
        <v>1794</v>
      </c>
      <c r="AR350" s="3" t="str">
        <f>IFERROR(MID(VLOOKUP($B350,Seqs!$A:$B,2,0),AS350,1),"")</f>
        <v/>
      </c>
      <c r="AS350" s="3">
        <v>1797</v>
      </c>
      <c r="AT350" s="3" t="str">
        <f>IFERROR(MID(VLOOKUP($B350,Seqs!$A:$B,2,0),AU350,1),"")</f>
        <v/>
      </c>
      <c r="AU350" s="3">
        <v>1828</v>
      </c>
      <c r="AV350" s="3" t="str">
        <f>IFERROR(MID(VLOOKUP($B350,Seqs!$A:$B,2,0),AW350,1),"")</f>
        <v/>
      </c>
      <c r="AW350" s="3">
        <v>1829</v>
      </c>
      <c r="AX350" s="3" t="str">
        <f>IFERROR(MID(VLOOKUP($B350,Seqs!$A:$B,2,0),AY350,1),"")</f>
        <v/>
      </c>
      <c r="AY350" s="3">
        <v>1832</v>
      </c>
      <c r="AZ350" s="77" t="str">
        <f>VLOOKUP(B350,Classification!A:D,2,0)</f>
        <v>C</v>
      </c>
      <c r="BA350" s="94" t="str">
        <f>VLOOKUP(B350,Classification!A:D,4,0)</f>
        <v>Metabotropicglutamate</v>
      </c>
      <c r="BB350" s="27" t="b">
        <f>AND(E350&lt;G350,OR(G350&lt;I350,I350="-"),OR(I350&lt;K350,I350="-"),OR(K350&lt;M350,K350="-"),M350&lt;O350,OR(O350&lt;Q350,Q350="-"),OR(Q350&lt;S350,Q350="-"),OR(S350&lt;U350,S350="-"),U350&lt;W350,OR(W350&lt;Y350,Y350="-"),OR(Y350&lt;AA350,Y350="-"),OR(AA350&lt;AC350,AA350="-"),AC350&lt;AE350,OR(AE350&lt;AG350,AG350="-"),OR(AG350&lt;AI350,AG350="-"),OR(AI350&lt;AK350,AI350="-"),AK350&lt;AM350,AM350&lt;AO350,AO350&lt;AQ350,AQ350&lt;AS350,AS350&lt;AU350,OR(AU350&lt;AW350,AW350="-"),OR(AW350&lt;AY350,AW350="-"))</f>
        <v>1</v>
      </c>
      <c r="BC350" s="23">
        <f>_xlfn.AGGREGATE(9,6,CH350:CS350)-_xlfn.AGGREGATE(9,6,BV350:CG350)+12</f>
        <v>215</v>
      </c>
      <c r="BD350" s="4" t="s">
        <v>23</v>
      </c>
      <c r="BE350" s="3" t="s">
        <v>1375</v>
      </c>
      <c r="BF350" s="119">
        <v>2.65</v>
      </c>
      <c r="BG350" s="49" t="s">
        <v>1</v>
      </c>
      <c r="BH350" s="49" t="s">
        <v>1</v>
      </c>
      <c r="BJ350" s="70" t="s">
        <v>1288</v>
      </c>
      <c r="BK350" s="57" t="s">
        <v>1288</v>
      </c>
      <c r="BL350" s="57" t="s">
        <v>1288</v>
      </c>
      <c r="BM350" s="57" t="s">
        <v>1288</v>
      </c>
      <c r="BN350" s="57" t="s">
        <v>1288</v>
      </c>
      <c r="BO350" s="57" t="s">
        <v>1288</v>
      </c>
      <c r="BP350" s="57" t="s">
        <v>1288</v>
      </c>
      <c r="BQ350" s="57" t="s">
        <v>1288</v>
      </c>
      <c r="BR350" s="57" t="s">
        <v>1288</v>
      </c>
      <c r="BS350" s="57" t="s">
        <v>1288</v>
      </c>
      <c r="BT350" s="57" t="s">
        <v>1288</v>
      </c>
      <c r="BU350" s="57" t="s">
        <v>1288</v>
      </c>
      <c r="BV350" s="70">
        <f>E350</f>
        <v>578</v>
      </c>
      <c r="BW350" s="71">
        <f>I350</f>
        <v>607</v>
      </c>
      <c r="BX350" s="72">
        <f>M350</f>
        <v>614</v>
      </c>
      <c r="BY350" s="71" t="str">
        <f>Q350</f>
        <v>-</v>
      </c>
      <c r="BZ350" s="72">
        <f>U350</f>
        <v>640</v>
      </c>
      <c r="CA350" s="71" t="str">
        <f>Y350</f>
        <v>-</v>
      </c>
      <c r="CB350" s="72">
        <f>AC350</f>
        <v>1689</v>
      </c>
      <c r="CC350" s="71">
        <f>AG350</f>
        <v>1733</v>
      </c>
      <c r="CD350" s="72">
        <f>AK350</f>
        <v>1736</v>
      </c>
      <c r="CE350" s="71">
        <f>AO350</f>
        <v>1770</v>
      </c>
      <c r="CF350" s="72">
        <f>AS350</f>
        <v>1797</v>
      </c>
      <c r="CG350" s="71">
        <f>AW350</f>
        <v>1829</v>
      </c>
      <c r="CH350" s="70">
        <f>G350</f>
        <v>604</v>
      </c>
      <c r="CI350" s="71">
        <f>K350</f>
        <v>613</v>
      </c>
      <c r="CJ350" s="72">
        <f>O350</f>
        <v>636</v>
      </c>
      <c r="CK350" s="72" t="str">
        <f>S350</f>
        <v>-</v>
      </c>
      <c r="CL350" s="72">
        <f>W350</f>
        <v>678</v>
      </c>
      <c r="CM350" s="72" t="str">
        <f>AA350</f>
        <v>-</v>
      </c>
      <c r="CN350" s="72">
        <f>AE350</f>
        <v>1715</v>
      </c>
      <c r="CO350" s="72">
        <f>AI350</f>
        <v>1735</v>
      </c>
      <c r="CP350" s="72">
        <f>AM350</f>
        <v>1761</v>
      </c>
      <c r="CQ350" s="72">
        <f>AQ350</f>
        <v>1794</v>
      </c>
      <c r="CR350" s="72">
        <f>AU350</f>
        <v>1828</v>
      </c>
      <c r="CS350" s="72">
        <f>AY350</f>
        <v>1832</v>
      </c>
      <c r="CT350" s="23">
        <f>M350-K350</f>
        <v>1</v>
      </c>
      <c r="AMP350" s="3"/>
    </row>
    <row r="351" spans="1:1030" x14ac:dyDescent="0.2">
      <c r="A351" s="3" t="str">
        <f>CONCATENATE(B351,"_",C351)</f>
        <v>grm5_human_6FFI</v>
      </c>
      <c r="B351" s="3" t="s">
        <v>41</v>
      </c>
      <c r="C351" s="3" t="s">
        <v>1476</v>
      </c>
      <c r="D351" s="3" t="str">
        <f>IFERROR(MID(VLOOKUP($B351,Seqs!$A:$B,2,0),E351,1),"")</f>
        <v>P</v>
      </c>
      <c r="E351" s="3">
        <v>578</v>
      </c>
      <c r="F351" s="3" t="str">
        <f>IFERROR(MID(VLOOKUP($B351,Seqs!$A:$B,2,0),G351,1),"")</f>
        <v>Y</v>
      </c>
      <c r="G351" s="3">
        <v>604</v>
      </c>
      <c r="H351" s="3" t="str">
        <f>IFERROR(MID(VLOOKUP($B351,Seqs!$A:$B,2,0),I351,1),"")</f>
        <v>T</v>
      </c>
      <c r="I351" s="23">
        <v>607</v>
      </c>
      <c r="J351" s="3" t="str">
        <f>IFERROR(MID(VLOOKUP($B351,Seqs!$A:$B,2,0),K351,1),"")</f>
        <v>S</v>
      </c>
      <c r="K351" s="23">
        <v>613</v>
      </c>
      <c r="L351" s="3" t="str">
        <f>IFERROR(MID(VLOOKUP($B351,Seqs!$A:$B,2,0),M351,1),"")</f>
        <v>S</v>
      </c>
      <c r="M351" s="3">
        <v>614</v>
      </c>
      <c r="N351" s="3" t="str">
        <f>IFERROR(MID(VLOOKUP($B351,Seqs!$A:$B,2,0),O351,1),"")</f>
        <v>I</v>
      </c>
      <c r="O351" s="3">
        <v>636</v>
      </c>
      <c r="P351" s="3" t="str">
        <f>IFERROR(MID(VLOOKUP($B351,Seqs!$A:$B,2,0),Q351,1),"")</f>
        <v/>
      </c>
      <c r="Q351" s="3" t="s">
        <v>23</v>
      </c>
      <c r="R351" s="3" t="str">
        <f>IFERROR(MID(VLOOKUP($B351,Seqs!$A:$B,2,0),S351,1),"")</f>
        <v/>
      </c>
      <c r="S351" s="3" t="s">
        <v>23</v>
      </c>
      <c r="T351" s="3" t="str">
        <f>IFERROR(MID(VLOOKUP($B351,Seqs!$A:$B,2,0),U351,1),"")</f>
        <v>K</v>
      </c>
      <c r="U351" s="3">
        <v>640</v>
      </c>
      <c r="V351" s="3" t="str">
        <f>IFERROR(MID(VLOOKUP($B351,Seqs!$A:$B,2,0),W351,1),"")</f>
        <v>K</v>
      </c>
      <c r="W351" s="3">
        <v>678</v>
      </c>
      <c r="X351" s="3" t="str">
        <f>IFERROR(MID(VLOOKUP($B351,Seqs!$A:$B,2,0),Y351,1),"")</f>
        <v/>
      </c>
      <c r="Y351" s="3" t="s">
        <v>23</v>
      </c>
      <c r="Z351" s="3" t="str">
        <f>IFERROR(MID(VLOOKUP($B351,Seqs!$A:$B,2,0),AA351,1),"")</f>
        <v/>
      </c>
      <c r="AA351" s="3" t="s">
        <v>23</v>
      </c>
      <c r="AB351" s="3" t="str">
        <f>IFERROR(MID(VLOOKUP($B351,Seqs!$A:$B,2,0),AC351,1),"")</f>
        <v>D</v>
      </c>
      <c r="AC351" s="3">
        <v>849</v>
      </c>
      <c r="AD351" s="3" t="str">
        <f>IFERROR(MID(VLOOKUP($B351,Seqs!$A:$B,2,0),AE351,1),"")</f>
        <v>T</v>
      </c>
      <c r="AE351" s="3">
        <v>875</v>
      </c>
      <c r="AF351" s="3" t="str">
        <f>IFERROR(MID(VLOOKUP($B351,Seqs!$A:$B,2,0),AG351,1),"")</f>
        <v>F</v>
      </c>
      <c r="AG351" s="3">
        <v>893</v>
      </c>
      <c r="AH351" s="3" t="str">
        <f>IFERROR(MID(VLOOKUP($B351,Seqs!$A:$B,2,0),AI351,1),"")</f>
        <v>P</v>
      </c>
      <c r="AI351" s="3">
        <v>895</v>
      </c>
      <c r="AJ351" s="3" t="str">
        <f>IFERROR(MID(VLOOKUP($B351,Seqs!$A:$B,2,0),AK351,1),"")</f>
        <v>K</v>
      </c>
      <c r="AK351" s="3">
        <v>896</v>
      </c>
      <c r="AL351" s="3" t="str">
        <f>IFERROR(MID(VLOOKUP($B351,Seqs!$A:$B,2,0),AM351,1),"")</f>
        <v>E</v>
      </c>
      <c r="AM351" s="3">
        <v>921</v>
      </c>
      <c r="AN351" s="3" t="str">
        <f>IFERROR(MID(VLOOKUP($B351,Seqs!$A:$B,2,0),AO351,1),"")</f>
        <v>L</v>
      </c>
      <c r="AO351" s="3">
        <v>929</v>
      </c>
      <c r="AP351" s="3" t="str">
        <f>IFERROR(MID(VLOOKUP($B351,Seqs!$A:$B,2,0),AQ351,1),"")</f>
        <v>S</v>
      </c>
      <c r="AQ351" s="3">
        <v>955</v>
      </c>
      <c r="AR351" s="3" t="str">
        <f>IFERROR(MID(VLOOKUP($B351,Seqs!$A:$B,2,0),AS351,1),"")</f>
        <v>E</v>
      </c>
      <c r="AS351" s="3">
        <v>957</v>
      </c>
      <c r="AT351" s="3" t="str">
        <f>IFERROR(MID(VLOOKUP($B351,Seqs!$A:$B,2,0),AU351,1),"")</f>
        <v>G</v>
      </c>
      <c r="AU351" s="3">
        <v>988</v>
      </c>
      <c r="AV351" s="3" t="str">
        <f>IFERROR(MID(VLOOKUP($B351,Seqs!$A:$B,2,0),AW351,1),"")</f>
        <v>G</v>
      </c>
      <c r="AW351" s="3">
        <v>989</v>
      </c>
      <c r="AX351" s="3" t="str">
        <f>IFERROR(MID(VLOOKUP($B351,Seqs!$A:$B,2,0),AY351,1),"")</f>
        <v>S</v>
      </c>
      <c r="AY351" s="3">
        <v>992</v>
      </c>
      <c r="AZ351" s="77" t="str">
        <f>VLOOKUP(B351,Classification!A:D,2,0)</f>
        <v>C</v>
      </c>
      <c r="BA351" s="94" t="str">
        <f>VLOOKUP(B351,Classification!A:D,4,0)</f>
        <v>Metabotropicglutamate</v>
      </c>
      <c r="BB351" s="27" t="b">
        <f>AND(E351&lt;G351,OR(G351&lt;I351,I351="-"),OR(I351&lt;K351,I351="-"),OR(K351&lt;M351,K351="-"),M351&lt;O351,OR(O351&lt;Q351,Q351="-"),OR(Q351&lt;S351,Q351="-"),OR(S351&lt;U351,S351="-"),U351&lt;W351,OR(W351&lt;Y351,Y351="-"),OR(Y351&lt;AA351,Y351="-"),OR(AA351&lt;AC351,AA351="-"),AC351&lt;AE351,OR(AE351&lt;AG351,AG351="-"),OR(AG351&lt;AI351,AG351="-"),OR(AI351&lt;AK351,AI351="-"),AK351&lt;AM351,AM351&lt;AO351,AO351&lt;AQ351,AQ351&lt;AS351,AS351&lt;AU351,OR(AU351&lt;AW351,AW351="-"),OR(AW351&lt;AY351,AW351="-"))</f>
        <v>1</v>
      </c>
      <c r="BC351" s="23">
        <f>_xlfn.AGGREGATE(9,6,CH351:CS351)-_xlfn.AGGREGATE(9,6,BV351:CG351)+12</f>
        <v>217</v>
      </c>
      <c r="BD351" s="4" t="s">
        <v>23</v>
      </c>
      <c r="BE351" s="3" t="s">
        <v>1375</v>
      </c>
      <c r="BF351" s="119">
        <v>2.2000000000000002</v>
      </c>
      <c r="BG351" s="49" t="s">
        <v>1</v>
      </c>
      <c r="BH351" s="49" t="s">
        <v>1</v>
      </c>
      <c r="BJ351" s="70" t="s">
        <v>1288</v>
      </c>
      <c r="BK351" s="57" t="s">
        <v>1288</v>
      </c>
      <c r="BL351" s="57" t="s">
        <v>1288</v>
      </c>
      <c r="BM351" s="57" t="s">
        <v>1288</v>
      </c>
      <c r="BN351" s="57" t="s">
        <v>1288</v>
      </c>
      <c r="BO351" s="57" t="s">
        <v>1288</v>
      </c>
      <c r="BP351" s="57" t="s">
        <v>1288</v>
      </c>
      <c r="BQ351" s="57" t="s">
        <v>1288</v>
      </c>
      <c r="BR351" s="57" t="s">
        <v>1288</v>
      </c>
      <c r="BS351" s="57" t="s">
        <v>1288</v>
      </c>
      <c r="BT351" s="57" t="s">
        <v>1288</v>
      </c>
      <c r="BU351" s="57" t="s">
        <v>1288</v>
      </c>
      <c r="BV351" s="70">
        <f>E351</f>
        <v>578</v>
      </c>
      <c r="BW351" s="71">
        <f>I351</f>
        <v>607</v>
      </c>
      <c r="BX351" s="72">
        <f>M351</f>
        <v>614</v>
      </c>
      <c r="BY351" s="71" t="str">
        <f>Q351</f>
        <v>-</v>
      </c>
      <c r="BZ351" s="72">
        <f>U351</f>
        <v>640</v>
      </c>
      <c r="CA351" s="71" t="str">
        <f>Y351</f>
        <v>-</v>
      </c>
      <c r="CB351" s="72">
        <f>AC351</f>
        <v>849</v>
      </c>
      <c r="CC351" s="71">
        <f>AG351</f>
        <v>893</v>
      </c>
      <c r="CD351" s="72">
        <f>AK351</f>
        <v>896</v>
      </c>
      <c r="CE351" s="71">
        <f>AO351</f>
        <v>929</v>
      </c>
      <c r="CF351" s="72">
        <f>AS351</f>
        <v>957</v>
      </c>
      <c r="CG351" s="71">
        <f>AW351</f>
        <v>989</v>
      </c>
      <c r="CH351" s="70">
        <f>G351</f>
        <v>604</v>
      </c>
      <c r="CI351" s="71">
        <f>K351</f>
        <v>613</v>
      </c>
      <c r="CJ351" s="72">
        <f>O351</f>
        <v>636</v>
      </c>
      <c r="CK351" s="72" t="str">
        <f>S351</f>
        <v>-</v>
      </c>
      <c r="CL351" s="72">
        <f>W351</f>
        <v>678</v>
      </c>
      <c r="CM351" s="72" t="str">
        <f>AA351</f>
        <v>-</v>
      </c>
      <c r="CN351" s="72">
        <f>AE351</f>
        <v>875</v>
      </c>
      <c r="CO351" s="72">
        <f>AI351</f>
        <v>895</v>
      </c>
      <c r="CP351" s="72">
        <f>AM351</f>
        <v>921</v>
      </c>
      <c r="CQ351" s="72">
        <f>AQ351</f>
        <v>955</v>
      </c>
      <c r="CR351" s="72">
        <f>AU351</f>
        <v>988</v>
      </c>
      <c r="CS351" s="72">
        <f>AY351</f>
        <v>992</v>
      </c>
      <c r="CT351" s="23">
        <f>M351-K351</f>
        <v>1</v>
      </c>
      <c r="AMP351" s="3"/>
    </row>
    <row r="352" spans="1:1030" s="12" customFormat="1" x14ac:dyDescent="0.2">
      <c r="A352" s="9" t="str">
        <f>CONCATENATE(B352,"_",C352)</f>
        <v>grm5_human_6N51</v>
      </c>
      <c r="B352" s="9" t="s">
        <v>41</v>
      </c>
      <c r="C352" s="9" t="s">
        <v>1553</v>
      </c>
      <c r="D352" s="9" t="str">
        <f>IFERROR(MID(VLOOKUP($B352,Seqs!$A:$B,2,0),E352,1),"")</f>
        <v>D</v>
      </c>
      <c r="E352" s="9">
        <v>577</v>
      </c>
      <c r="F352" s="9" t="str">
        <f>IFERROR(MID(VLOOKUP($B352,Seqs!$A:$B,2,0),G352,1),"")</f>
        <v>I</v>
      </c>
      <c r="G352" s="9">
        <v>602</v>
      </c>
      <c r="H352" s="9" t="str">
        <f>IFERROR(MID(VLOOKUP($B352,Seqs!$A:$B,2,0),I352,1),"")</f>
        <v>T</v>
      </c>
      <c r="I352" s="109">
        <v>607</v>
      </c>
      <c r="J352" s="9" t="str">
        <f>IFERROR(MID(VLOOKUP($B352,Seqs!$A:$B,2,0),K352,1),"")</f>
        <v>S</v>
      </c>
      <c r="K352" s="109">
        <v>613</v>
      </c>
      <c r="L352" s="9" t="str">
        <f>IFERROR(MID(VLOOKUP($B352,Seqs!$A:$B,2,0),M352,1),"")</f>
        <v>S</v>
      </c>
      <c r="M352" s="9">
        <v>614</v>
      </c>
      <c r="N352" s="9" t="str">
        <f>IFERROR(MID(VLOOKUP($B352,Seqs!$A:$B,2,0),O352,1),"")</f>
        <v>C</v>
      </c>
      <c r="O352" s="9">
        <v>634</v>
      </c>
      <c r="P352" s="9" t="str">
        <f>IFERROR(MID(VLOOKUP($B352,Seqs!$A:$B,2,0),Q352,1),"")</f>
        <v/>
      </c>
      <c r="Q352" s="9" t="s">
        <v>23</v>
      </c>
      <c r="R352" s="9" t="str">
        <f>IFERROR(MID(VLOOKUP($B352,Seqs!$A:$B,2,0),S352,1),"")</f>
        <v/>
      </c>
      <c r="S352" s="9" t="s">
        <v>23</v>
      </c>
      <c r="T352" s="9" t="str">
        <f>IFERROR(MID(VLOOKUP($B352,Seqs!$A:$B,2,0),U352,1),"")</f>
        <v>K</v>
      </c>
      <c r="U352" s="9">
        <v>640</v>
      </c>
      <c r="V352" s="9" t="str">
        <f>IFERROR(MID(VLOOKUP($B352,Seqs!$A:$B,2,0),W352,1),"")</f>
        <v>A</v>
      </c>
      <c r="W352" s="9">
        <v>674</v>
      </c>
      <c r="X352" s="9" t="str">
        <f>IFERROR(MID(VLOOKUP($B352,Seqs!$A:$B,2,0),Y352,1),"")</f>
        <v/>
      </c>
      <c r="Y352" s="9" t="s">
        <v>23</v>
      </c>
      <c r="Z352" s="9" t="str">
        <f>IFERROR(MID(VLOOKUP($B352,Seqs!$A:$B,2,0),AA352,1),"")</f>
        <v/>
      </c>
      <c r="AA352" s="9" t="s">
        <v>23</v>
      </c>
      <c r="AB352" s="9" t="str">
        <f>IFERROR(MID(VLOOKUP($B352,Seqs!$A:$B,2,0),AC352,1),"")</f>
        <v>S</v>
      </c>
      <c r="AC352" s="9">
        <v>689</v>
      </c>
      <c r="AD352" s="9" t="str">
        <f>IFERROR(MID(VLOOKUP($B352,Seqs!$A:$B,2,0),AE352,1),"")</f>
        <v>E</v>
      </c>
      <c r="AE352" s="9">
        <v>715</v>
      </c>
      <c r="AF352" s="9" t="str">
        <f>IFERROR(MID(VLOOKUP($B352,Seqs!$A:$B,2,0),AG352,1),"")</f>
        <v>C</v>
      </c>
      <c r="AG352" s="9">
        <v>733</v>
      </c>
      <c r="AH352" s="9" t="str">
        <f>IFERROR(MID(VLOOKUP($B352,Seqs!$A:$B,2,0),AI352,1),"")</f>
        <v>T</v>
      </c>
      <c r="AI352" s="9">
        <v>735</v>
      </c>
      <c r="AJ352" s="9" t="str">
        <f>IFERROR(MID(VLOOKUP($B352,Seqs!$A:$B,2,0),AK352,1),"")</f>
        <v>N</v>
      </c>
      <c r="AK352" s="9">
        <v>737</v>
      </c>
      <c r="AL352" s="9" t="str">
        <f>IFERROR(MID(VLOOKUP($B352,Seqs!$A:$B,2,0),AM352,1),"")</f>
        <v>A</v>
      </c>
      <c r="AM352" s="9">
        <v>758</v>
      </c>
      <c r="AN352" s="9" t="str">
        <f>IFERROR(MID(VLOOKUP($B352,Seqs!$A:$B,2,0),AO352,1),"")</f>
        <v>N</v>
      </c>
      <c r="AO352" s="9">
        <v>769</v>
      </c>
      <c r="AP352" s="9" t="str">
        <f>IFERROR(MID(VLOOKUP($B352,Seqs!$A:$B,2,0),AQ352,1),"")</f>
        <v>G</v>
      </c>
      <c r="AQ352" s="9">
        <v>794</v>
      </c>
      <c r="AR352" s="9" t="str">
        <f>IFERROR(MID(VLOOKUP($B352,Seqs!$A:$B,2,0),AS352,1),"")</f>
        <v>I</v>
      </c>
      <c r="AS352" s="9">
        <v>799</v>
      </c>
      <c r="AT352" s="9" t="str">
        <f>IFERROR(MID(VLOOKUP($B352,Seqs!$A:$B,2,0),AU352,1),"")</f>
        <v>L</v>
      </c>
      <c r="AU352" s="9">
        <v>826</v>
      </c>
      <c r="AV352" s="9" t="str">
        <f>IFERROR(MID(VLOOKUP($B352,Seqs!$A:$B,2,0),AW352,1),"")</f>
        <v/>
      </c>
      <c r="AW352" s="9" t="s">
        <v>23</v>
      </c>
      <c r="AX352" s="9" t="str">
        <f>IFERROR(MID(VLOOKUP($B352,Seqs!$A:$B,2,0),AY352,1),"")</f>
        <v/>
      </c>
      <c r="AY352" s="9" t="s">
        <v>23</v>
      </c>
      <c r="AZ352" s="110" t="str">
        <f>VLOOKUP(B352,Classification!A:D,2,0)</f>
        <v>C</v>
      </c>
      <c r="BA352" s="98" t="str">
        <f>VLOOKUP(B352,Classification!A:D,4,0)</f>
        <v>Metabotropicglutamate</v>
      </c>
      <c r="BB352" s="36" t="b">
        <f>AND(E352&lt;G352,OR(G352&lt;I352,I352="-"),OR(I352&lt;K352,I352="-"),OR(K352&lt;M352,K352="-"),M352&lt;O352,OR(O352&lt;Q352,Q352="-"),OR(Q352&lt;S352,Q352="-"),OR(S352&lt;U352,S352="-"),U352&lt;W352,OR(W352&lt;Y352,Y352="-"),OR(Y352&lt;AA352,Y352="-"),OR(AA352&lt;AC352,AA352="-"),AC352&lt;AE352,OR(AE352&lt;AG352,AG352="-"),OR(AG352&lt;AI352,AG352="-"),OR(AI352&lt;AK352,AI352="-"),AK352&lt;AM352,AM352&lt;AO352,AO352&lt;AQ352,AQ352&lt;AS352,AS352&lt;AU352,OR(AU352&lt;AW352,AW352="-"),OR(AW352&lt;AY352,AW352="-"))</f>
        <v>1</v>
      </c>
      <c r="BC352" s="109">
        <f>_xlfn.AGGREGATE(9,6,CH352:CS352)-_xlfn.AGGREGATE(9,6,BV352:CG352)+12</f>
        <v>198</v>
      </c>
      <c r="BD352" s="11" t="s">
        <v>23</v>
      </c>
      <c r="BE352" s="9" t="s">
        <v>1375</v>
      </c>
      <c r="BF352" s="120">
        <v>4</v>
      </c>
      <c r="BG352" s="51" t="s">
        <v>1282</v>
      </c>
      <c r="BH352" s="51" t="s">
        <v>1282</v>
      </c>
      <c r="BI352" s="9"/>
      <c r="BJ352" s="111" t="s">
        <v>1288</v>
      </c>
      <c r="BK352" s="112" t="s">
        <v>1288</v>
      </c>
      <c r="BL352" s="112" t="s">
        <v>1288</v>
      </c>
      <c r="BM352" s="112" t="s">
        <v>1288</v>
      </c>
      <c r="BN352" s="112" t="s">
        <v>1288</v>
      </c>
      <c r="BO352" s="112" t="s">
        <v>1288</v>
      </c>
      <c r="BP352" s="112" t="s">
        <v>1288</v>
      </c>
      <c r="BQ352" s="112" t="s">
        <v>1288</v>
      </c>
      <c r="BR352" s="112" t="s">
        <v>1288</v>
      </c>
      <c r="BS352" s="112" t="s">
        <v>1288</v>
      </c>
      <c r="BT352" s="112" t="s">
        <v>1288</v>
      </c>
      <c r="BU352" s="112" t="s">
        <v>1288</v>
      </c>
      <c r="BV352" s="111">
        <f>E352</f>
        <v>577</v>
      </c>
      <c r="BW352" s="113">
        <f>I352</f>
        <v>607</v>
      </c>
      <c r="BX352" s="114">
        <f>M352</f>
        <v>614</v>
      </c>
      <c r="BY352" s="113" t="str">
        <f>Q352</f>
        <v>-</v>
      </c>
      <c r="BZ352" s="114">
        <f>U352</f>
        <v>640</v>
      </c>
      <c r="CA352" s="113" t="str">
        <f>Y352</f>
        <v>-</v>
      </c>
      <c r="CB352" s="114">
        <f>AC352</f>
        <v>689</v>
      </c>
      <c r="CC352" s="113">
        <f>AG352</f>
        <v>733</v>
      </c>
      <c r="CD352" s="114">
        <f>AK352</f>
        <v>737</v>
      </c>
      <c r="CE352" s="113">
        <f>AO352</f>
        <v>769</v>
      </c>
      <c r="CF352" s="114">
        <f>AS352</f>
        <v>799</v>
      </c>
      <c r="CG352" s="113" t="str">
        <f>AW352</f>
        <v>-</v>
      </c>
      <c r="CH352" s="111">
        <f>G352</f>
        <v>602</v>
      </c>
      <c r="CI352" s="113">
        <f>K352</f>
        <v>613</v>
      </c>
      <c r="CJ352" s="114">
        <f>O352</f>
        <v>634</v>
      </c>
      <c r="CK352" s="114" t="str">
        <f>S352</f>
        <v>-</v>
      </c>
      <c r="CL352" s="114">
        <f>W352</f>
        <v>674</v>
      </c>
      <c r="CM352" s="114" t="str">
        <f>AA352</f>
        <v>-</v>
      </c>
      <c r="CN352" s="114">
        <f>AE352</f>
        <v>715</v>
      </c>
      <c r="CO352" s="114">
        <f>AI352</f>
        <v>735</v>
      </c>
      <c r="CP352" s="114">
        <f>AM352</f>
        <v>758</v>
      </c>
      <c r="CQ352" s="114">
        <f>AQ352</f>
        <v>794</v>
      </c>
      <c r="CR352" s="114">
        <f>AU352</f>
        <v>826</v>
      </c>
      <c r="CS352" s="114" t="str">
        <f>AY352</f>
        <v>-</v>
      </c>
      <c r="CT352" s="109">
        <f>M352-K352</f>
        <v>1</v>
      </c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  <c r="DP352" s="9"/>
      <c r="DQ352" s="9"/>
      <c r="DR352" s="9"/>
      <c r="DS352" s="9"/>
      <c r="DT352" s="9"/>
      <c r="DU352" s="9"/>
      <c r="DV352" s="9"/>
      <c r="DW352" s="9"/>
      <c r="DX352" s="9"/>
      <c r="DY352" s="9"/>
      <c r="DZ352" s="9"/>
      <c r="EA352" s="9"/>
      <c r="EB352" s="9"/>
      <c r="EC352" s="9"/>
      <c r="ED352" s="9"/>
      <c r="EE352" s="9"/>
      <c r="EF352" s="9"/>
      <c r="EG352" s="9"/>
      <c r="EH352" s="9"/>
      <c r="EI352" s="9"/>
      <c r="EJ352" s="9"/>
      <c r="EK352" s="9"/>
      <c r="EL352" s="9"/>
      <c r="EM352" s="9"/>
      <c r="EN352" s="9"/>
      <c r="EO352" s="9"/>
      <c r="EP352" s="9"/>
      <c r="EQ352" s="9"/>
      <c r="ER352" s="9"/>
      <c r="ES352" s="9"/>
      <c r="ET352" s="9"/>
      <c r="EU352" s="9"/>
      <c r="EV352" s="9"/>
      <c r="EW352" s="9"/>
      <c r="EX352" s="9"/>
      <c r="EY352" s="9"/>
      <c r="EZ352" s="9"/>
      <c r="FA352" s="9"/>
      <c r="FB352" s="9"/>
      <c r="FC352" s="9"/>
      <c r="FD352" s="9"/>
      <c r="FE352" s="9"/>
      <c r="FF352" s="9"/>
      <c r="FG352" s="9"/>
      <c r="FH352" s="9"/>
      <c r="FI352" s="9"/>
      <c r="FJ352" s="9"/>
      <c r="FK352" s="9"/>
      <c r="FL352" s="9"/>
      <c r="FM352" s="9"/>
      <c r="FN352" s="9"/>
      <c r="FO352" s="9"/>
      <c r="FP352" s="9"/>
      <c r="FQ352" s="9"/>
      <c r="FR352" s="9"/>
      <c r="FS352" s="9"/>
      <c r="FT352" s="9"/>
      <c r="FU352" s="9"/>
      <c r="FV352" s="9"/>
      <c r="FW352" s="9"/>
      <c r="FX352" s="9"/>
      <c r="FY352" s="9"/>
      <c r="FZ352" s="9"/>
      <c r="GA352" s="9"/>
      <c r="GB352" s="9"/>
      <c r="GC352" s="9"/>
      <c r="GD352" s="9"/>
      <c r="GE352" s="9"/>
      <c r="GF352" s="9"/>
      <c r="GG352" s="9"/>
      <c r="GH352" s="9"/>
      <c r="GI352" s="9"/>
      <c r="GJ352" s="9"/>
      <c r="GK352" s="9"/>
      <c r="GL352" s="9"/>
      <c r="GM352" s="9"/>
      <c r="GN352" s="9"/>
      <c r="GO352" s="9"/>
      <c r="GP352" s="9"/>
      <c r="GQ352" s="9"/>
      <c r="GR352" s="9"/>
      <c r="GS352" s="9"/>
      <c r="GT352" s="9"/>
      <c r="GU352" s="9"/>
      <c r="GV352" s="9"/>
      <c r="GW352" s="9"/>
      <c r="GX352" s="9"/>
      <c r="GY352" s="9"/>
      <c r="GZ352" s="9"/>
      <c r="HA352" s="9"/>
      <c r="HB352" s="9"/>
      <c r="HC352" s="9"/>
      <c r="HD352" s="9"/>
      <c r="HE352" s="9"/>
      <c r="HF352" s="9"/>
      <c r="HG352" s="9"/>
      <c r="HH352" s="9"/>
      <c r="HI352" s="9"/>
      <c r="HJ352" s="9"/>
      <c r="HK352" s="9"/>
      <c r="HL352" s="9"/>
      <c r="HM352" s="9"/>
      <c r="HN352" s="9"/>
      <c r="HO352" s="9"/>
      <c r="HP352" s="9"/>
      <c r="HQ352" s="9"/>
      <c r="HR352" s="9"/>
      <c r="HS352" s="9"/>
      <c r="HT352" s="9"/>
      <c r="HU352" s="9"/>
      <c r="HV352" s="9"/>
      <c r="HW352" s="9"/>
      <c r="HX352" s="9"/>
      <c r="HY352" s="9"/>
      <c r="HZ352" s="9"/>
      <c r="IA352" s="9"/>
      <c r="IB352" s="9"/>
      <c r="IC352" s="9"/>
      <c r="ID352" s="9"/>
      <c r="IE352" s="9"/>
      <c r="IF352" s="9"/>
      <c r="IG352" s="9"/>
      <c r="IH352" s="9"/>
      <c r="II352" s="9"/>
      <c r="IJ352" s="9"/>
      <c r="IK352" s="9"/>
      <c r="IL352" s="9"/>
      <c r="IM352" s="9"/>
      <c r="IN352" s="9"/>
      <c r="IO352" s="9"/>
      <c r="IP352" s="9"/>
      <c r="IQ352" s="9"/>
      <c r="IR352" s="9"/>
      <c r="IS352" s="9"/>
      <c r="IT352" s="9"/>
      <c r="IU352" s="9"/>
      <c r="IV352" s="9"/>
      <c r="IW352" s="9"/>
      <c r="IX352" s="9"/>
      <c r="IY352" s="9"/>
      <c r="IZ352" s="9"/>
      <c r="JA352" s="9"/>
      <c r="JB352" s="9"/>
      <c r="JC352" s="9"/>
      <c r="JD352" s="9"/>
      <c r="JE352" s="9"/>
      <c r="JF352" s="9"/>
      <c r="JG352" s="9"/>
      <c r="JH352" s="9"/>
      <c r="JI352" s="9"/>
      <c r="JJ352" s="9"/>
      <c r="JK352" s="9"/>
      <c r="JL352" s="9"/>
      <c r="JM352" s="9"/>
      <c r="JN352" s="9"/>
      <c r="JO352" s="9"/>
      <c r="JP352" s="9"/>
      <c r="JQ352" s="9"/>
      <c r="JR352" s="9"/>
      <c r="JS352" s="9"/>
      <c r="JT352" s="9"/>
      <c r="JU352" s="9"/>
      <c r="JV352" s="9"/>
      <c r="JW352" s="9"/>
      <c r="JX352" s="9"/>
      <c r="JY352" s="9"/>
      <c r="JZ352" s="9"/>
      <c r="KA352" s="9"/>
      <c r="KB352" s="9"/>
      <c r="KC352" s="9"/>
      <c r="KD352" s="9"/>
      <c r="KE352" s="9"/>
      <c r="KF352" s="9"/>
      <c r="KG352" s="9"/>
      <c r="KH352" s="9"/>
      <c r="KI352" s="9"/>
      <c r="KJ352" s="9"/>
      <c r="KK352" s="9"/>
      <c r="KL352" s="9"/>
      <c r="KM352" s="9"/>
      <c r="KN352" s="9"/>
      <c r="KO352" s="9"/>
      <c r="KP352" s="9"/>
      <c r="KQ352" s="9"/>
      <c r="KR352" s="9"/>
      <c r="KS352" s="9"/>
      <c r="KT352" s="9"/>
      <c r="KU352" s="9"/>
      <c r="KV352" s="9"/>
      <c r="KW352" s="9"/>
      <c r="KX352" s="9"/>
      <c r="KY352" s="9"/>
      <c r="KZ352" s="9"/>
      <c r="LA352" s="9"/>
      <c r="LB352" s="9"/>
      <c r="LC352" s="9"/>
      <c r="LD352" s="9"/>
      <c r="LE352" s="9"/>
      <c r="LF352" s="9"/>
      <c r="LG352" s="9"/>
      <c r="LH352" s="9"/>
      <c r="LI352" s="9"/>
      <c r="LJ352" s="9"/>
      <c r="LK352" s="9"/>
      <c r="LL352" s="9"/>
      <c r="LM352" s="9"/>
      <c r="LN352" s="9"/>
      <c r="LO352" s="9"/>
      <c r="LP352" s="9"/>
      <c r="LQ352" s="9"/>
      <c r="LR352" s="9"/>
      <c r="LS352" s="9"/>
      <c r="LT352" s="9"/>
      <c r="LU352" s="9"/>
      <c r="LV352" s="9"/>
      <c r="LW352" s="9"/>
      <c r="LX352" s="9"/>
      <c r="LY352" s="9"/>
      <c r="LZ352" s="9"/>
      <c r="MA352" s="9"/>
      <c r="MB352" s="9"/>
      <c r="MC352" s="9"/>
      <c r="MD352" s="9"/>
      <c r="ME352" s="9"/>
      <c r="MF352" s="9"/>
      <c r="MG352" s="9"/>
      <c r="MH352" s="9"/>
      <c r="MI352" s="9"/>
      <c r="MJ352" s="9"/>
      <c r="MK352" s="9"/>
      <c r="ML352" s="9"/>
      <c r="MM352" s="9"/>
      <c r="MN352" s="9"/>
      <c r="MO352" s="9"/>
      <c r="MP352" s="9"/>
      <c r="MQ352" s="9"/>
      <c r="MR352" s="9"/>
      <c r="MS352" s="9"/>
      <c r="MT352" s="9"/>
      <c r="MU352" s="9"/>
      <c r="MV352" s="9"/>
      <c r="MW352" s="9"/>
      <c r="MX352" s="9"/>
      <c r="MY352" s="9"/>
      <c r="MZ352" s="9"/>
      <c r="NA352" s="9"/>
      <c r="NB352" s="9"/>
      <c r="NC352" s="9"/>
      <c r="ND352" s="9"/>
      <c r="NE352" s="9"/>
      <c r="NF352" s="9"/>
      <c r="NG352" s="9"/>
      <c r="NH352" s="9"/>
      <c r="NI352" s="9"/>
      <c r="NJ352" s="9"/>
      <c r="NK352" s="9"/>
      <c r="NL352" s="9"/>
      <c r="NM352" s="9"/>
      <c r="NN352" s="9"/>
      <c r="NO352" s="9"/>
      <c r="NP352" s="9"/>
      <c r="NQ352" s="9"/>
      <c r="NR352" s="9"/>
      <c r="NS352" s="9"/>
      <c r="NT352" s="9"/>
      <c r="NU352" s="9"/>
      <c r="NV352" s="9"/>
      <c r="NW352" s="9"/>
      <c r="NX352" s="9"/>
      <c r="NY352" s="9"/>
      <c r="NZ352" s="9"/>
      <c r="OA352" s="9"/>
      <c r="OB352" s="9"/>
      <c r="OC352" s="9"/>
      <c r="OD352" s="9"/>
      <c r="OE352" s="9"/>
      <c r="OF352" s="9"/>
      <c r="OG352" s="9"/>
      <c r="OH352" s="9"/>
      <c r="OI352" s="9"/>
      <c r="OJ352" s="9"/>
      <c r="OK352" s="9"/>
      <c r="OL352" s="9"/>
      <c r="OM352" s="9"/>
      <c r="ON352" s="9"/>
      <c r="OO352" s="9"/>
      <c r="OP352" s="9"/>
      <c r="OQ352" s="9"/>
      <c r="OR352" s="9"/>
      <c r="OS352" s="9"/>
      <c r="OT352" s="9"/>
      <c r="OU352" s="9"/>
      <c r="OV352" s="9"/>
      <c r="OW352" s="9"/>
      <c r="OX352" s="9"/>
      <c r="OY352" s="9"/>
      <c r="OZ352" s="9"/>
      <c r="PA352" s="9"/>
      <c r="PB352" s="9"/>
      <c r="PC352" s="9"/>
      <c r="PD352" s="9"/>
      <c r="PE352" s="9"/>
      <c r="PF352" s="9"/>
      <c r="PG352" s="9"/>
      <c r="PH352" s="9"/>
      <c r="PI352" s="9"/>
      <c r="PJ352" s="9"/>
      <c r="PK352" s="9"/>
      <c r="PL352" s="9"/>
      <c r="PM352" s="9"/>
      <c r="PN352" s="9"/>
      <c r="PO352" s="9"/>
      <c r="PP352" s="9"/>
      <c r="PQ352" s="9"/>
      <c r="PR352" s="9"/>
      <c r="PS352" s="9"/>
      <c r="PT352" s="9"/>
      <c r="PU352" s="9"/>
      <c r="PV352" s="9"/>
      <c r="PW352" s="9"/>
      <c r="PX352" s="9"/>
      <c r="PY352" s="9"/>
      <c r="PZ352" s="9"/>
      <c r="QA352" s="9"/>
      <c r="QB352" s="9"/>
      <c r="QC352" s="9"/>
      <c r="QD352" s="9"/>
      <c r="QE352" s="9"/>
      <c r="QF352" s="9"/>
      <c r="QG352" s="9"/>
      <c r="QH352" s="9"/>
      <c r="QI352" s="9"/>
      <c r="QJ352" s="9"/>
      <c r="QK352" s="9"/>
      <c r="QL352" s="9"/>
      <c r="QM352" s="9"/>
      <c r="QN352" s="9"/>
      <c r="QO352" s="9"/>
      <c r="QP352" s="9"/>
      <c r="QQ352" s="9"/>
      <c r="QR352" s="9"/>
      <c r="QS352" s="9"/>
      <c r="QT352" s="9"/>
      <c r="QU352" s="9"/>
      <c r="QV352" s="9"/>
      <c r="QW352" s="9"/>
      <c r="QX352" s="9"/>
      <c r="QY352" s="9"/>
      <c r="QZ352" s="9"/>
      <c r="RA352" s="9"/>
      <c r="RB352" s="9"/>
      <c r="RC352" s="9"/>
      <c r="RD352" s="9"/>
      <c r="RE352" s="9"/>
      <c r="RF352" s="9"/>
      <c r="RG352" s="9"/>
      <c r="RH352" s="9"/>
      <c r="RI352" s="9"/>
      <c r="RJ352" s="9"/>
      <c r="RK352" s="9"/>
      <c r="RL352" s="9"/>
      <c r="RM352" s="9"/>
      <c r="RN352" s="9"/>
      <c r="RO352" s="9"/>
      <c r="RP352" s="9"/>
      <c r="RQ352" s="9"/>
      <c r="RR352" s="9"/>
      <c r="RS352" s="9"/>
      <c r="RT352" s="9"/>
      <c r="RU352" s="9"/>
      <c r="RV352" s="9"/>
      <c r="RW352" s="9"/>
      <c r="RX352" s="9"/>
      <c r="RY352" s="9"/>
      <c r="RZ352" s="9"/>
      <c r="SA352" s="9"/>
      <c r="SB352" s="9"/>
      <c r="SC352" s="9"/>
      <c r="SD352" s="9"/>
      <c r="SE352" s="9"/>
      <c r="SF352" s="9"/>
      <c r="SG352" s="9"/>
      <c r="SH352" s="9"/>
      <c r="SI352" s="9"/>
      <c r="SJ352" s="9"/>
      <c r="SK352" s="9"/>
      <c r="SL352" s="9"/>
      <c r="SM352" s="9"/>
      <c r="SN352" s="9"/>
      <c r="SO352" s="9"/>
      <c r="SP352" s="9"/>
      <c r="SQ352" s="9"/>
      <c r="SR352" s="9"/>
      <c r="SS352" s="9"/>
      <c r="ST352" s="9"/>
      <c r="SU352" s="9"/>
      <c r="SV352" s="9"/>
      <c r="SW352" s="9"/>
      <c r="SX352" s="9"/>
      <c r="SY352" s="9"/>
      <c r="SZ352" s="9"/>
      <c r="TA352" s="9"/>
      <c r="TB352" s="9"/>
      <c r="TC352" s="9"/>
      <c r="TD352" s="9"/>
      <c r="TE352" s="9"/>
      <c r="TF352" s="9"/>
      <c r="TG352" s="9"/>
      <c r="TH352" s="9"/>
      <c r="TI352" s="9"/>
      <c r="TJ352" s="9"/>
      <c r="TK352" s="9"/>
      <c r="TL352" s="9"/>
      <c r="TM352" s="9"/>
      <c r="TN352" s="9"/>
      <c r="TO352" s="9"/>
      <c r="TP352" s="9"/>
      <c r="TQ352" s="9"/>
      <c r="TR352" s="9"/>
      <c r="TS352" s="9"/>
      <c r="TT352" s="9"/>
      <c r="TU352" s="9"/>
      <c r="TV352" s="9"/>
      <c r="TW352" s="9"/>
      <c r="TX352" s="9"/>
      <c r="TY352" s="9"/>
      <c r="TZ352" s="9"/>
      <c r="UA352" s="9"/>
      <c r="UB352" s="9"/>
      <c r="UC352" s="9"/>
      <c r="UD352" s="9"/>
      <c r="UE352" s="9"/>
      <c r="UF352" s="9"/>
      <c r="UG352" s="9"/>
      <c r="UH352" s="9"/>
      <c r="UI352" s="9"/>
      <c r="UJ352" s="9"/>
      <c r="UK352" s="9"/>
      <c r="UL352" s="9"/>
      <c r="UM352" s="9"/>
      <c r="UN352" s="9"/>
      <c r="UO352" s="9"/>
      <c r="UP352" s="9"/>
      <c r="UQ352" s="9"/>
      <c r="UR352" s="9"/>
      <c r="US352" s="9"/>
      <c r="UT352" s="9"/>
      <c r="UU352" s="9"/>
      <c r="UV352" s="9"/>
      <c r="UW352" s="9"/>
      <c r="UX352" s="9"/>
      <c r="UY352" s="9"/>
      <c r="UZ352" s="9"/>
      <c r="VA352" s="9"/>
      <c r="VB352" s="9"/>
      <c r="VC352" s="9"/>
      <c r="VD352" s="9"/>
      <c r="VE352" s="9"/>
      <c r="VF352" s="9"/>
      <c r="VG352" s="9"/>
      <c r="VH352" s="9"/>
      <c r="VI352" s="9"/>
      <c r="VJ352" s="9"/>
      <c r="VK352" s="9"/>
      <c r="VL352" s="9"/>
      <c r="VM352" s="9"/>
      <c r="VN352" s="9"/>
      <c r="VO352" s="9"/>
      <c r="VP352" s="9"/>
      <c r="VQ352" s="9"/>
      <c r="VR352" s="9"/>
      <c r="VS352" s="9"/>
      <c r="VT352" s="9"/>
      <c r="VU352" s="9"/>
      <c r="VV352" s="9"/>
      <c r="VW352" s="9"/>
      <c r="VX352" s="9"/>
      <c r="VY352" s="9"/>
      <c r="VZ352" s="9"/>
      <c r="WA352" s="9"/>
      <c r="WB352" s="9"/>
      <c r="WC352" s="9"/>
      <c r="WD352" s="9"/>
      <c r="WE352" s="9"/>
      <c r="WF352" s="9"/>
      <c r="WG352" s="9"/>
      <c r="WH352" s="9"/>
      <c r="WI352" s="9"/>
      <c r="WJ352" s="9"/>
      <c r="WK352" s="9"/>
      <c r="WL352" s="9"/>
      <c r="WM352" s="9"/>
      <c r="WN352" s="9"/>
      <c r="WO352" s="9"/>
      <c r="WP352" s="9"/>
      <c r="WQ352" s="9"/>
      <c r="WR352" s="9"/>
      <c r="WS352" s="9"/>
      <c r="WT352" s="9"/>
      <c r="WU352" s="9"/>
      <c r="WV352" s="9"/>
      <c r="WW352" s="9"/>
      <c r="WX352" s="9"/>
      <c r="WY352" s="9"/>
      <c r="WZ352" s="9"/>
      <c r="XA352" s="9"/>
      <c r="XB352" s="9"/>
      <c r="XC352" s="9"/>
      <c r="XD352" s="9"/>
      <c r="XE352" s="9"/>
      <c r="XF352" s="9"/>
      <c r="XG352" s="9"/>
      <c r="XH352" s="9"/>
      <c r="XI352" s="9"/>
      <c r="XJ352" s="9"/>
      <c r="XK352" s="9"/>
      <c r="XL352" s="9"/>
      <c r="XM352" s="9"/>
      <c r="XN352" s="9"/>
      <c r="XO352" s="9"/>
      <c r="XP352" s="9"/>
      <c r="XQ352" s="9"/>
      <c r="XR352" s="9"/>
      <c r="XS352" s="9"/>
      <c r="XT352" s="9"/>
      <c r="XU352" s="9"/>
      <c r="XV352" s="9"/>
      <c r="XW352" s="9"/>
      <c r="XX352" s="9"/>
      <c r="XY352" s="9"/>
      <c r="XZ352" s="9"/>
      <c r="YA352" s="9"/>
      <c r="YB352" s="9"/>
      <c r="YC352" s="9"/>
      <c r="YD352" s="9"/>
      <c r="YE352" s="9"/>
      <c r="YF352" s="9"/>
      <c r="YG352" s="9"/>
      <c r="YH352" s="9"/>
      <c r="YI352" s="9"/>
      <c r="YJ352" s="9"/>
      <c r="YK352" s="9"/>
      <c r="YL352" s="9"/>
      <c r="YM352" s="9"/>
      <c r="YN352" s="9"/>
      <c r="YO352" s="9"/>
      <c r="YP352" s="9"/>
      <c r="YQ352" s="9"/>
      <c r="YR352" s="9"/>
      <c r="YS352" s="9"/>
      <c r="YT352" s="9"/>
      <c r="YU352" s="9"/>
      <c r="YV352" s="9"/>
      <c r="YW352" s="9"/>
      <c r="YX352" s="9"/>
      <c r="YY352" s="9"/>
      <c r="YZ352" s="9"/>
      <c r="ZA352" s="9"/>
      <c r="ZB352" s="9"/>
      <c r="ZC352" s="9"/>
      <c r="ZD352" s="9"/>
      <c r="ZE352" s="9"/>
      <c r="ZF352" s="9"/>
      <c r="ZG352" s="9"/>
      <c r="ZH352" s="9"/>
      <c r="ZI352" s="9"/>
      <c r="ZJ352" s="9"/>
      <c r="ZK352" s="9"/>
      <c r="ZL352" s="9"/>
      <c r="ZM352" s="9"/>
      <c r="ZN352" s="9"/>
      <c r="ZO352" s="9"/>
      <c r="ZP352" s="9"/>
      <c r="ZQ352" s="9"/>
      <c r="ZR352" s="9"/>
      <c r="ZS352" s="9"/>
      <c r="ZT352" s="9"/>
      <c r="ZU352" s="9"/>
      <c r="ZV352" s="9"/>
      <c r="ZW352" s="9"/>
      <c r="ZX352" s="9"/>
      <c r="ZY352" s="9"/>
      <c r="ZZ352" s="9"/>
      <c r="AAA352" s="9"/>
      <c r="AAB352" s="9"/>
      <c r="AAC352" s="9"/>
      <c r="AAD352" s="9"/>
      <c r="AAE352" s="9"/>
      <c r="AAF352" s="9"/>
      <c r="AAG352" s="9"/>
      <c r="AAH352" s="9"/>
      <c r="AAI352" s="9"/>
      <c r="AAJ352" s="9"/>
      <c r="AAK352" s="9"/>
      <c r="AAL352" s="9"/>
      <c r="AAM352" s="9"/>
      <c r="AAN352" s="9"/>
      <c r="AAO352" s="9"/>
      <c r="AAP352" s="9"/>
      <c r="AAQ352" s="9"/>
      <c r="AAR352" s="9"/>
      <c r="AAS352" s="9"/>
      <c r="AAT352" s="9"/>
      <c r="AAU352" s="9"/>
      <c r="AAV352" s="9"/>
      <c r="AAW352" s="9"/>
      <c r="AAX352" s="9"/>
      <c r="AAY352" s="9"/>
      <c r="AAZ352" s="9"/>
      <c r="ABA352" s="9"/>
      <c r="ABB352" s="9"/>
      <c r="ABC352" s="9"/>
      <c r="ABD352" s="9"/>
      <c r="ABE352" s="9"/>
      <c r="ABF352" s="9"/>
      <c r="ABG352" s="9"/>
      <c r="ABH352" s="9"/>
      <c r="ABI352" s="9"/>
      <c r="ABJ352" s="9"/>
      <c r="ABK352" s="9"/>
      <c r="ABL352" s="9"/>
      <c r="ABM352" s="9"/>
      <c r="ABN352" s="9"/>
      <c r="ABO352" s="9"/>
      <c r="ABP352" s="9"/>
      <c r="ABQ352" s="9"/>
      <c r="ABR352" s="9"/>
      <c r="ABS352" s="9"/>
      <c r="ABT352" s="9"/>
      <c r="ABU352" s="9"/>
      <c r="ABV352" s="9"/>
      <c r="ABW352" s="9"/>
      <c r="ABX352" s="9"/>
      <c r="ABY352" s="9"/>
      <c r="ABZ352" s="9"/>
      <c r="ACA352" s="9"/>
      <c r="ACB352" s="9"/>
      <c r="ACC352" s="9"/>
      <c r="ACD352" s="9"/>
      <c r="ACE352" s="9"/>
      <c r="ACF352" s="9"/>
      <c r="ACG352" s="9"/>
      <c r="ACH352" s="9"/>
      <c r="ACI352" s="9"/>
      <c r="ACJ352" s="9"/>
      <c r="ACK352" s="9"/>
      <c r="ACL352" s="9"/>
      <c r="ACM352" s="9"/>
      <c r="ACN352" s="9"/>
      <c r="ACO352" s="9"/>
      <c r="ACP352" s="9"/>
      <c r="ACQ352" s="9"/>
      <c r="ACR352" s="9"/>
      <c r="ACS352" s="9"/>
      <c r="ACT352" s="9"/>
      <c r="ACU352" s="9"/>
      <c r="ACV352" s="9"/>
      <c r="ACW352" s="9"/>
      <c r="ACX352" s="9"/>
      <c r="ACY352" s="9"/>
      <c r="ACZ352" s="9"/>
      <c r="ADA352" s="9"/>
      <c r="ADB352" s="9"/>
      <c r="ADC352" s="9"/>
      <c r="ADD352" s="9"/>
      <c r="ADE352" s="9"/>
      <c r="ADF352" s="9"/>
      <c r="ADG352" s="9"/>
      <c r="ADH352" s="9"/>
      <c r="ADI352" s="9"/>
      <c r="ADJ352" s="9"/>
      <c r="ADK352" s="9"/>
      <c r="ADL352" s="9"/>
      <c r="ADM352" s="9"/>
      <c r="ADN352" s="9"/>
      <c r="ADO352" s="9"/>
      <c r="ADP352" s="9"/>
      <c r="ADQ352" s="9"/>
      <c r="ADR352" s="9"/>
      <c r="ADS352" s="9"/>
      <c r="ADT352" s="9"/>
      <c r="ADU352" s="9"/>
      <c r="ADV352" s="9"/>
      <c r="ADW352" s="9"/>
      <c r="ADX352" s="9"/>
      <c r="ADY352" s="9"/>
      <c r="ADZ352" s="9"/>
      <c r="AEA352" s="9"/>
      <c r="AEB352" s="9"/>
      <c r="AEC352" s="9"/>
      <c r="AED352" s="9"/>
      <c r="AEE352" s="9"/>
      <c r="AEF352" s="9"/>
      <c r="AEG352" s="9"/>
      <c r="AEH352" s="9"/>
      <c r="AEI352" s="9"/>
      <c r="AEJ352" s="9"/>
      <c r="AEK352" s="9"/>
      <c r="AEL352" s="9"/>
      <c r="AEM352" s="9"/>
      <c r="AEN352" s="9"/>
      <c r="AEO352" s="9"/>
      <c r="AEP352" s="9"/>
      <c r="AEQ352" s="9"/>
      <c r="AER352" s="9"/>
      <c r="AES352" s="9"/>
      <c r="AET352" s="9"/>
      <c r="AEU352" s="9"/>
      <c r="AEV352" s="9"/>
      <c r="AEW352" s="9"/>
      <c r="AEX352" s="9"/>
      <c r="AEY352" s="9"/>
      <c r="AEZ352" s="9"/>
      <c r="AFA352" s="9"/>
      <c r="AFB352" s="9"/>
      <c r="AFC352" s="9"/>
      <c r="AFD352" s="9"/>
      <c r="AFE352" s="9"/>
      <c r="AFF352" s="9"/>
      <c r="AFG352" s="9"/>
      <c r="AFH352" s="9"/>
      <c r="AFI352" s="9"/>
      <c r="AFJ352" s="9"/>
      <c r="AFK352" s="9"/>
      <c r="AFL352" s="9"/>
      <c r="AFM352" s="9"/>
      <c r="AFN352" s="9"/>
      <c r="AFO352" s="9"/>
      <c r="AFP352" s="9"/>
      <c r="AFQ352" s="9"/>
      <c r="AFR352" s="9"/>
      <c r="AFS352" s="9"/>
      <c r="AFT352" s="9"/>
      <c r="AFU352" s="9"/>
      <c r="AFV352" s="9"/>
      <c r="AFW352" s="9"/>
      <c r="AFX352" s="9"/>
      <c r="AFY352" s="9"/>
      <c r="AFZ352" s="9"/>
      <c r="AGA352" s="9"/>
      <c r="AGB352" s="9"/>
      <c r="AGC352" s="9"/>
      <c r="AGD352" s="9"/>
      <c r="AGE352" s="9"/>
      <c r="AGF352" s="9"/>
      <c r="AGG352" s="9"/>
      <c r="AGH352" s="9"/>
      <c r="AGI352" s="9"/>
      <c r="AGJ352" s="9"/>
      <c r="AGK352" s="9"/>
      <c r="AGL352" s="9"/>
      <c r="AGM352" s="9"/>
      <c r="AGN352" s="9"/>
      <c r="AGO352" s="9"/>
      <c r="AGP352" s="9"/>
      <c r="AGQ352" s="9"/>
      <c r="AGR352" s="9"/>
      <c r="AGS352" s="9"/>
      <c r="AGT352" s="9"/>
      <c r="AGU352" s="9"/>
      <c r="AGV352" s="9"/>
      <c r="AGW352" s="9"/>
      <c r="AGX352" s="9"/>
      <c r="AGY352" s="9"/>
      <c r="AGZ352" s="9"/>
      <c r="AHA352" s="9"/>
      <c r="AHB352" s="9"/>
      <c r="AHC352" s="9"/>
      <c r="AHD352" s="9"/>
      <c r="AHE352" s="9"/>
      <c r="AHF352" s="9"/>
      <c r="AHG352" s="9"/>
      <c r="AHH352" s="9"/>
      <c r="AHI352" s="9"/>
      <c r="AHJ352" s="9"/>
      <c r="AHK352" s="9"/>
      <c r="AHL352" s="9"/>
      <c r="AHM352" s="9"/>
      <c r="AHN352" s="9"/>
      <c r="AHO352" s="9"/>
      <c r="AHP352" s="9"/>
      <c r="AHQ352" s="9"/>
      <c r="AHR352" s="9"/>
      <c r="AHS352" s="9"/>
      <c r="AHT352" s="9"/>
      <c r="AHU352" s="9"/>
      <c r="AHV352" s="9"/>
      <c r="AHW352" s="9"/>
      <c r="AHX352" s="9"/>
      <c r="AHY352" s="9"/>
      <c r="AHZ352" s="9"/>
      <c r="AIA352" s="9"/>
      <c r="AIB352" s="9"/>
      <c r="AIC352" s="9"/>
      <c r="AID352" s="9"/>
      <c r="AIE352" s="9"/>
      <c r="AIF352" s="9"/>
      <c r="AIG352" s="9"/>
      <c r="AIH352" s="9"/>
      <c r="AII352" s="9"/>
      <c r="AIJ352" s="9"/>
      <c r="AIK352" s="9"/>
      <c r="AIL352" s="9"/>
      <c r="AIM352" s="9"/>
      <c r="AIN352" s="9"/>
      <c r="AIO352" s="9"/>
      <c r="AIP352" s="9"/>
      <c r="AIQ352" s="9"/>
      <c r="AIR352" s="9"/>
      <c r="AIS352" s="9"/>
      <c r="AIT352" s="9"/>
      <c r="AIU352" s="9"/>
      <c r="AIV352" s="9"/>
      <c r="AIW352" s="9"/>
      <c r="AIX352" s="9"/>
      <c r="AIY352" s="9"/>
      <c r="AIZ352" s="9"/>
      <c r="AJA352" s="9"/>
      <c r="AJB352" s="9"/>
      <c r="AJC352" s="9"/>
      <c r="AJD352" s="9"/>
      <c r="AJE352" s="9"/>
      <c r="AJF352" s="9"/>
      <c r="AJG352" s="9"/>
      <c r="AJH352" s="9"/>
      <c r="AJI352" s="9"/>
      <c r="AJJ352" s="9"/>
      <c r="AJK352" s="9"/>
      <c r="AJL352" s="9"/>
      <c r="AJM352" s="9"/>
      <c r="AJN352" s="9"/>
      <c r="AJO352" s="9"/>
      <c r="AJP352" s="9"/>
      <c r="AJQ352" s="9"/>
      <c r="AJR352" s="9"/>
      <c r="AJS352" s="9"/>
      <c r="AJT352" s="9"/>
      <c r="AJU352" s="9"/>
      <c r="AJV352" s="9"/>
      <c r="AJW352" s="9"/>
      <c r="AJX352" s="9"/>
      <c r="AJY352" s="9"/>
      <c r="AJZ352" s="9"/>
      <c r="AKA352" s="9"/>
      <c r="AKB352" s="9"/>
      <c r="AKC352" s="9"/>
      <c r="AKD352" s="9"/>
      <c r="AKE352" s="9"/>
      <c r="AKF352" s="9"/>
      <c r="AKG352" s="9"/>
      <c r="AKH352" s="9"/>
      <c r="AKI352" s="9"/>
      <c r="AKJ352" s="9"/>
      <c r="AKK352" s="9"/>
      <c r="AKL352" s="9"/>
      <c r="AKM352" s="9"/>
      <c r="AKN352" s="9"/>
      <c r="AKO352" s="9"/>
      <c r="AKP352" s="9"/>
      <c r="AKQ352" s="9"/>
      <c r="AKR352" s="9"/>
      <c r="AKS352" s="9"/>
      <c r="AKT352" s="9"/>
      <c r="AKU352" s="9"/>
      <c r="AKV352" s="9"/>
      <c r="AKW352" s="9"/>
      <c r="AKX352" s="9"/>
      <c r="AKY352" s="9"/>
      <c r="AKZ352" s="9"/>
      <c r="ALA352" s="9"/>
      <c r="ALB352" s="9"/>
      <c r="ALC352" s="9"/>
      <c r="ALD352" s="9"/>
      <c r="ALE352" s="9"/>
      <c r="ALF352" s="9"/>
      <c r="ALG352" s="9"/>
      <c r="ALH352" s="9"/>
      <c r="ALI352" s="9"/>
      <c r="ALJ352" s="9"/>
      <c r="ALK352" s="9"/>
      <c r="ALL352" s="9"/>
      <c r="ALM352" s="9"/>
      <c r="ALN352" s="9"/>
      <c r="ALO352" s="9"/>
      <c r="ALP352" s="9"/>
      <c r="ALQ352" s="9"/>
      <c r="ALR352" s="9"/>
      <c r="ALS352" s="9"/>
      <c r="ALT352" s="9"/>
      <c r="ALU352" s="9"/>
      <c r="ALV352" s="9"/>
      <c r="ALW352" s="9"/>
      <c r="ALX352" s="9"/>
      <c r="ALY352" s="9"/>
      <c r="ALZ352" s="9"/>
      <c r="AMA352" s="9"/>
      <c r="AMB352" s="9"/>
      <c r="AMC352" s="9"/>
      <c r="AMD352" s="9"/>
      <c r="AME352" s="9"/>
      <c r="AMF352" s="9"/>
      <c r="AMG352" s="9"/>
      <c r="AMH352" s="9"/>
      <c r="AMI352" s="9"/>
      <c r="AMJ352" s="9"/>
      <c r="AMK352" s="9"/>
      <c r="AML352" s="9"/>
      <c r="AMM352" s="9"/>
      <c r="AMN352" s="9"/>
      <c r="AMO352" s="9"/>
      <c r="AMP352" s="9"/>
    </row>
    <row r="353" spans="1:1030" s="12" customFormat="1" x14ac:dyDescent="0.2">
      <c r="A353" s="9" t="str">
        <f>CONCATENATE(B353,"_",C353)</f>
        <v>grm5_human_6N52</v>
      </c>
      <c r="B353" s="9" t="s">
        <v>41</v>
      </c>
      <c r="C353" s="9" t="s">
        <v>1554</v>
      </c>
      <c r="D353" s="9" t="str">
        <f>IFERROR(MID(VLOOKUP($B353,Seqs!$A:$B,2,0),E353,1),"")</f>
        <v>P</v>
      </c>
      <c r="E353" s="9">
        <v>580</v>
      </c>
      <c r="F353" s="9" t="str">
        <f>IFERROR(MID(VLOOKUP($B353,Seqs!$A:$B,2,0),G353,1),"")</f>
        <v>T</v>
      </c>
      <c r="G353" s="9">
        <v>598</v>
      </c>
      <c r="H353" s="9" t="str">
        <f>IFERROR(MID(VLOOKUP($B353,Seqs!$A:$B,2,0),I353,1),"")</f>
        <v>T</v>
      </c>
      <c r="I353" s="109">
        <v>607</v>
      </c>
      <c r="J353" s="9" t="str">
        <f>IFERROR(MID(VLOOKUP($B353,Seqs!$A:$B,2,0),K353,1),"")</f>
        <v>S</v>
      </c>
      <c r="K353" s="109">
        <v>613</v>
      </c>
      <c r="L353" s="9" t="str">
        <f>IFERROR(MID(VLOOKUP($B353,Seqs!$A:$B,2,0),M353,1),"")</f>
        <v>S</v>
      </c>
      <c r="M353" s="9">
        <v>614</v>
      </c>
      <c r="N353" s="9" t="str">
        <f>IFERROR(MID(VLOOKUP($B353,Seqs!$A:$B,2,0),O353,1),"")</f>
        <v>I</v>
      </c>
      <c r="O353" s="9">
        <v>636</v>
      </c>
      <c r="P353" s="9" t="str">
        <f>IFERROR(MID(VLOOKUP($B353,Seqs!$A:$B,2,0),Q353,1),"")</f>
        <v/>
      </c>
      <c r="Q353" s="9" t="s">
        <v>23</v>
      </c>
      <c r="R353" s="9" t="str">
        <f>IFERROR(MID(VLOOKUP($B353,Seqs!$A:$B,2,0),S353,1),"")</f>
        <v/>
      </c>
      <c r="S353" s="9" t="s">
        <v>23</v>
      </c>
      <c r="T353" s="9" t="str">
        <f>IFERROR(MID(VLOOKUP($B353,Seqs!$A:$B,2,0),U353,1),"")</f>
        <v>K</v>
      </c>
      <c r="U353" s="9">
        <v>640</v>
      </c>
      <c r="V353" s="9" t="str">
        <f>IFERROR(MID(VLOOKUP($B353,Seqs!$A:$B,2,0),W353,1),"")</f>
        <v>I</v>
      </c>
      <c r="W353" s="9">
        <v>669</v>
      </c>
      <c r="X353" s="9" t="str">
        <f>IFERROR(MID(VLOOKUP($B353,Seqs!$A:$B,2,0),Y353,1),"")</f>
        <v/>
      </c>
      <c r="Y353" s="9" t="s">
        <v>23</v>
      </c>
      <c r="Z353" s="9" t="str">
        <f>IFERROR(MID(VLOOKUP($B353,Seqs!$A:$B,2,0),AA353,1),"")</f>
        <v/>
      </c>
      <c r="AA353" s="9" t="s">
        <v>23</v>
      </c>
      <c r="AB353" s="9" t="str">
        <f>IFERROR(MID(VLOOKUP($B353,Seqs!$A:$B,2,0),AC353,1),"")</f>
        <v>A</v>
      </c>
      <c r="AC353" s="9">
        <v>692</v>
      </c>
      <c r="AD353" s="9" t="str">
        <f>IFERROR(MID(VLOOKUP($B353,Seqs!$A:$B,2,0),AE353,1),"")</f>
        <v>E</v>
      </c>
      <c r="AE353" s="9">
        <v>715</v>
      </c>
      <c r="AF353" s="9" t="str">
        <f>IFERROR(MID(VLOOKUP($B353,Seqs!$A:$B,2,0),AG353,1),"")</f>
        <v>C</v>
      </c>
      <c r="AG353" s="9">
        <v>733</v>
      </c>
      <c r="AH353" s="9" t="str">
        <f>IFERROR(MID(VLOOKUP($B353,Seqs!$A:$B,2,0),AI353,1),"")</f>
        <v>T</v>
      </c>
      <c r="AI353" s="9">
        <v>735</v>
      </c>
      <c r="AJ353" s="9" t="str">
        <f>IFERROR(MID(VLOOKUP($B353,Seqs!$A:$B,2,0),AK353,1),"")</f>
        <v>T</v>
      </c>
      <c r="AK353" s="9">
        <v>736</v>
      </c>
      <c r="AL353" s="9" t="str">
        <f>IFERROR(MID(VLOOKUP($B353,Seqs!$A:$B,2,0),AM353,1),"")</f>
        <v>T</v>
      </c>
      <c r="AM353" s="9">
        <v>761</v>
      </c>
      <c r="AN353" s="9" t="str">
        <f>IFERROR(MID(VLOOKUP($B353,Seqs!$A:$B,2,0),AO353,1),"")</f>
        <v>E</v>
      </c>
      <c r="AO353" s="9">
        <v>770</v>
      </c>
      <c r="AP353" s="9" t="str">
        <f>IFERROR(MID(VLOOKUP($B353,Seqs!$A:$B,2,0),AQ353,1),"")</f>
        <v>F</v>
      </c>
      <c r="AQ353" s="9">
        <v>793</v>
      </c>
      <c r="AR353" s="9" t="str">
        <f>IFERROR(MID(VLOOKUP($B353,Seqs!$A:$B,2,0),AS353,1),"")</f>
        <v>I</v>
      </c>
      <c r="AS353" s="9">
        <v>799</v>
      </c>
      <c r="AT353" s="9" t="str">
        <f>IFERROR(MID(VLOOKUP($B353,Seqs!$A:$B,2,0),AU353,1),"")</f>
        <v>K</v>
      </c>
      <c r="AU353" s="9">
        <v>828</v>
      </c>
      <c r="AV353" s="9" t="str">
        <f>IFERROR(MID(VLOOKUP($B353,Seqs!$A:$B,2,0),AW353,1),"")</f>
        <v>P</v>
      </c>
      <c r="AW353" s="9">
        <v>829</v>
      </c>
      <c r="AX353" s="9" t="str">
        <f>IFERROR(MID(VLOOKUP($B353,Seqs!$A:$B,2,0),AY353,1),"")</f>
        <v>N</v>
      </c>
      <c r="AY353" s="9">
        <v>832</v>
      </c>
      <c r="AZ353" s="110" t="str">
        <f>VLOOKUP(B353,Classification!A:D,2,0)</f>
        <v>C</v>
      </c>
      <c r="BA353" s="98" t="str">
        <f>VLOOKUP(B353,Classification!A:D,4,0)</f>
        <v>Metabotropicglutamate</v>
      </c>
      <c r="BB353" s="36" t="b">
        <f>AND(E353&lt;G353,OR(G353&lt;I353,I353="-"),OR(I353&lt;K353,I353="-"),OR(K353&lt;M353,K353="-"),M353&lt;O353,OR(O353&lt;Q353,Q353="-"),OR(Q353&lt;S353,Q353="-"),OR(S353&lt;U353,S353="-"),U353&lt;W353,OR(W353&lt;Y353,Y353="-"),OR(Y353&lt;AA353,Y353="-"),OR(AA353&lt;AC353,AA353="-"),AC353&lt;AE353,OR(AE353&lt;AG353,AG353="-"),OR(AG353&lt;AI353,AG353="-"),OR(AI353&lt;AK353,AI353="-"),AK353&lt;AM353,AM353&lt;AO353,AO353&lt;AQ353,AQ353&lt;AS353,AS353&lt;AU353,OR(AU353&lt;AW353,AW353="-"),OR(AW353&lt;AY353,AW353="-"))</f>
        <v>1</v>
      </c>
      <c r="BC353" s="109">
        <f>_xlfn.AGGREGATE(9,6,CH353:CS353)-_xlfn.AGGREGATE(9,6,BV353:CG353)+12</f>
        <v>192</v>
      </c>
      <c r="BD353" s="11" t="s">
        <v>23</v>
      </c>
      <c r="BE353" s="9" t="s">
        <v>1375</v>
      </c>
      <c r="BF353" s="120">
        <v>4</v>
      </c>
      <c r="BG353" s="51" t="s">
        <v>1</v>
      </c>
      <c r="BH353" s="51" t="s">
        <v>1</v>
      </c>
      <c r="BI353" s="9"/>
      <c r="BJ353" s="111" t="s">
        <v>1288</v>
      </c>
      <c r="BK353" s="112" t="s">
        <v>1288</v>
      </c>
      <c r="BL353" s="112" t="s">
        <v>1288</v>
      </c>
      <c r="BM353" s="112" t="s">
        <v>1288</v>
      </c>
      <c r="BN353" s="112" t="s">
        <v>1288</v>
      </c>
      <c r="BO353" s="112" t="s">
        <v>1288</v>
      </c>
      <c r="BP353" s="112" t="s">
        <v>1288</v>
      </c>
      <c r="BQ353" s="112" t="s">
        <v>1288</v>
      </c>
      <c r="BR353" s="112" t="s">
        <v>1288</v>
      </c>
      <c r="BS353" s="112" t="s">
        <v>1288</v>
      </c>
      <c r="BT353" s="112" t="s">
        <v>1288</v>
      </c>
      <c r="BU353" s="112" t="s">
        <v>1288</v>
      </c>
      <c r="BV353" s="111">
        <f>E353</f>
        <v>580</v>
      </c>
      <c r="BW353" s="113">
        <f>I353</f>
        <v>607</v>
      </c>
      <c r="BX353" s="114">
        <f>M353</f>
        <v>614</v>
      </c>
      <c r="BY353" s="113" t="str">
        <f>Q353</f>
        <v>-</v>
      </c>
      <c r="BZ353" s="114">
        <f>U353</f>
        <v>640</v>
      </c>
      <c r="CA353" s="113" t="str">
        <f>Y353</f>
        <v>-</v>
      </c>
      <c r="CB353" s="114">
        <f>AC353</f>
        <v>692</v>
      </c>
      <c r="CC353" s="113">
        <f>AG353</f>
        <v>733</v>
      </c>
      <c r="CD353" s="114">
        <f>AK353</f>
        <v>736</v>
      </c>
      <c r="CE353" s="113">
        <f>AO353</f>
        <v>770</v>
      </c>
      <c r="CF353" s="114">
        <f>AS353</f>
        <v>799</v>
      </c>
      <c r="CG353" s="113">
        <f>AW353</f>
        <v>829</v>
      </c>
      <c r="CH353" s="111">
        <f>G353</f>
        <v>598</v>
      </c>
      <c r="CI353" s="113">
        <f>K353</f>
        <v>613</v>
      </c>
      <c r="CJ353" s="114">
        <f>O353</f>
        <v>636</v>
      </c>
      <c r="CK353" s="114" t="str">
        <f>S353</f>
        <v>-</v>
      </c>
      <c r="CL353" s="114">
        <f>W353</f>
        <v>669</v>
      </c>
      <c r="CM353" s="114" t="str">
        <f>AA353</f>
        <v>-</v>
      </c>
      <c r="CN353" s="114">
        <f>AE353</f>
        <v>715</v>
      </c>
      <c r="CO353" s="114">
        <f>AI353</f>
        <v>735</v>
      </c>
      <c r="CP353" s="114">
        <f>AM353</f>
        <v>761</v>
      </c>
      <c r="CQ353" s="114">
        <f>AQ353</f>
        <v>793</v>
      </c>
      <c r="CR353" s="114">
        <f>AU353</f>
        <v>828</v>
      </c>
      <c r="CS353" s="114">
        <f>AY353</f>
        <v>832</v>
      </c>
      <c r="CT353" s="109">
        <f>M353-K353</f>
        <v>1</v>
      </c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9"/>
      <c r="DU353" s="9"/>
      <c r="DV353" s="9"/>
      <c r="DW353" s="9"/>
      <c r="DX353" s="9"/>
      <c r="DY353" s="9"/>
      <c r="DZ353" s="9"/>
      <c r="EA353" s="9"/>
      <c r="EB353" s="9"/>
      <c r="EC353" s="9"/>
      <c r="ED353" s="9"/>
      <c r="EE353" s="9"/>
      <c r="EF353" s="9"/>
      <c r="EG353" s="9"/>
      <c r="EH353" s="9"/>
      <c r="EI353" s="9"/>
      <c r="EJ353" s="9"/>
      <c r="EK353" s="9"/>
      <c r="EL353" s="9"/>
      <c r="EM353" s="9"/>
      <c r="EN353" s="9"/>
      <c r="EO353" s="9"/>
      <c r="EP353" s="9"/>
      <c r="EQ353" s="9"/>
      <c r="ER353" s="9"/>
      <c r="ES353" s="9"/>
      <c r="ET353" s="9"/>
      <c r="EU353" s="9"/>
      <c r="EV353" s="9"/>
      <c r="EW353" s="9"/>
      <c r="EX353" s="9"/>
      <c r="EY353" s="9"/>
      <c r="EZ353" s="9"/>
      <c r="FA353" s="9"/>
      <c r="FB353" s="9"/>
      <c r="FC353" s="9"/>
      <c r="FD353" s="9"/>
      <c r="FE353" s="9"/>
      <c r="FF353" s="9"/>
      <c r="FG353" s="9"/>
      <c r="FH353" s="9"/>
      <c r="FI353" s="9"/>
      <c r="FJ353" s="9"/>
      <c r="FK353" s="9"/>
      <c r="FL353" s="9"/>
      <c r="FM353" s="9"/>
      <c r="FN353" s="9"/>
      <c r="FO353" s="9"/>
      <c r="FP353" s="9"/>
      <c r="FQ353" s="9"/>
      <c r="FR353" s="9"/>
      <c r="FS353" s="9"/>
      <c r="FT353" s="9"/>
      <c r="FU353" s="9"/>
      <c r="FV353" s="9"/>
      <c r="FW353" s="9"/>
      <c r="FX353" s="9"/>
      <c r="FY353" s="9"/>
      <c r="FZ353" s="9"/>
      <c r="GA353" s="9"/>
      <c r="GB353" s="9"/>
      <c r="GC353" s="9"/>
      <c r="GD353" s="9"/>
      <c r="GE353" s="9"/>
      <c r="GF353" s="9"/>
      <c r="GG353" s="9"/>
      <c r="GH353" s="9"/>
      <c r="GI353" s="9"/>
      <c r="GJ353" s="9"/>
      <c r="GK353" s="9"/>
      <c r="GL353" s="9"/>
      <c r="GM353" s="9"/>
      <c r="GN353" s="9"/>
      <c r="GO353" s="9"/>
      <c r="GP353" s="9"/>
      <c r="GQ353" s="9"/>
      <c r="GR353" s="9"/>
      <c r="GS353" s="9"/>
      <c r="GT353" s="9"/>
      <c r="GU353" s="9"/>
      <c r="GV353" s="9"/>
      <c r="GW353" s="9"/>
      <c r="GX353" s="9"/>
      <c r="GY353" s="9"/>
      <c r="GZ353" s="9"/>
      <c r="HA353" s="9"/>
      <c r="HB353" s="9"/>
      <c r="HC353" s="9"/>
      <c r="HD353" s="9"/>
      <c r="HE353" s="9"/>
      <c r="HF353" s="9"/>
      <c r="HG353" s="9"/>
      <c r="HH353" s="9"/>
      <c r="HI353" s="9"/>
      <c r="HJ353" s="9"/>
      <c r="HK353" s="9"/>
      <c r="HL353" s="9"/>
      <c r="HM353" s="9"/>
      <c r="HN353" s="9"/>
      <c r="HO353" s="9"/>
      <c r="HP353" s="9"/>
      <c r="HQ353" s="9"/>
      <c r="HR353" s="9"/>
      <c r="HS353" s="9"/>
      <c r="HT353" s="9"/>
      <c r="HU353" s="9"/>
      <c r="HV353" s="9"/>
      <c r="HW353" s="9"/>
      <c r="HX353" s="9"/>
      <c r="HY353" s="9"/>
      <c r="HZ353" s="9"/>
      <c r="IA353" s="9"/>
      <c r="IB353" s="9"/>
      <c r="IC353" s="9"/>
      <c r="ID353" s="9"/>
      <c r="IE353" s="9"/>
      <c r="IF353" s="9"/>
      <c r="IG353" s="9"/>
      <c r="IH353" s="9"/>
      <c r="II353" s="9"/>
      <c r="IJ353" s="9"/>
      <c r="IK353" s="9"/>
      <c r="IL353" s="9"/>
      <c r="IM353" s="9"/>
      <c r="IN353" s="9"/>
      <c r="IO353" s="9"/>
      <c r="IP353" s="9"/>
      <c r="IQ353" s="9"/>
      <c r="IR353" s="9"/>
      <c r="IS353" s="9"/>
      <c r="IT353" s="9"/>
      <c r="IU353" s="9"/>
      <c r="IV353" s="9"/>
      <c r="IW353" s="9"/>
      <c r="IX353" s="9"/>
      <c r="IY353" s="9"/>
      <c r="IZ353" s="9"/>
      <c r="JA353" s="9"/>
      <c r="JB353" s="9"/>
      <c r="JC353" s="9"/>
      <c r="JD353" s="9"/>
      <c r="JE353" s="9"/>
      <c r="JF353" s="9"/>
      <c r="JG353" s="9"/>
      <c r="JH353" s="9"/>
      <c r="JI353" s="9"/>
      <c r="JJ353" s="9"/>
      <c r="JK353" s="9"/>
      <c r="JL353" s="9"/>
      <c r="JM353" s="9"/>
      <c r="JN353" s="9"/>
      <c r="JO353" s="9"/>
      <c r="JP353" s="9"/>
      <c r="JQ353" s="9"/>
      <c r="JR353" s="9"/>
      <c r="JS353" s="9"/>
      <c r="JT353" s="9"/>
      <c r="JU353" s="9"/>
      <c r="JV353" s="9"/>
      <c r="JW353" s="9"/>
      <c r="JX353" s="9"/>
      <c r="JY353" s="9"/>
      <c r="JZ353" s="9"/>
      <c r="KA353" s="9"/>
      <c r="KB353" s="9"/>
      <c r="KC353" s="9"/>
      <c r="KD353" s="9"/>
      <c r="KE353" s="9"/>
      <c r="KF353" s="9"/>
      <c r="KG353" s="9"/>
      <c r="KH353" s="9"/>
      <c r="KI353" s="9"/>
      <c r="KJ353" s="9"/>
      <c r="KK353" s="9"/>
      <c r="KL353" s="9"/>
      <c r="KM353" s="9"/>
      <c r="KN353" s="9"/>
      <c r="KO353" s="9"/>
      <c r="KP353" s="9"/>
      <c r="KQ353" s="9"/>
      <c r="KR353" s="9"/>
      <c r="KS353" s="9"/>
      <c r="KT353" s="9"/>
      <c r="KU353" s="9"/>
      <c r="KV353" s="9"/>
      <c r="KW353" s="9"/>
      <c r="KX353" s="9"/>
      <c r="KY353" s="9"/>
      <c r="KZ353" s="9"/>
      <c r="LA353" s="9"/>
      <c r="LB353" s="9"/>
      <c r="LC353" s="9"/>
      <c r="LD353" s="9"/>
      <c r="LE353" s="9"/>
      <c r="LF353" s="9"/>
      <c r="LG353" s="9"/>
      <c r="LH353" s="9"/>
      <c r="LI353" s="9"/>
      <c r="LJ353" s="9"/>
      <c r="LK353" s="9"/>
      <c r="LL353" s="9"/>
      <c r="LM353" s="9"/>
      <c r="LN353" s="9"/>
      <c r="LO353" s="9"/>
      <c r="LP353" s="9"/>
      <c r="LQ353" s="9"/>
      <c r="LR353" s="9"/>
      <c r="LS353" s="9"/>
      <c r="LT353" s="9"/>
      <c r="LU353" s="9"/>
      <c r="LV353" s="9"/>
      <c r="LW353" s="9"/>
      <c r="LX353" s="9"/>
      <c r="LY353" s="9"/>
      <c r="LZ353" s="9"/>
      <c r="MA353" s="9"/>
      <c r="MB353" s="9"/>
      <c r="MC353" s="9"/>
      <c r="MD353" s="9"/>
      <c r="ME353" s="9"/>
      <c r="MF353" s="9"/>
      <c r="MG353" s="9"/>
      <c r="MH353" s="9"/>
      <c r="MI353" s="9"/>
      <c r="MJ353" s="9"/>
      <c r="MK353" s="9"/>
      <c r="ML353" s="9"/>
      <c r="MM353" s="9"/>
      <c r="MN353" s="9"/>
      <c r="MO353" s="9"/>
      <c r="MP353" s="9"/>
      <c r="MQ353" s="9"/>
      <c r="MR353" s="9"/>
      <c r="MS353" s="9"/>
      <c r="MT353" s="9"/>
      <c r="MU353" s="9"/>
      <c r="MV353" s="9"/>
      <c r="MW353" s="9"/>
      <c r="MX353" s="9"/>
      <c r="MY353" s="9"/>
      <c r="MZ353" s="9"/>
      <c r="NA353" s="9"/>
      <c r="NB353" s="9"/>
      <c r="NC353" s="9"/>
      <c r="ND353" s="9"/>
      <c r="NE353" s="9"/>
      <c r="NF353" s="9"/>
      <c r="NG353" s="9"/>
      <c r="NH353" s="9"/>
      <c r="NI353" s="9"/>
      <c r="NJ353" s="9"/>
      <c r="NK353" s="9"/>
      <c r="NL353" s="9"/>
      <c r="NM353" s="9"/>
      <c r="NN353" s="9"/>
      <c r="NO353" s="9"/>
      <c r="NP353" s="9"/>
      <c r="NQ353" s="9"/>
      <c r="NR353" s="9"/>
      <c r="NS353" s="9"/>
      <c r="NT353" s="9"/>
      <c r="NU353" s="9"/>
      <c r="NV353" s="9"/>
      <c r="NW353" s="9"/>
      <c r="NX353" s="9"/>
      <c r="NY353" s="9"/>
      <c r="NZ353" s="9"/>
      <c r="OA353" s="9"/>
      <c r="OB353" s="9"/>
      <c r="OC353" s="9"/>
      <c r="OD353" s="9"/>
      <c r="OE353" s="9"/>
      <c r="OF353" s="9"/>
      <c r="OG353" s="9"/>
      <c r="OH353" s="9"/>
      <c r="OI353" s="9"/>
      <c r="OJ353" s="9"/>
      <c r="OK353" s="9"/>
      <c r="OL353" s="9"/>
      <c r="OM353" s="9"/>
      <c r="ON353" s="9"/>
      <c r="OO353" s="9"/>
      <c r="OP353" s="9"/>
      <c r="OQ353" s="9"/>
      <c r="OR353" s="9"/>
      <c r="OS353" s="9"/>
      <c r="OT353" s="9"/>
      <c r="OU353" s="9"/>
      <c r="OV353" s="9"/>
      <c r="OW353" s="9"/>
      <c r="OX353" s="9"/>
      <c r="OY353" s="9"/>
      <c r="OZ353" s="9"/>
      <c r="PA353" s="9"/>
      <c r="PB353" s="9"/>
      <c r="PC353" s="9"/>
      <c r="PD353" s="9"/>
      <c r="PE353" s="9"/>
      <c r="PF353" s="9"/>
      <c r="PG353" s="9"/>
      <c r="PH353" s="9"/>
      <c r="PI353" s="9"/>
      <c r="PJ353" s="9"/>
      <c r="PK353" s="9"/>
      <c r="PL353" s="9"/>
      <c r="PM353" s="9"/>
      <c r="PN353" s="9"/>
      <c r="PO353" s="9"/>
      <c r="PP353" s="9"/>
      <c r="PQ353" s="9"/>
      <c r="PR353" s="9"/>
      <c r="PS353" s="9"/>
      <c r="PT353" s="9"/>
      <c r="PU353" s="9"/>
      <c r="PV353" s="9"/>
      <c r="PW353" s="9"/>
      <c r="PX353" s="9"/>
      <c r="PY353" s="9"/>
      <c r="PZ353" s="9"/>
      <c r="QA353" s="9"/>
      <c r="QB353" s="9"/>
      <c r="QC353" s="9"/>
      <c r="QD353" s="9"/>
      <c r="QE353" s="9"/>
      <c r="QF353" s="9"/>
      <c r="QG353" s="9"/>
      <c r="QH353" s="9"/>
      <c r="QI353" s="9"/>
      <c r="QJ353" s="9"/>
      <c r="QK353" s="9"/>
      <c r="QL353" s="9"/>
      <c r="QM353" s="9"/>
      <c r="QN353" s="9"/>
      <c r="QO353" s="9"/>
      <c r="QP353" s="9"/>
      <c r="QQ353" s="9"/>
      <c r="QR353" s="9"/>
      <c r="QS353" s="9"/>
      <c r="QT353" s="9"/>
      <c r="QU353" s="9"/>
      <c r="QV353" s="9"/>
      <c r="QW353" s="9"/>
      <c r="QX353" s="9"/>
      <c r="QY353" s="9"/>
      <c r="QZ353" s="9"/>
      <c r="RA353" s="9"/>
      <c r="RB353" s="9"/>
      <c r="RC353" s="9"/>
      <c r="RD353" s="9"/>
      <c r="RE353" s="9"/>
      <c r="RF353" s="9"/>
      <c r="RG353" s="9"/>
      <c r="RH353" s="9"/>
      <c r="RI353" s="9"/>
      <c r="RJ353" s="9"/>
      <c r="RK353" s="9"/>
      <c r="RL353" s="9"/>
      <c r="RM353" s="9"/>
      <c r="RN353" s="9"/>
      <c r="RO353" s="9"/>
      <c r="RP353" s="9"/>
      <c r="RQ353" s="9"/>
      <c r="RR353" s="9"/>
      <c r="RS353" s="9"/>
      <c r="RT353" s="9"/>
      <c r="RU353" s="9"/>
      <c r="RV353" s="9"/>
      <c r="RW353" s="9"/>
      <c r="RX353" s="9"/>
      <c r="RY353" s="9"/>
      <c r="RZ353" s="9"/>
      <c r="SA353" s="9"/>
      <c r="SB353" s="9"/>
      <c r="SC353" s="9"/>
      <c r="SD353" s="9"/>
      <c r="SE353" s="9"/>
      <c r="SF353" s="9"/>
      <c r="SG353" s="9"/>
      <c r="SH353" s="9"/>
      <c r="SI353" s="9"/>
      <c r="SJ353" s="9"/>
      <c r="SK353" s="9"/>
      <c r="SL353" s="9"/>
      <c r="SM353" s="9"/>
      <c r="SN353" s="9"/>
      <c r="SO353" s="9"/>
      <c r="SP353" s="9"/>
      <c r="SQ353" s="9"/>
      <c r="SR353" s="9"/>
      <c r="SS353" s="9"/>
      <c r="ST353" s="9"/>
      <c r="SU353" s="9"/>
      <c r="SV353" s="9"/>
      <c r="SW353" s="9"/>
      <c r="SX353" s="9"/>
      <c r="SY353" s="9"/>
      <c r="SZ353" s="9"/>
      <c r="TA353" s="9"/>
      <c r="TB353" s="9"/>
      <c r="TC353" s="9"/>
      <c r="TD353" s="9"/>
      <c r="TE353" s="9"/>
      <c r="TF353" s="9"/>
      <c r="TG353" s="9"/>
      <c r="TH353" s="9"/>
      <c r="TI353" s="9"/>
      <c r="TJ353" s="9"/>
      <c r="TK353" s="9"/>
      <c r="TL353" s="9"/>
      <c r="TM353" s="9"/>
      <c r="TN353" s="9"/>
      <c r="TO353" s="9"/>
      <c r="TP353" s="9"/>
      <c r="TQ353" s="9"/>
      <c r="TR353" s="9"/>
      <c r="TS353" s="9"/>
      <c r="TT353" s="9"/>
      <c r="TU353" s="9"/>
      <c r="TV353" s="9"/>
      <c r="TW353" s="9"/>
      <c r="TX353" s="9"/>
      <c r="TY353" s="9"/>
      <c r="TZ353" s="9"/>
      <c r="UA353" s="9"/>
      <c r="UB353" s="9"/>
      <c r="UC353" s="9"/>
      <c r="UD353" s="9"/>
      <c r="UE353" s="9"/>
      <c r="UF353" s="9"/>
      <c r="UG353" s="9"/>
      <c r="UH353" s="9"/>
      <c r="UI353" s="9"/>
      <c r="UJ353" s="9"/>
      <c r="UK353" s="9"/>
      <c r="UL353" s="9"/>
      <c r="UM353" s="9"/>
      <c r="UN353" s="9"/>
      <c r="UO353" s="9"/>
      <c r="UP353" s="9"/>
      <c r="UQ353" s="9"/>
      <c r="UR353" s="9"/>
      <c r="US353" s="9"/>
      <c r="UT353" s="9"/>
      <c r="UU353" s="9"/>
      <c r="UV353" s="9"/>
      <c r="UW353" s="9"/>
      <c r="UX353" s="9"/>
      <c r="UY353" s="9"/>
      <c r="UZ353" s="9"/>
      <c r="VA353" s="9"/>
      <c r="VB353" s="9"/>
      <c r="VC353" s="9"/>
      <c r="VD353" s="9"/>
      <c r="VE353" s="9"/>
      <c r="VF353" s="9"/>
      <c r="VG353" s="9"/>
      <c r="VH353" s="9"/>
      <c r="VI353" s="9"/>
      <c r="VJ353" s="9"/>
      <c r="VK353" s="9"/>
      <c r="VL353" s="9"/>
      <c r="VM353" s="9"/>
      <c r="VN353" s="9"/>
      <c r="VO353" s="9"/>
      <c r="VP353" s="9"/>
      <c r="VQ353" s="9"/>
      <c r="VR353" s="9"/>
      <c r="VS353" s="9"/>
      <c r="VT353" s="9"/>
      <c r="VU353" s="9"/>
      <c r="VV353" s="9"/>
      <c r="VW353" s="9"/>
      <c r="VX353" s="9"/>
      <c r="VY353" s="9"/>
      <c r="VZ353" s="9"/>
      <c r="WA353" s="9"/>
      <c r="WB353" s="9"/>
      <c r="WC353" s="9"/>
      <c r="WD353" s="9"/>
      <c r="WE353" s="9"/>
      <c r="WF353" s="9"/>
      <c r="WG353" s="9"/>
      <c r="WH353" s="9"/>
      <c r="WI353" s="9"/>
      <c r="WJ353" s="9"/>
      <c r="WK353" s="9"/>
      <c r="WL353" s="9"/>
      <c r="WM353" s="9"/>
      <c r="WN353" s="9"/>
      <c r="WO353" s="9"/>
      <c r="WP353" s="9"/>
      <c r="WQ353" s="9"/>
      <c r="WR353" s="9"/>
      <c r="WS353" s="9"/>
      <c r="WT353" s="9"/>
      <c r="WU353" s="9"/>
      <c r="WV353" s="9"/>
      <c r="WW353" s="9"/>
      <c r="WX353" s="9"/>
      <c r="WY353" s="9"/>
      <c r="WZ353" s="9"/>
      <c r="XA353" s="9"/>
      <c r="XB353" s="9"/>
      <c r="XC353" s="9"/>
      <c r="XD353" s="9"/>
      <c r="XE353" s="9"/>
      <c r="XF353" s="9"/>
      <c r="XG353" s="9"/>
      <c r="XH353" s="9"/>
      <c r="XI353" s="9"/>
      <c r="XJ353" s="9"/>
      <c r="XK353" s="9"/>
      <c r="XL353" s="9"/>
      <c r="XM353" s="9"/>
      <c r="XN353" s="9"/>
      <c r="XO353" s="9"/>
      <c r="XP353" s="9"/>
      <c r="XQ353" s="9"/>
      <c r="XR353" s="9"/>
      <c r="XS353" s="9"/>
      <c r="XT353" s="9"/>
      <c r="XU353" s="9"/>
      <c r="XV353" s="9"/>
      <c r="XW353" s="9"/>
      <c r="XX353" s="9"/>
      <c r="XY353" s="9"/>
      <c r="XZ353" s="9"/>
      <c r="YA353" s="9"/>
      <c r="YB353" s="9"/>
      <c r="YC353" s="9"/>
      <c r="YD353" s="9"/>
      <c r="YE353" s="9"/>
      <c r="YF353" s="9"/>
      <c r="YG353" s="9"/>
      <c r="YH353" s="9"/>
      <c r="YI353" s="9"/>
      <c r="YJ353" s="9"/>
      <c r="YK353" s="9"/>
      <c r="YL353" s="9"/>
      <c r="YM353" s="9"/>
      <c r="YN353" s="9"/>
      <c r="YO353" s="9"/>
      <c r="YP353" s="9"/>
      <c r="YQ353" s="9"/>
      <c r="YR353" s="9"/>
      <c r="YS353" s="9"/>
      <c r="YT353" s="9"/>
      <c r="YU353" s="9"/>
      <c r="YV353" s="9"/>
      <c r="YW353" s="9"/>
      <c r="YX353" s="9"/>
      <c r="YY353" s="9"/>
      <c r="YZ353" s="9"/>
      <c r="ZA353" s="9"/>
      <c r="ZB353" s="9"/>
      <c r="ZC353" s="9"/>
      <c r="ZD353" s="9"/>
      <c r="ZE353" s="9"/>
      <c r="ZF353" s="9"/>
      <c r="ZG353" s="9"/>
      <c r="ZH353" s="9"/>
      <c r="ZI353" s="9"/>
      <c r="ZJ353" s="9"/>
      <c r="ZK353" s="9"/>
      <c r="ZL353" s="9"/>
      <c r="ZM353" s="9"/>
      <c r="ZN353" s="9"/>
      <c r="ZO353" s="9"/>
      <c r="ZP353" s="9"/>
      <c r="ZQ353" s="9"/>
      <c r="ZR353" s="9"/>
      <c r="ZS353" s="9"/>
      <c r="ZT353" s="9"/>
      <c r="ZU353" s="9"/>
      <c r="ZV353" s="9"/>
      <c r="ZW353" s="9"/>
      <c r="ZX353" s="9"/>
      <c r="ZY353" s="9"/>
      <c r="ZZ353" s="9"/>
      <c r="AAA353" s="9"/>
      <c r="AAB353" s="9"/>
      <c r="AAC353" s="9"/>
      <c r="AAD353" s="9"/>
      <c r="AAE353" s="9"/>
      <c r="AAF353" s="9"/>
      <c r="AAG353" s="9"/>
      <c r="AAH353" s="9"/>
      <c r="AAI353" s="9"/>
      <c r="AAJ353" s="9"/>
      <c r="AAK353" s="9"/>
      <c r="AAL353" s="9"/>
      <c r="AAM353" s="9"/>
      <c r="AAN353" s="9"/>
      <c r="AAO353" s="9"/>
      <c r="AAP353" s="9"/>
      <c r="AAQ353" s="9"/>
      <c r="AAR353" s="9"/>
      <c r="AAS353" s="9"/>
      <c r="AAT353" s="9"/>
      <c r="AAU353" s="9"/>
      <c r="AAV353" s="9"/>
      <c r="AAW353" s="9"/>
      <c r="AAX353" s="9"/>
      <c r="AAY353" s="9"/>
      <c r="AAZ353" s="9"/>
      <c r="ABA353" s="9"/>
      <c r="ABB353" s="9"/>
      <c r="ABC353" s="9"/>
      <c r="ABD353" s="9"/>
      <c r="ABE353" s="9"/>
      <c r="ABF353" s="9"/>
      <c r="ABG353" s="9"/>
      <c r="ABH353" s="9"/>
      <c r="ABI353" s="9"/>
      <c r="ABJ353" s="9"/>
      <c r="ABK353" s="9"/>
      <c r="ABL353" s="9"/>
      <c r="ABM353" s="9"/>
      <c r="ABN353" s="9"/>
      <c r="ABO353" s="9"/>
      <c r="ABP353" s="9"/>
      <c r="ABQ353" s="9"/>
      <c r="ABR353" s="9"/>
      <c r="ABS353" s="9"/>
      <c r="ABT353" s="9"/>
      <c r="ABU353" s="9"/>
      <c r="ABV353" s="9"/>
      <c r="ABW353" s="9"/>
      <c r="ABX353" s="9"/>
      <c r="ABY353" s="9"/>
      <c r="ABZ353" s="9"/>
      <c r="ACA353" s="9"/>
      <c r="ACB353" s="9"/>
      <c r="ACC353" s="9"/>
      <c r="ACD353" s="9"/>
      <c r="ACE353" s="9"/>
      <c r="ACF353" s="9"/>
      <c r="ACG353" s="9"/>
      <c r="ACH353" s="9"/>
      <c r="ACI353" s="9"/>
      <c r="ACJ353" s="9"/>
      <c r="ACK353" s="9"/>
      <c r="ACL353" s="9"/>
      <c r="ACM353" s="9"/>
      <c r="ACN353" s="9"/>
      <c r="ACO353" s="9"/>
      <c r="ACP353" s="9"/>
      <c r="ACQ353" s="9"/>
      <c r="ACR353" s="9"/>
      <c r="ACS353" s="9"/>
      <c r="ACT353" s="9"/>
      <c r="ACU353" s="9"/>
      <c r="ACV353" s="9"/>
      <c r="ACW353" s="9"/>
      <c r="ACX353" s="9"/>
      <c r="ACY353" s="9"/>
      <c r="ACZ353" s="9"/>
      <c r="ADA353" s="9"/>
      <c r="ADB353" s="9"/>
      <c r="ADC353" s="9"/>
      <c r="ADD353" s="9"/>
      <c r="ADE353" s="9"/>
      <c r="ADF353" s="9"/>
      <c r="ADG353" s="9"/>
      <c r="ADH353" s="9"/>
      <c r="ADI353" s="9"/>
      <c r="ADJ353" s="9"/>
      <c r="ADK353" s="9"/>
      <c r="ADL353" s="9"/>
      <c r="ADM353" s="9"/>
      <c r="ADN353" s="9"/>
      <c r="ADO353" s="9"/>
      <c r="ADP353" s="9"/>
      <c r="ADQ353" s="9"/>
      <c r="ADR353" s="9"/>
      <c r="ADS353" s="9"/>
      <c r="ADT353" s="9"/>
      <c r="ADU353" s="9"/>
      <c r="ADV353" s="9"/>
      <c r="ADW353" s="9"/>
      <c r="ADX353" s="9"/>
      <c r="ADY353" s="9"/>
      <c r="ADZ353" s="9"/>
      <c r="AEA353" s="9"/>
      <c r="AEB353" s="9"/>
      <c r="AEC353" s="9"/>
      <c r="AED353" s="9"/>
      <c r="AEE353" s="9"/>
      <c r="AEF353" s="9"/>
      <c r="AEG353" s="9"/>
      <c r="AEH353" s="9"/>
      <c r="AEI353" s="9"/>
      <c r="AEJ353" s="9"/>
      <c r="AEK353" s="9"/>
      <c r="AEL353" s="9"/>
      <c r="AEM353" s="9"/>
      <c r="AEN353" s="9"/>
      <c r="AEO353" s="9"/>
      <c r="AEP353" s="9"/>
      <c r="AEQ353" s="9"/>
      <c r="AER353" s="9"/>
      <c r="AES353" s="9"/>
      <c r="AET353" s="9"/>
      <c r="AEU353" s="9"/>
      <c r="AEV353" s="9"/>
      <c r="AEW353" s="9"/>
      <c r="AEX353" s="9"/>
      <c r="AEY353" s="9"/>
      <c r="AEZ353" s="9"/>
      <c r="AFA353" s="9"/>
      <c r="AFB353" s="9"/>
      <c r="AFC353" s="9"/>
      <c r="AFD353" s="9"/>
      <c r="AFE353" s="9"/>
      <c r="AFF353" s="9"/>
      <c r="AFG353" s="9"/>
      <c r="AFH353" s="9"/>
      <c r="AFI353" s="9"/>
      <c r="AFJ353" s="9"/>
      <c r="AFK353" s="9"/>
      <c r="AFL353" s="9"/>
      <c r="AFM353" s="9"/>
      <c r="AFN353" s="9"/>
      <c r="AFO353" s="9"/>
      <c r="AFP353" s="9"/>
      <c r="AFQ353" s="9"/>
      <c r="AFR353" s="9"/>
      <c r="AFS353" s="9"/>
      <c r="AFT353" s="9"/>
      <c r="AFU353" s="9"/>
      <c r="AFV353" s="9"/>
      <c r="AFW353" s="9"/>
      <c r="AFX353" s="9"/>
      <c r="AFY353" s="9"/>
      <c r="AFZ353" s="9"/>
      <c r="AGA353" s="9"/>
      <c r="AGB353" s="9"/>
      <c r="AGC353" s="9"/>
      <c r="AGD353" s="9"/>
      <c r="AGE353" s="9"/>
      <c r="AGF353" s="9"/>
      <c r="AGG353" s="9"/>
      <c r="AGH353" s="9"/>
      <c r="AGI353" s="9"/>
      <c r="AGJ353" s="9"/>
      <c r="AGK353" s="9"/>
      <c r="AGL353" s="9"/>
      <c r="AGM353" s="9"/>
      <c r="AGN353" s="9"/>
      <c r="AGO353" s="9"/>
      <c r="AGP353" s="9"/>
      <c r="AGQ353" s="9"/>
      <c r="AGR353" s="9"/>
      <c r="AGS353" s="9"/>
      <c r="AGT353" s="9"/>
      <c r="AGU353" s="9"/>
      <c r="AGV353" s="9"/>
      <c r="AGW353" s="9"/>
      <c r="AGX353" s="9"/>
      <c r="AGY353" s="9"/>
      <c r="AGZ353" s="9"/>
      <c r="AHA353" s="9"/>
      <c r="AHB353" s="9"/>
      <c r="AHC353" s="9"/>
      <c r="AHD353" s="9"/>
      <c r="AHE353" s="9"/>
      <c r="AHF353" s="9"/>
      <c r="AHG353" s="9"/>
      <c r="AHH353" s="9"/>
      <c r="AHI353" s="9"/>
      <c r="AHJ353" s="9"/>
      <c r="AHK353" s="9"/>
      <c r="AHL353" s="9"/>
      <c r="AHM353" s="9"/>
      <c r="AHN353" s="9"/>
      <c r="AHO353" s="9"/>
      <c r="AHP353" s="9"/>
      <c r="AHQ353" s="9"/>
      <c r="AHR353" s="9"/>
      <c r="AHS353" s="9"/>
      <c r="AHT353" s="9"/>
      <c r="AHU353" s="9"/>
      <c r="AHV353" s="9"/>
      <c r="AHW353" s="9"/>
      <c r="AHX353" s="9"/>
      <c r="AHY353" s="9"/>
      <c r="AHZ353" s="9"/>
      <c r="AIA353" s="9"/>
      <c r="AIB353" s="9"/>
      <c r="AIC353" s="9"/>
      <c r="AID353" s="9"/>
      <c r="AIE353" s="9"/>
      <c r="AIF353" s="9"/>
      <c r="AIG353" s="9"/>
      <c r="AIH353" s="9"/>
      <c r="AII353" s="9"/>
      <c r="AIJ353" s="9"/>
      <c r="AIK353" s="9"/>
      <c r="AIL353" s="9"/>
      <c r="AIM353" s="9"/>
      <c r="AIN353" s="9"/>
      <c r="AIO353" s="9"/>
      <c r="AIP353" s="9"/>
      <c r="AIQ353" s="9"/>
      <c r="AIR353" s="9"/>
      <c r="AIS353" s="9"/>
      <c r="AIT353" s="9"/>
      <c r="AIU353" s="9"/>
      <c r="AIV353" s="9"/>
      <c r="AIW353" s="9"/>
      <c r="AIX353" s="9"/>
      <c r="AIY353" s="9"/>
      <c r="AIZ353" s="9"/>
      <c r="AJA353" s="9"/>
      <c r="AJB353" s="9"/>
      <c r="AJC353" s="9"/>
      <c r="AJD353" s="9"/>
      <c r="AJE353" s="9"/>
      <c r="AJF353" s="9"/>
      <c r="AJG353" s="9"/>
      <c r="AJH353" s="9"/>
      <c r="AJI353" s="9"/>
      <c r="AJJ353" s="9"/>
      <c r="AJK353" s="9"/>
      <c r="AJL353" s="9"/>
      <c r="AJM353" s="9"/>
      <c r="AJN353" s="9"/>
      <c r="AJO353" s="9"/>
      <c r="AJP353" s="9"/>
      <c r="AJQ353" s="9"/>
      <c r="AJR353" s="9"/>
      <c r="AJS353" s="9"/>
      <c r="AJT353" s="9"/>
      <c r="AJU353" s="9"/>
      <c r="AJV353" s="9"/>
      <c r="AJW353" s="9"/>
      <c r="AJX353" s="9"/>
      <c r="AJY353" s="9"/>
      <c r="AJZ353" s="9"/>
      <c r="AKA353" s="9"/>
      <c r="AKB353" s="9"/>
      <c r="AKC353" s="9"/>
      <c r="AKD353" s="9"/>
      <c r="AKE353" s="9"/>
      <c r="AKF353" s="9"/>
      <c r="AKG353" s="9"/>
      <c r="AKH353" s="9"/>
      <c r="AKI353" s="9"/>
      <c r="AKJ353" s="9"/>
      <c r="AKK353" s="9"/>
      <c r="AKL353" s="9"/>
      <c r="AKM353" s="9"/>
      <c r="AKN353" s="9"/>
      <c r="AKO353" s="9"/>
      <c r="AKP353" s="9"/>
      <c r="AKQ353" s="9"/>
      <c r="AKR353" s="9"/>
      <c r="AKS353" s="9"/>
      <c r="AKT353" s="9"/>
      <c r="AKU353" s="9"/>
      <c r="AKV353" s="9"/>
      <c r="AKW353" s="9"/>
      <c r="AKX353" s="9"/>
      <c r="AKY353" s="9"/>
      <c r="AKZ353" s="9"/>
      <c r="ALA353" s="9"/>
      <c r="ALB353" s="9"/>
      <c r="ALC353" s="9"/>
      <c r="ALD353" s="9"/>
      <c r="ALE353" s="9"/>
      <c r="ALF353" s="9"/>
      <c r="ALG353" s="9"/>
      <c r="ALH353" s="9"/>
      <c r="ALI353" s="9"/>
      <c r="ALJ353" s="9"/>
      <c r="ALK353" s="9"/>
      <c r="ALL353" s="9"/>
      <c r="ALM353" s="9"/>
      <c r="ALN353" s="9"/>
      <c r="ALO353" s="9"/>
      <c r="ALP353" s="9"/>
      <c r="ALQ353" s="9"/>
      <c r="ALR353" s="9"/>
      <c r="ALS353" s="9"/>
      <c r="ALT353" s="9"/>
      <c r="ALU353" s="9"/>
      <c r="ALV353" s="9"/>
      <c r="ALW353" s="9"/>
      <c r="ALX353" s="9"/>
      <c r="ALY353" s="9"/>
      <c r="ALZ353" s="9"/>
      <c r="AMA353" s="9"/>
      <c r="AMB353" s="9"/>
      <c r="AMC353" s="9"/>
      <c r="AMD353" s="9"/>
      <c r="AME353" s="9"/>
      <c r="AMF353" s="9"/>
      <c r="AMG353" s="9"/>
      <c r="AMH353" s="9"/>
      <c r="AMI353" s="9"/>
      <c r="AMJ353" s="9"/>
      <c r="AMK353" s="9"/>
      <c r="AML353" s="9"/>
      <c r="AMM353" s="9"/>
      <c r="AMN353" s="9"/>
      <c r="AMO353" s="9"/>
      <c r="AMP353" s="9"/>
    </row>
    <row r="354" spans="1:1030" s="12" customFormat="1" x14ac:dyDescent="0.2">
      <c r="A354" s="9" t="str">
        <f>CONCATENATE(B354,"_",C354)</f>
        <v>fzd4_human__wt</v>
      </c>
      <c r="B354" s="9" t="s">
        <v>450</v>
      </c>
      <c r="C354" s="9" t="s">
        <v>100</v>
      </c>
      <c r="D354" s="9" t="str">
        <f>IFERROR(MID(VLOOKUP($B354,Seqs!$A:$B,2,0),E354,1),"")</f>
        <v>S</v>
      </c>
      <c r="E354" s="9">
        <v>212</v>
      </c>
      <c r="F354" s="9" t="str">
        <f>IFERROR(MID(VLOOKUP($B354,Seqs!$A:$B,2,0),G354,1),"")</f>
        <v>D</v>
      </c>
      <c r="G354" s="9">
        <v>244</v>
      </c>
      <c r="H354" s="9" t="str">
        <f>IFERROR(MID(VLOOKUP($B354,Seqs!$A:$B,2,0),I354,1),"")</f>
        <v>S</v>
      </c>
      <c r="I354" s="109">
        <v>245</v>
      </c>
      <c r="J354" s="9" t="str">
        <f>IFERROR(MID(VLOOKUP($B354,Seqs!$A:$B,2,0),K354,1),"")</f>
        <v>S</v>
      </c>
      <c r="K354" s="109">
        <v>249</v>
      </c>
      <c r="L354" s="9" t="str">
        <f>IFERROR(MID(VLOOKUP($B354,Seqs!$A:$B,2,0),M354,1),"")</f>
        <v>Y</v>
      </c>
      <c r="M354" s="9">
        <v>250</v>
      </c>
      <c r="N354" s="9" t="str">
        <f>IFERROR(MID(VLOOKUP($B354,Seqs!$A:$B,2,0),O354,1),"")</f>
        <v>G</v>
      </c>
      <c r="O354" s="9">
        <v>276</v>
      </c>
      <c r="P354" s="9" t="str">
        <f>IFERROR(MID(VLOOKUP($B354,Seqs!$A:$B,2,0),Q354,1),"")</f>
        <v/>
      </c>
      <c r="Q354" s="9" t="s">
        <v>23</v>
      </c>
      <c r="R354" s="9" t="str">
        <f>IFERROR(MID(VLOOKUP($B354,Seqs!$A:$B,2,0),S354,1),"")</f>
        <v/>
      </c>
      <c r="S354" s="9" t="s">
        <v>23</v>
      </c>
      <c r="T354" s="9" t="str">
        <f>IFERROR(MID(VLOOKUP($B354,Seqs!$A:$B,2,0),U354,1),"")</f>
        <v>N</v>
      </c>
      <c r="U354" s="9">
        <v>299</v>
      </c>
      <c r="V354" s="9" t="str">
        <f>IFERROR(MID(VLOOKUP($B354,Seqs!$A:$B,2,0),W354,1),"")</f>
        <v>G</v>
      </c>
      <c r="W354" s="9">
        <v>332</v>
      </c>
      <c r="X354" s="9" t="str">
        <f>IFERROR(MID(VLOOKUP($B354,Seqs!$A:$B,2,0),Y354,1),"")</f>
        <v/>
      </c>
      <c r="Y354" s="9" t="s">
        <v>23</v>
      </c>
      <c r="Z354" s="9" t="str">
        <f>IFERROR(MID(VLOOKUP($B354,Seqs!$A:$B,2,0),AA354,1),"")</f>
        <v/>
      </c>
      <c r="AA354" s="9" t="s">
        <v>23</v>
      </c>
      <c r="AB354" s="9" t="str">
        <f>IFERROR(MID(VLOOKUP($B354,Seqs!$A:$B,2,0),AC354,1),"")</f>
        <v>H</v>
      </c>
      <c r="AC354" s="9">
        <v>343</v>
      </c>
      <c r="AD354" s="9" t="str">
        <f>IFERROR(MID(VLOOKUP($B354,Seqs!$A:$B,2,0),AE354,1),"")</f>
        <v>R</v>
      </c>
      <c r="AE354" s="9">
        <v>366</v>
      </c>
      <c r="AF354" s="9" t="str">
        <f>IFERROR(MID(VLOOKUP($B354,Seqs!$A:$B,2,0),AG354,1),"")</f>
        <v>C</v>
      </c>
      <c r="AG354" s="9">
        <v>377</v>
      </c>
      <c r="AH354" s="9" t="str">
        <f>IFERROR(MID(VLOOKUP($B354,Seqs!$A:$B,2,0),AI354,1),"")</f>
        <v>V</v>
      </c>
      <c r="AI354" s="9">
        <v>379</v>
      </c>
      <c r="AJ354" s="9" t="str">
        <f>IFERROR(MID(VLOOKUP($B354,Seqs!$A:$B,2,0),AK354,1),"")</f>
        <v>N</v>
      </c>
      <c r="AK354" s="9">
        <v>383</v>
      </c>
      <c r="AL354" s="9" t="str">
        <f>IFERROR(MID(VLOOKUP($B354,Seqs!$A:$B,2,0),AM354,1),"")</f>
        <v>L</v>
      </c>
      <c r="AM354" s="9">
        <v>420</v>
      </c>
      <c r="AN354" s="9" t="str">
        <f>IFERROR(MID(VLOOKUP($B354,Seqs!$A:$B,2,0),AO354,1),"")</f>
        <v>E</v>
      </c>
      <c r="AO354" s="9">
        <v>431</v>
      </c>
      <c r="AP354" s="9" t="str">
        <f>IFERROR(MID(VLOOKUP($B354,Seqs!$A:$B,2,0),AQ354,1),"")</f>
        <v>N</v>
      </c>
      <c r="AQ354" s="9">
        <v>461</v>
      </c>
      <c r="AR354" s="9" t="str">
        <f>IFERROR(MID(VLOOKUP($B354,Seqs!$A:$B,2,0),AS354,1),"")</f>
        <v>N</v>
      </c>
      <c r="AS354" s="9">
        <v>473</v>
      </c>
      <c r="AT354" s="9" t="str">
        <f>IFERROR(MID(VLOOKUP($B354,Seqs!$A:$B,2,0),AU354,1),"")</f>
        <v>W</v>
      </c>
      <c r="AU354" s="9">
        <v>496</v>
      </c>
      <c r="AV354" s="9" t="str">
        <f>IFERROR(MID(VLOOKUP($B354,Seqs!$A:$B,2,0),AW354,1),"")</f>
        <v>S</v>
      </c>
      <c r="AW354" s="9">
        <v>497</v>
      </c>
      <c r="AX354" s="9" t="str">
        <f>IFERROR(MID(VLOOKUP($B354,Seqs!$A:$B,2,0),AY354,1),"")</f>
        <v>V</v>
      </c>
      <c r="AY354" s="9">
        <v>512</v>
      </c>
      <c r="AZ354" s="110" t="str">
        <f>VLOOKUP(B354,Classification!A:D,2,0)</f>
        <v>F</v>
      </c>
      <c r="BA354" s="98" t="str">
        <f>VLOOKUP(B354,Classification!A:D,4,0)</f>
        <v>Frizzled</v>
      </c>
      <c r="BB354" s="36" t="b">
        <f t="shared" ref="BB354:BB355" si="2068">AND(E354&lt;G354,OR(G354&lt;I354,I354="-"),OR(I354&lt;K354,I354="-"),OR(K354&lt;M354,K354="-"),M354&lt;O354,OR(O354&lt;Q354,Q354="-"),OR(Q354&lt;S354,Q354="-"),OR(S354&lt;U354,S354="-"),U354&lt;W354,OR(W354&lt;Y354,Y354="-"),OR(Y354&lt;AA354,Y354="-"),OR(AA354&lt;AC354,AA354="-"),AC354&lt;AE354,OR(AE354&lt;AG354,AG354="-"),OR(AG354&lt;AI354,AG354="-"),OR(AI354&lt;AK354,AI354="-"),AK354&lt;AM354,AM354&lt;AO354,AO354&lt;AQ354,AQ354&lt;AS354,AS354&lt;AU354,OR(AU354&lt;AW354,AW354="-"),OR(AW354&lt;AY354,AW354="-"))</f>
        <v>1</v>
      </c>
      <c r="BC354" s="109">
        <f t="shared" ref="BC354:BC355" si="2069">_xlfn.AGGREGATE(9,6,CH354:CS354)-_xlfn.AGGREGATE(9,6,BV354:CG354)+12</f>
        <v>237</v>
      </c>
      <c r="BD354" s="11" t="s">
        <v>23</v>
      </c>
      <c r="BE354" s="9" t="s">
        <v>23</v>
      </c>
      <c r="BF354" s="120" t="s">
        <v>23</v>
      </c>
      <c r="BG354" s="51" t="s">
        <v>23</v>
      </c>
      <c r="BH354" s="51" t="s">
        <v>23</v>
      </c>
      <c r="BI354" s="9"/>
      <c r="BJ354" s="111" t="s">
        <v>1288</v>
      </c>
      <c r="BK354" s="112" t="s">
        <v>1288</v>
      </c>
      <c r="BL354" s="112" t="s">
        <v>1288</v>
      </c>
      <c r="BM354" s="112" t="s">
        <v>1288</v>
      </c>
      <c r="BN354" s="112" t="s">
        <v>1288</v>
      </c>
      <c r="BO354" s="112" t="s">
        <v>1288</v>
      </c>
      <c r="BP354" s="112" t="s">
        <v>1288</v>
      </c>
      <c r="BQ354" s="112" t="s">
        <v>1288</v>
      </c>
      <c r="BR354" s="112" t="s">
        <v>1288</v>
      </c>
      <c r="BS354" s="112" t="s">
        <v>1288</v>
      </c>
      <c r="BT354" s="112" t="s">
        <v>1288</v>
      </c>
      <c r="BU354" s="112" t="s">
        <v>1288</v>
      </c>
      <c r="BV354" s="111">
        <f t="shared" ref="BV354:BV355" si="2070">E354</f>
        <v>212</v>
      </c>
      <c r="BW354" s="113">
        <f t="shared" ref="BW354:BW355" si="2071">I354</f>
        <v>245</v>
      </c>
      <c r="BX354" s="114">
        <f t="shared" ref="BX354:BX355" si="2072">M354</f>
        <v>250</v>
      </c>
      <c r="BY354" s="113" t="str">
        <f t="shared" ref="BY354:BY355" si="2073">Q354</f>
        <v>-</v>
      </c>
      <c r="BZ354" s="114">
        <f t="shared" ref="BZ354:BZ355" si="2074">U354</f>
        <v>299</v>
      </c>
      <c r="CA354" s="113" t="str">
        <f t="shared" ref="CA354:CA355" si="2075">Y354</f>
        <v>-</v>
      </c>
      <c r="CB354" s="114">
        <f t="shared" ref="CB354:CB355" si="2076">AC354</f>
        <v>343</v>
      </c>
      <c r="CC354" s="113">
        <f t="shared" ref="CC354:CC355" si="2077">AG354</f>
        <v>377</v>
      </c>
      <c r="CD354" s="114">
        <f t="shared" ref="CD354:CD355" si="2078">AK354</f>
        <v>383</v>
      </c>
      <c r="CE354" s="113">
        <f t="shared" ref="CE354:CE355" si="2079">AO354</f>
        <v>431</v>
      </c>
      <c r="CF354" s="114">
        <f t="shared" ref="CF354:CF355" si="2080">AS354</f>
        <v>473</v>
      </c>
      <c r="CG354" s="113">
        <f t="shared" ref="CG354:CG355" si="2081">AW354</f>
        <v>497</v>
      </c>
      <c r="CH354" s="111">
        <f t="shared" ref="CH354:CH355" si="2082">G354</f>
        <v>244</v>
      </c>
      <c r="CI354" s="113">
        <f t="shared" ref="CI354:CI355" si="2083">K354</f>
        <v>249</v>
      </c>
      <c r="CJ354" s="114">
        <f t="shared" ref="CJ354:CJ355" si="2084">O354</f>
        <v>276</v>
      </c>
      <c r="CK354" s="114" t="str">
        <f t="shared" ref="CK354:CK355" si="2085">S354</f>
        <v>-</v>
      </c>
      <c r="CL354" s="114">
        <f t="shared" ref="CL354:CL355" si="2086">W354</f>
        <v>332</v>
      </c>
      <c r="CM354" s="114" t="str">
        <f t="shared" ref="CM354:CM355" si="2087">AA354</f>
        <v>-</v>
      </c>
      <c r="CN354" s="114">
        <f t="shared" ref="CN354:CN355" si="2088">AE354</f>
        <v>366</v>
      </c>
      <c r="CO354" s="114">
        <f t="shared" ref="CO354:CO355" si="2089">AI354</f>
        <v>379</v>
      </c>
      <c r="CP354" s="114">
        <f t="shared" ref="CP354:CP355" si="2090">AM354</f>
        <v>420</v>
      </c>
      <c r="CQ354" s="114">
        <f t="shared" ref="CQ354:CQ355" si="2091">AQ354</f>
        <v>461</v>
      </c>
      <c r="CR354" s="114">
        <f t="shared" ref="CR354:CR355" si="2092">AU354</f>
        <v>496</v>
      </c>
      <c r="CS354" s="114">
        <f t="shared" ref="CS354:CS355" si="2093">AY354</f>
        <v>512</v>
      </c>
      <c r="CT354" s="109">
        <f t="shared" ref="CT354:CT355" si="2094">M354-K354</f>
        <v>1</v>
      </c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/>
      <c r="IP354" s="9"/>
      <c r="IQ354" s="9"/>
      <c r="IR354" s="9"/>
      <c r="IS354" s="9"/>
      <c r="IT354" s="9"/>
      <c r="IU354" s="9"/>
      <c r="IV354" s="9"/>
      <c r="IW354" s="9"/>
      <c r="IX354" s="9"/>
      <c r="IY354" s="9"/>
      <c r="IZ354" s="9"/>
      <c r="JA354" s="9"/>
      <c r="JB354" s="9"/>
      <c r="JC354" s="9"/>
      <c r="JD354" s="9"/>
      <c r="JE354" s="9"/>
      <c r="JF354" s="9"/>
      <c r="JG354" s="9"/>
      <c r="JH354" s="9"/>
      <c r="JI354" s="9"/>
      <c r="JJ354" s="9"/>
      <c r="JK354" s="9"/>
      <c r="JL354" s="9"/>
      <c r="JM354" s="9"/>
      <c r="JN354" s="9"/>
      <c r="JO354" s="9"/>
      <c r="JP354" s="9"/>
      <c r="JQ354" s="9"/>
      <c r="JR354" s="9"/>
      <c r="JS354" s="9"/>
      <c r="JT354" s="9"/>
      <c r="JU354" s="9"/>
      <c r="JV354" s="9"/>
      <c r="JW354" s="9"/>
      <c r="JX354" s="9"/>
      <c r="JY354" s="9"/>
      <c r="JZ354" s="9"/>
      <c r="KA354" s="9"/>
      <c r="KB354" s="9"/>
      <c r="KC354" s="9"/>
      <c r="KD354" s="9"/>
      <c r="KE354" s="9"/>
      <c r="KF354" s="9"/>
      <c r="KG354" s="9"/>
      <c r="KH354" s="9"/>
      <c r="KI354" s="9"/>
      <c r="KJ354" s="9"/>
      <c r="KK354" s="9"/>
      <c r="KL354" s="9"/>
      <c r="KM354" s="9"/>
      <c r="KN354" s="9"/>
      <c r="KO354" s="9"/>
      <c r="KP354" s="9"/>
      <c r="KQ354" s="9"/>
      <c r="KR354" s="9"/>
      <c r="KS354" s="9"/>
      <c r="KT354" s="9"/>
      <c r="KU354" s="9"/>
      <c r="KV354" s="9"/>
      <c r="KW354" s="9"/>
      <c r="KX354" s="9"/>
      <c r="KY354" s="9"/>
      <c r="KZ354" s="9"/>
      <c r="LA354" s="9"/>
      <c r="LB354" s="9"/>
      <c r="LC354" s="9"/>
      <c r="LD354" s="9"/>
      <c r="LE354" s="9"/>
      <c r="LF354" s="9"/>
      <c r="LG354" s="9"/>
      <c r="LH354" s="9"/>
      <c r="LI354" s="9"/>
      <c r="LJ354" s="9"/>
      <c r="LK354" s="9"/>
      <c r="LL354" s="9"/>
      <c r="LM354" s="9"/>
      <c r="LN354" s="9"/>
      <c r="LO354" s="9"/>
      <c r="LP354" s="9"/>
      <c r="LQ354" s="9"/>
      <c r="LR354" s="9"/>
      <c r="LS354" s="9"/>
      <c r="LT354" s="9"/>
      <c r="LU354" s="9"/>
      <c r="LV354" s="9"/>
      <c r="LW354" s="9"/>
      <c r="LX354" s="9"/>
      <c r="LY354" s="9"/>
      <c r="LZ354" s="9"/>
      <c r="MA354" s="9"/>
      <c r="MB354" s="9"/>
      <c r="MC354" s="9"/>
      <c r="MD354" s="9"/>
      <c r="ME354" s="9"/>
      <c r="MF354" s="9"/>
      <c r="MG354" s="9"/>
      <c r="MH354" s="9"/>
      <c r="MI354" s="9"/>
      <c r="MJ354" s="9"/>
      <c r="MK354" s="9"/>
      <c r="ML354" s="9"/>
      <c r="MM354" s="9"/>
      <c r="MN354" s="9"/>
      <c r="MO354" s="9"/>
      <c r="MP354" s="9"/>
      <c r="MQ354" s="9"/>
      <c r="MR354" s="9"/>
      <c r="MS354" s="9"/>
      <c r="MT354" s="9"/>
      <c r="MU354" s="9"/>
      <c r="MV354" s="9"/>
      <c r="MW354" s="9"/>
      <c r="MX354" s="9"/>
      <c r="MY354" s="9"/>
      <c r="MZ354" s="9"/>
      <c r="NA354" s="9"/>
      <c r="NB354" s="9"/>
      <c r="NC354" s="9"/>
      <c r="ND354" s="9"/>
      <c r="NE354" s="9"/>
      <c r="NF354" s="9"/>
      <c r="NG354" s="9"/>
      <c r="NH354" s="9"/>
      <c r="NI354" s="9"/>
      <c r="NJ354" s="9"/>
      <c r="NK354" s="9"/>
      <c r="NL354" s="9"/>
      <c r="NM354" s="9"/>
      <c r="NN354" s="9"/>
      <c r="NO354" s="9"/>
      <c r="NP354" s="9"/>
      <c r="NQ354" s="9"/>
      <c r="NR354" s="9"/>
      <c r="NS354" s="9"/>
      <c r="NT354" s="9"/>
      <c r="NU354" s="9"/>
      <c r="NV354" s="9"/>
      <c r="NW354" s="9"/>
      <c r="NX354" s="9"/>
      <c r="NY354" s="9"/>
      <c r="NZ354" s="9"/>
      <c r="OA354" s="9"/>
      <c r="OB354" s="9"/>
      <c r="OC354" s="9"/>
      <c r="OD354" s="9"/>
      <c r="OE354" s="9"/>
      <c r="OF354" s="9"/>
      <c r="OG354" s="9"/>
      <c r="OH354" s="9"/>
      <c r="OI354" s="9"/>
      <c r="OJ354" s="9"/>
      <c r="OK354" s="9"/>
      <c r="OL354" s="9"/>
      <c r="OM354" s="9"/>
      <c r="ON354" s="9"/>
      <c r="OO354" s="9"/>
      <c r="OP354" s="9"/>
      <c r="OQ354" s="9"/>
      <c r="OR354" s="9"/>
      <c r="OS354" s="9"/>
      <c r="OT354" s="9"/>
      <c r="OU354" s="9"/>
      <c r="OV354" s="9"/>
      <c r="OW354" s="9"/>
      <c r="OX354" s="9"/>
      <c r="OY354" s="9"/>
      <c r="OZ354" s="9"/>
      <c r="PA354" s="9"/>
      <c r="PB354" s="9"/>
      <c r="PC354" s="9"/>
      <c r="PD354" s="9"/>
      <c r="PE354" s="9"/>
      <c r="PF354" s="9"/>
      <c r="PG354" s="9"/>
      <c r="PH354" s="9"/>
      <c r="PI354" s="9"/>
      <c r="PJ354" s="9"/>
      <c r="PK354" s="9"/>
      <c r="PL354" s="9"/>
      <c r="PM354" s="9"/>
      <c r="PN354" s="9"/>
      <c r="PO354" s="9"/>
      <c r="PP354" s="9"/>
      <c r="PQ354" s="9"/>
      <c r="PR354" s="9"/>
      <c r="PS354" s="9"/>
      <c r="PT354" s="9"/>
      <c r="PU354" s="9"/>
      <c r="PV354" s="9"/>
      <c r="PW354" s="9"/>
      <c r="PX354" s="9"/>
      <c r="PY354" s="9"/>
      <c r="PZ354" s="9"/>
      <c r="QA354" s="9"/>
      <c r="QB354" s="9"/>
      <c r="QC354" s="9"/>
      <c r="QD354" s="9"/>
      <c r="QE354" s="9"/>
      <c r="QF354" s="9"/>
      <c r="QG354" s="9"/>
      <c r="QH354" s="9"/>
      <c r="QI354" s="9"/>
      <c r="QJ354" s="9"/>
      <c r="QK354" s="9"/>
      <c r="QL354" s="9"/>
      <c r="QM354" s="9"/>
      <c r="QN354" s="9"/>
      <c r="QO354" s="9"/>
      <c r="QP354" s="9"/>
      <c r="QQ354" s="9"/>
      <c r="QR354" s="9"/>
      <c r="QS354" s="9"/>
      <c r="QT354" s="9"/>
      <c r="QU354" s="9"/>
      <c r="QV354" s="9"/>
      <c r="QW354" s="9"/>
      <c r="QX354" s="9"/>
      <c r="QY354" s="9"/>
      <c r="QZ354" s="9"/>
      <c r="RA354" s="9"/>
      <c r="RB354" s="9"/>
      <c r="RC354" s="9"/>
      <c r="RD354" s="9"/>
      <c r="RE354" s="9"/>
      <c r="RF354" s="9"/>
      <c r="RG354" s="9"/>
      <c r="RH354" s="9"/>
      <c r="RI354" s="9"/>
      <c r="RJ354" s="9"/>
      <c r="RK354" s="9"/>
      <c r="RL354" s="9"/>
      <c r="RM354" s="9"/>
      <c r="RN354" s="9"/>
      <c r="RO354" s="9"/>
      <c r="RP354" s="9"/>
      <c r="RQ354" s="9"/>
      <c r="RR354" s="9"/>
      <c r="RS354" s="9"/>
      <c r="RT354" s="9"/>
      <c r="RU354" s="9"/>
      <c r="RV354" s="9"/>
      <c r="RW354" s="9"/>
      <c r="RX354" s="9"/>
      <c r="RY354" s="9"/>
      <c r="RZ354" s="9"/>
      <c r="SA354" s="9"/>
      <c r="SB354" s="9"/>
      <c r="SC354" s="9"/>
      <c r="SD354" s="9"/>
      <c r="SE354" s="9"/>
      <c r="SF354" s="9"/>
      <c r="SG354" s="9"/>
      <c r="SH354" s="9"/>
      <c r="SI354" s="9"/>
      <c r="SJ354" s="9"/>
      <c r="SK354" s="9"/>
      <c r="SL354" s="9"/>
      <c r="SM354" s="9"/>
      <c r="SN354" s="9"/>
      <c r="SO354" s="9"/>
      <c r="SP354" s="9"/>
      <c r="SQ354" s="9"/>
      <c r="SR354" s="9"/>
      <c r="SS354" s="9"/>
      <c r="ST354" s="9"/>
      <c r="SU354" s="9"/>
      <c r="SV354" s="9"/>
      <c r="SW354" s="9"/>
      <c r="SX354" s="9"/>
      <c r="SY354" s="9"/>
      <c r="SZ354" s="9"/>
      <c r="TA354" s="9"/>
      <c r="TB354" s="9"/>
      <c r="TC354" s="9"/>
      <c r="TD354" s="9"/>
      <c r="TE354" s="9"/>
      <c r="TF354" s="9"/>
      <c r="TG354" s="9"/>
      <c r="TH354" s="9"/>
      <c r="TI354" s="9"/>
      <c r="TJ354" s="9"/>
      <c r="TK354" s="9"/>
      <c r="TL354" s="9"/>
      <c r="TM354" s="9"/>
      <c r="TN354" s="9"/>
      <c r="TO354" s="9"/>
      <c r="TP354" s="9"/>
      <c r="TQ354" s="9"/>
      <c r="TR354" s="9"/>
      <c r="TS354" s="9"/>
      <c r="TT354" s="9"/>
      <c r="TU354" s="9"/>
      <c r="TV354" s="9"/>
      <c r="TW354" s="9"/>
      <c r="TX354" s="9"/>
      <c r="TY354" s="9"/>
      <c r="TZ354" s="9"/>
      <c r="UA354" s="9"/>
      <c r="UB354" s="9"/>
      <c r="UC354" s="9"/>
      <c r="UD354" s="9"/>
      <c r="UE354" s="9"/>
      <c r="UF354" s="9"/>
      <c r="UG354" s="9"/>
      <c r="UH354" s="9"/>
      <c r="UI354" s="9"/>
      <c r="UJ354" s="9"/>
      <c r="UK354" s="9"/>
      <c r="UL354" s="9"/>
      <c r="UM354" s="9"/>
      <c r="UN354" s="9"/>
      <c r="UO354" s="9"/>
      <c r="UP354" s="9"/>
      <c r="UQ354" s="9"/>
      <c r="UR354" s="9"/>
      <c r="US354" s="9"/>
      <c r="UT354" s="9"/>
      <c r="UU354" s="9"/>
      <c r="UV354" s="9"/>
      <c r="UW354" s="9"/>
      <c r="UX354" s="9"/>
      <c r="UY354" s="9"/>
      <c r="UZ354" s="9"/>
      <c r="VA354" s="9"/>
      <c r="VB354" s="9"/>
      <c r="VC354" s="9"/>
      <c r="VD354" s="9"/>
      <c r="VE354" s="9"/>
      <c r="VF354" s="9"/>
      <c r="VG354" s="9"/>
      <c r="VH354" s="9"/>
      <c r="VI354" s="9"/>
      <c r="VJ354" s="9"/>
      <c r="VK354" s="9"/>
      <c r="VL354" s="9"/>
      <c r="VM354" s="9"/>
      <c r="VN354" s="9"/>
      <c r="VO354" s="9"/>
      <c r="VP354" s="9"/>
      <c r="VQ354" s="9"/>
      <c r="VR354" s="9"/>
      <c r="VS354" s="9"/>
      <c r="VT354" s="9"/>
      <c r="VU354" s="9"/>
      <c r="VV354" s="9"/>
      <c r="VW354" s="9"/>
      <c r="VX354" s="9"/>
      <c r="VY354" s="9"/>
      <c r="VZ354" s="9"/>
      <c r="WA354" s="9"/>
      <c r="WB354" s="9"/>
      <c r="WC354" s="9"/>
      <c r="WD354" s="9"/>
      <c r="WE354" s="9"/>
      <c r="WF354" s="9"/>
      <c r="WG354" s="9"/>
      <c r="WH354" s="9"/>
      <c r="WI354" s="9"/>
      <c r="WJ354" s="9"/>
      <c r="WK354" s="9"/>
      <c r="WL354" s="9"/>
      <c r="WM354" s="9"/>
      <c r="WN354" s="9"/>
      <c r="WO354" s="9"/>
      <c r="WP354" s="9"/>
      <c r="WQ354" s="9"/>
      <c r="WR354" s="9"/>
      <c r="WS354" s="9"/>
      <c r="WT354" s="9"/>
      <c r="WU354" s="9"/>
      <c r="WV354" s="9"/>
      <c r="WW354" s="9"/>
      <c r="WX354" s="9"/>
      <c r="WY354" s="9"/>
      <c r="WZ354" s="9"/>
      <c r="XA354" s="9"/>
      <c r="XB354" s="9"/>
      <c r="XC354" s="9"/>
      <c r="XD354" s="9"/>
      <c r="XE354" s="9"/>
      <c r="XF354" s="9"/>
      <c r="XG354" s="9"/>
      <c r="XH354" s="9"/>
      <c r="XI354" s="9"/>
      <c r="XJ354" s="9"/>
      <c r="XK354" s="9"/>
      <c r="XL354" s="9"/>
      <c r="XM354" s="9"/>
      <c r="XN354" s="9"/>
      <c r="XO354" s="9"/>
      <c r="XP354" s="9"/>
      <c r="XQ354" s="9"/>
      <c r="XR354" s="9"/>
      <c r="XS354" s="9"/>
      <c r="XT354" s="9"/>
      <c r="XU354" s="9"/>
      <c r="XV354" s="9"/>
      <c r="XW354" s="9"/>
      <c r="XX354" s="9"/>
      <c r="XY354" s="9"/>
      <c r="XZ354" s="9"/>
      <c r="YA354" s="9"/>
      <c r="YB354" s="9"/>
      <c r="YC354" s="9"/>
      <c r="YD354" s="9"/>
      <c r="YE354" s="9"/>
      <c r="YF354" s="9"/>
      <c r="YG354" s="9"/>
      <c r="YH354" s="9"/>
      <c r="YI354" s="9"/>
      <c r="YJ354" s="9"/>
      <c r="YK354" s="9"/>
      <c r="YL354" s="9"/>
      <c r="YM354" s="9"/>
      <c r="YN354" s="9"/>
      <c r="YO354" s="9"/>
      <c r="YP354" s="9"/>
      <c r="YQ354" s="9"/>
      <c r="YR354" s="9"/>
      <c r="YS354" s="9"/>
      <c r="YT354" s="9"/>
      <c r="YU354" s="9"/>
      <c r="YV354" s="9"/>
      <c r="YW354" s="9"/>
      <c r="YX354" s="9"/>
      <c r="YY354" s="9"/>
      <c r="YZ354" s="9"/>
      <c r="ZA354" s="9"/>
      <c r="ZB354" s="9"/>
      <c r="ZC354" s="9"/>
      <c r="ZD354" s="9"/>
      <c r="ZE354" s="9"/>
      <c r="ZF354" s="9"/>
      <c r="ZG354" s="9"/>
      <c r="ZH354" s="9"/>
      <c r="ZI354" s="9"/>
      <c r="ZJ354" s="9"/>
      <c r="ZK354" s="9"/>
      <c r="ZL354" s="9"/>
      <c r="ZM354" s="9"/>
      <c r="ZN354" s="9"/>
      <c r="ZO354" s="9"/>
      <c r="ZP354" s="9"/>
      <c r="ZQ354" s="9"/>
      <c r="ZR354" s="9"/>
      <c r="ZS354" s="9"/>
      <c r="ZT354" s="9"/>
      <c r="ZU354" s="9"/>
      <c r="ZV354" s="9"/>
      <c r="ZW354" s="9"/>
      <c r="ZX354" s="9"/>
      <c r="ZY354" s="9"/>
      <c r="ZZ354" s="9"/>
      <c r="AAA354" s="9"/>
      <c r="AAB354" s="9"/>
      <c r="AAC354" s="9"/>
      <c r="AAD354" s="9"/>
      <c r="AAE354" s="9"/>
      <c r="AAF354" s="9"/>
      <c r="AAG354" s="9"/>
      <c r="AAH354" s="9"/>
      <c r="AAI354" s="9"/>
      <c r="AAJ354" s="9"/>
      <c r="AAK354" s="9"/>
      <c r="AAL354" s="9"/>
      <c r="AAM354" s="9"/>
      <c r="AAN354" s="9"/>
      <c r="AAO354" s="9"/>
      <c r="AAP354" s="9"/>
      <c r="AAQ354" s="9"/>
      <c r="AAR354" s="9"/>
      <c r="AAS354" s="9"/>
      <c r="AAT354" s="9"/>
      <c r="AAU354" s="9"/>
      <c r="AAV354" s="9"/>
      <c r="AAW354" s="9"/>
      <c r="AAX354" s="9"/>
      <c r="AAY354" s="9"/>
      <c r="AAZ354" s="9"/>
      <c r="ABA354" s="9"/>
      <c r="ABB354" s="9"/>
      <c r="ABC354" s="9"/>
      <c r="ABD354" s="9"/>
      <c r="ABE354" s="9"/>
      <c r="ABF354" s="9"/>
      <c r="ABG354" s="9"/>
      <c r="ABH354" s="9"/>
      <c r="ABI354" s="9"/>
      <c r="ABJ354" s="9"/>
      <c r="ABK354" s="9"/>
      <c r="ABL354" s="9"/>
      <c r="ABM354" s="9"/>
      <c r="ABN354" s="9"/>
      <c r="ABO354" s="9"/>
      <c r="ABP354" s="9"/>
      <c r="ABQ354" s="9"/>
      <c r="ABR354" s="9"/>
      <c r="ABS354" s="9"/>
      <c r="ABT354" s="9"/>
      <c r="ABU354" s="9"/>
      <c r="ABV354" s="9"/>
      <c r="ABW354" s="9"/>
      <c r="ABX354" s="9"/>
      <c r="ABY354" s="9"/>
      <c r="ABZ354" s="9"/>
      <c r="ACA354" s="9"/>
      <c r="ACB354" s="9"/>
      <c r="ACC354" s="9"/>
      <c r="ACD354" s="9"/>
      <c r="ACE354" s="9"/>
      <c r="ACF354" s="9"/>
      <c r="ACG354" s="9"/>
      <c r="ACH354" s="9"/>
      <c r="ACI354" s="9"/>
      <c r="ACJ354" s="9"/>
      <c r="ACK354" s="9"/>
      <c r="ACL354" s="9"/>
      <c r="ACM354" s="9"/>
      <c r="ACN354" s="9"/>
      <c r="ACO354" s="9"/>
      <c r="ACP354" s="9"/>
      <c r="ACQ354" s="9"/>
      <c r="ACR354" s="9"/>
      <c r="ACS354" s="9"/>
      <c r="ACT354" s="9"/>
      <c r="ACU354" s="9"/>
      <c r="ACV354" s="9"/>
      <c r="ACW354" s="9"/>
      <c r="ACX354" s="9"/>
      <c r="ACY354" s="9"/>
      <c r="ACZ354" s="9"/>
      <c r="ADA354" s="9"/>
      <c r="ADB354" s="9"/>
      <c r="ADC354" s="9"/>
      <c r="ADD354" s="9"/>
      <c r="ADE354" s="9"/>
      <c r="ADF354" s="9"/>
      <c r="ADG354" s="9"/>
      <c r="ADH354" s="9"/>
      <c r="ADI354" s="9"/>
      <c r="ADJ354" s="9"/>
      <c r="ADK354" s="9"/>
      <c r="ADL354" s="9"/>
      <c r="ADM354" s="9"/>
      <c r="ADN354" s="9"/>
      <c r="ADO354" s="9"/>
      <c r="ADP354" s="9"/>
      <c r="ADQ354" s="9"/>
      <c r="ADR354" s="9"/>
      <c r="ADS354" s="9"/>
      <c r="ADT354" s="9"/>
      <c r="ADU354" s="9"/>
      <c r="ADV354" s="9"/>
      <c r="ADW354" s="9"/>
      <c r="ADX354" s="9"/>
      <c r="ADY354" s="9"/>
      <c r="ADZ354" s="9"/>
      <c r="AEA354" s="9"/>
      <c r="AEB354" s="9"/>
      <c r="AEC354" s="9"/>
      <c r="AED354" s="9"/>
      <c r="AEE354" s="9"/>
      <c r="AEF354" s="9"/>
      <c r="AEG354" s="9"/>
      <c r="AEH354" s="9"/>
      <c r="AEI354" s="9"/>
      <c r="AEJ354" s="9"/>
      <c r="AEK354" s="9"/>
      <c r="AEL354" s="9"/>
      <c r="AEM354" s="9"/>
      <c r="AEN354" s="9"/>
      <c r="AEO354" s="9"/>
      <c r="AEP354" s="9"/>
      <c r="AEQ354" s="9"/>
      <c r="AER354" s="9"/>
      <c r="AES354" s="9"/>
      <c r="AET354" s="9"/>
      <c r="AEU354" s="9"/>
      <c r="AEV354" s="9"/>
      <c r="AEW354" s="9"/>
      <c r="AEX354" s="9"/>
      <c r="AEY354" s="9"/>
      <c r="AEZ354" s="9"/>
      <c r="AFA354" s="9"/>
      <c r="AFB354" s="9"/>
      <c r="AFC354" s="9"/>
      <c r="AFD354" s="9"/>
      <c r="AFE354" s="9"/>
      <c r="AFF354" s="9"/>
      <c r="AFG354" s="9"/>
      <c r="AFH354" s="9"/>
      <c r="AFI354" s="9"/>
      <c r="AFJ354" s="9"/>
      <c r="AFK354" s="9"/>
      <c r="AFL354" s="9"/>
      <c r="AFM354" s="9"/>
      <c r="AFN354" s="9"/>
      <c r="AFO354" s="9"/>
      <c r="AFP354" s="9"/>
      <c r="AFQ354" s="9"/>
      <c r="AFR354" s="9"/>
      <c r="AFS354" s="9"/>
      <c r="AFT354" s="9"/>
      <c r="AFU354" s="9"/>
      <c r="AFV354" s="9"/>
      <c r="AFW354" s="9"/>
      <c r="AFX354" s="9"/>
      <c r="AFY354" s="9"/>
      <c r="AFZ354" s="9"/>
      <c r="AGA354" s="9"/>
      <c r="AGB354" s="9"/>
      <c r="AGC354" s="9"/>
      <c r="AGD354" s="9"/>
      <c r="AGE354" s="9"/>
      <c r="AGF354" s="9"/>
      <c r="AGG354" s="9"/>
      <c r="AGH354" s="9"/>
      <c r="AGI354" s="9"/>
      <c r="AGJ354" s="9"/>
      <c r="AGK354" s="9"/>
      <c r="AGL354" s="9"/>
      <c r="AGM354" s="9"/>
      <c r="AGN354" s="9"/>
      <c r="AGO354" s="9"/>
      <c r="AGP354" s="9"/>
      <c r="AGQ354" s="9"/>
      <c r="AGR354" s="9"/>
      <c r="AGS354" s="9"/>
      <c r="AGT354" s="9"/>
      <c r="AGU354" s="9"/>
      <c r="AGV354" s="9"/>
      <c r="AGW354" s="9"/>
      <c r="AGX354" s="9"/>
      <c r="AGY354" s="9"/>
      <c r="AGZ354" s="9"/>
      <c r="AHA354" s="9"/>
      <c r="AHB354" s="9"/>
      <c r="AHC354" s="9"/>
      <c r="AHD354" s="9"/>
      <c r="AHE354" s="9"/>
      <c r="AHF354" s="9"/>
      <c r="AHG354" s="9"/>
      <c r="AHH354" s="9"/>
      <c r="AHI354" s="9"/>
      <c r="AHJ354" s="9"/>
      <c r="AHK354" s="9"/>
      <c r="AHL354" s="9"/>
      <c r="AHM354" s="9"/>
      <c r="AHN354" s="9"/>
      <c r="AHO354" s="9"/>
      <c r="AHP354" s="9"/>
      <c r="AHQ354" s="9"/>
      <c r="AHR354" s="9"/>
      <c r="AHS354" s="9"/>
      <c r="AHT354" s="9"/>
      <c r="AHU354" s="9"/>
      <c r="AHV354" s="9"/>
      <c r="AHW354" s="9"/>
      <c r="AHX354" s="9"/>
      <c r="AHY354" s="9"/>
      <c r="AHZ354" s="9"/>
      <c r="AIA354" s="9"/>
      <c r="AIB354" s="9"/>
      <c r="AIC354" s="9"/>
      <c r="AID354" s="9"/>
      <c r="AIE354" s="9"/>
      <c r="AIF354" s="9"/>
      <c r="AIG354" s="9"/>
      <c r="AIH354" s="9"/>
      <c r="AII354" s="9"/>
      <c r="AIJ354" s="9"/>
      <c r="AIK354" s="9"/>
      <c r="AIL354" s="9"/>
      <c r="AIM354" s="9"/>
      <c r="AIN354" s="9"/>
      <c r="AIO354" s="9"/>
      <c r="AIP354" s="9"/>
      <c r="AIQ354" s="9"/>
      <c r="AIR354" s="9"/>
      <c r="AIS354" s="9"/>
      <c r="AIT354" s="9"/>
      <c r="AIU354" s="9"/>
      <c r="AIV354" s="9"/>
      <c r="AIW354" s="9"/>
      <c r="AIX354" s="9"/>
      <c r="AIY354" s="9"/>
      <c r="AIZ354" s="9"/>
      <c r="AJA354" s="9"/>
      <c r="AJB354" s="9"/>
      <c r="AJC354" s="9"/>
      <c r="AJD354" s="9"/>
      <c r="AJE354" s="9"/>
      <c r="AJF354" s="9"/>
      <c r="AJG354" s="9"/>
      <c r="AJH354" s="9"/>
      <c r="AJI354" s="9"/>
      <c r="AJJ354" s="9"/>
      <c r="AJK354" s="9"/>
      <c r="AJL354" s="9"/>
      <c r="AJM354" s="9"/>
      <c r="AJN354" s="9"/>
      <c r="AJO354" s="9"/>
      <c r="AJP354" s="9"/>
      <c r="AJQ354" s="9"/>
      <c r="AJR354" s="9"/>
      <c r="AJS354" s="9"/>
      <c r="AJT354" s="9"/>
      <c r="AJU354" s="9"/>
      <c r="AJV354" s="9"/>
      <c r="AJW354" s="9"/>
      <c r="AJX354" s="9"/>
      <c r="AJY354" s="9"/>
      <c r="AJZ354" s="9"/>
      <c r="AKA354" s="9"/>
      <c r="AKB354" s="9"/>
      <c r="AKC354" s="9"/>
      <c r="AKD354" s="9"/>
      <c r="AKE354" s="9"/>
      <c r="AKF354" s="9"/>
      <c r="AKG354" s="9"/>
      <c r="AKH354" s="9"/>
      <c r="AKI354" s="9"/>
      <c r="AKJ354" s="9"/>
      <c r="AKK354" s="9"/>
      <c r="AKL354" s="9"/>
      <c r="AKM354" s="9"/>
      <c r="AKN354" s="9"/>
      <c r="AKO354" s="9"/>
      <c r="AKP354" s="9"/>
      <c r="AKQ354" s="9"/>
      <c r="AKR354" s="9"/>
      <c r="AKS354" s="9"/>
      <c r="AKT354" s="9"/>
      <c r="AKU354" s="9"/>
      <c r="AKV354" s="9"/>
      <c r="AKW354" s="9"/>
      <c r="AKX354" s="9"/>
      <c r="AKY354" s="9"/>
      <c r="AKZ354" s="9"/>
      <c r="ALA354" s="9"/>
      <c r="ALB354" s="9"/>
      <c r="ALC354" s="9"/>
      <c r="ALD354" s="9"/>
      <c r="ALE354" s="9"/>
      <c r="ALF354" s="9"/>
      <c r="ALG354" s="9"/>
      <c r="ALH354" s="9"/>
      <c r="ALI354" s="9"/>
      <c r="ALJ354" s="9"/>
      <c r="ALK354" s="9"/>
      <c r="ALL354" s="9"/>
      <c r="ALM354" s="9"/>
      <c r="ALN354" s="9"/>
      <c r="ALO354" s="9"/>
      <c r="ALP354" s="9"/>
      <c r="ALQ354" s="9"/>
      <c r="ALR354" s="9"/>
      <c r="ALS354" s="9"/>
      <c r="ALT354" s="9"/>
      <c r="ALU354" s="9"/>
      <c r="ALV354" s="9"/>
      <c r="ALW354" s="9"/>
      <c r="ALX354" s="9"/>
      <c r="ALY354" s="9"/>
      <c r="ALZ354" s="9"/>
      <c r="AMA354" s="9"/>
      <c r="AMB354" s="9"/>
      <c r="AMC354" s="9"/>
      <c r="AMD354" s="9"/>
      <c r="AME354" s="9"/>
      <c r="AMF354" s="9"/>
      <c r="AMG354" s="9"/>
      <c r="AMH354" s="9"/>
      <c r="AMI354" s="9"/>
      <c r="AMJ354" s="9"/>
      <c r="AMK354" s="9"/>
      <c r="AML354" s="9"/>
      <c r="AMM354" s="9"/>
      <c r="AMN354" s="9"/>
      <c r="AMO354" s="9"/>
      <c r="AMP354" s="9"/>
    </row>
    <row r="355" spans="1:1030" s="12" customFormat="1" x14ac:dyDescent="0.2">
      <c r="A355" s="9" t="str">
        <f t="shared" ref="A355" si="2095">CONCATENATE(B355,"_",C355)</f>
        <v>fzd4_human_6BD4</v>
      </c>
      <c r="B355" s="9" t="s">
        <v>450</v>
      </c>
      <c r="C355" s="9" t="s">
        <v>1555</v>
      </c>
      <c r="D355" s="9" t="str">
        <f>IFERROR(MID(VLOOKUP($B355,Seqs!$A:$B,2,0),E355,1),"")</f>
        <v>S</v>
      </c>
      <c r="E355" s="9">
        <v>212</v>
      </c>
      <c r="F355" s="9" t="str">
        <f>IFERROR(MID(VLOOKUP($B355,Seqs!$A:$B,2,0),G355,1),"")</f>
        <v>D</v>
      </c>
      <c r="G355" s="9">
        <v>244</v>
      </c>
      <c r="H355" s="9" t="str">
        <f>IFERROR(MID(VLOOKUP($B355,Seqs!$A:$B,2,0),I355,1),"")</f>
        <v>S</v>
      </c>
      <c r="I355" s="109">
        <v>245</v>
      </c>
      <c r="J355" s="9" t="str">
        <f>IFERROR(MID(VLOOKUP($B355,Seqs!$A:$B,2,0),K355,1),"")</f>
        <v>S</v>
      </c>
      <c r="K355" s="109">
        <v>249</v>
      </c>
      <c r="L355" s="9" t="str">
        <f>IFERROR(MID(VLOOKUP($B355,Seqs!$A:$B,2,0),M355,1),"")</f>
        <v>Y</v>
      </c>
      <c r="M355" s="9">
        <v>250</v>
      </c>
      <c r="N355" s="9" t="str">
        <f>IFERROR(MID(VLOOKUP($B355,Seqs!$A:$B,2,0),O355,1),"")</f>
        <v>G</v>
      </c>
      <c r="O355" s="9">
        <v>276</v>
      </c>
      <c r="P355" s="9" t="str">
        <f>IFERROR(MID(VLOOKUP($B355,Seqs!$A:$B,2,0),Q355,1),"")</f>
        <v/>
      </c>
      <c r="Q355" s="9" t="s">
        <v>23</v>
      </c>
      <c r="R355" s="9" t="str">
        <f>IFERROR(MID(VLOOKUP($B355,Seqs!$A:$B,2,0),S355,1),"")</f>
        <v/>
      </c>
      <c r="S355" s="9" t="s">
        <v>23</v>
      </c>
      <c r="T355" s="9" t="str">
        <f>IFERROR(MID(VLOOKUP($B355,Seqs!$A:$B,2,0),U355,1),"")</f>
        <v>N</v>
      </c>
      <c r="U355" s="9">
        <v>299</v>
      </c>
      <c r="V355" s="9" t="str">
        <f>IFERROR(MID(VLOOKUP($B355,Seqs!$A:$B,2,0),W355,1),"")</f>
        <v>G</v>
      </c>
      <c r="W355" s="9">
        <v>332</v>
      </c>
      <c r="X355" s="9" t="str">
        <f>IFERROR(MID(VLOOKUP($B355,Seqs!$A:$B,2,0),Y355,1),"")</f>
        <v/>
      </c>
      <c r="Y355" s="9" t="s">
        <v>23</v>
      </c>
      <c r="Z355" s="9" t="str">
        <f>IFERROR(MID(VLOOKUP($B355,Seqs!$A:$B,2,0),AA355,1),"")</f>
        <v/>
      </c>
      <c r="AA355" s="9" t="s">
        <v>23</v>
      </c>
      <c r="AB355" s="9" t="str">
        <f>IFERROR(MID(VLOOKUP($B355,Seqs!$A:$B,2,0),AC355,1),"")</f>
        <v>H</v>
      </c>
      <c r="AC355" s="9">
        <v>343</v>
      </c>
      <c r="AD355" s="9" t="str">
        <f>IFERROR(MID(VLOOKUP($B355,Seqs!$A:$B,2,0),AE355,1),"")</f>
        <v>R</v>
      </c>
      <c r="AE355" s="9">
        <v>366</v>
      </c>
      <c r="AF355" s="9" t="str">
        <f>IFERROR(MID(VLOOKUP($B355,Seqs!$A:$B,2,0),AG355,1),"")</f>
        <v>C</v>
      </c>
      <c r="AG355" s="9">
        <v>377</v>
      </c>
      <c r="AH355" s="9" t="str">
        <f>IFERROR(MID(VLOOKUP($B355,Seqs!$A:$B,2,0),AI355,1),"")</f>
        <v>V</v>
      </c>
      <c r="AI355" s="9">
        <v>379</v>
      </c>
      <c r="AJ355" s="9" t="str">
        <f>IFERROR(MID(VLOOKUP($B355,Seqs!$A:$B,2,0),AK355,1),"")</f>
        <v>N</v>
      </c>
      <c r="AK355" s="9">
        <v>383</v>
      </c>
      <c r="AL355" s="9" t="str">
        <f>IFERROR(MID(VLOOKUP($B355,Seqs!$A:$B,2,0),AM355,1),"")</f>
        <v>S</v>
      </c>
      <c r="AM355" s="9">
        <v>418</v>
      </c>
      <c r="AN355" s="9" t="str">
        <f>IFERROR(MID(VLOOKUP($B355,Seqs!$A:$B,2,0),AO355,1),"")</f>
        <v>E</v>
      </c>
      <c r="AO355" s="9">
        <v>431</v>
      </c>
      <c r="AP355" s="9" t="str">
        <f>IFERROR(MID(VLOOKUP($B355,Seqs!$A:$B,2,0),AQ355,1),"")</f>
        <v>N</v>
      </c>
      <c r="AQ355" s="9">
        <v>461</v>
      </c>
      <c r="AR355" s="9" t="str">
        <f>IFERROR(MID(VLOOKUP($B355,Seqs!$A:$B,2,0),AS355,1),"")</f>
        <v>N</v>
      </c>
      <c r="AS355" s="9">
        <v>473</v>
      </c>
      <c r="AT355" s="9" t="str">
        <f>IFERROR(MID(VLOOKUP($B355,Seqs!$A:$B,2,0),AU355,1),"")</f>
        <v>W</v>
      </c>
      <c r="AU355" s="9">
        <v>496</v>
      </c>
      <c r="AV355" s="9" t="str">
        <f>IFERROR(MID(VLOOKUP($B355,Seqs!$A:$B,2,0),AW355,1),"")</f>
        <v>S</v>
      </c>
      <c r="AW355" s="9">
        <v>497</v>
      </c>
      <c r="AX355" s="9" t="str">
        <f>IFERROR(MID(VLOOKUP($B355,Seqs!$A:$B,2,0),AY355,1),"")</f>
        <v>V</v>
      </c>
      <c r="AY355" s="9">
        <v>512</v>
      </c>
      <c r="AZ355" s="110" t="str">
        <f>VLOOKUP(B355,Classification!A:D,2,0)</f>
        <v>F</v>
      </c>
      <c r="BA355" s="98" t="str">
        <f>VLOOKUP(B355,Classification!A:D,4,0)</f>
        <v>Frizzled</v>
      </c>
      <c r="BB355" s="36" t="b">
        <f t="shared" si="2068"/>
        <v>1</v>
      </c>
      <c r="BC355" s="109">
        <f t="shared" si="2069"/>
        <v>235</v>
      </c>
      <c r="BD355" s="11" t="s">
        <v>1377</v>
      </c>
      <c r="BE355" s="9" t="s">
        <v>1375</v>
      </c>
      <c r="BF355" s="120">
        <v>2.4</v>
      </c>
      <c r="BG355" s="51" t="s">
        <v>1</v>
      </c>
      <c r="BH355" s="51" t="s">
        <v>1</v>
      </c>
      <c r="BI355" s="9"/>
      <c r="BJ355" s="111" t="s">
        <v>1288</v>
      </c>
      <c r="BK355" s="112" t="s">
        <v>1288</v>
      </c>
      <c r="BL355" s="112" t="s">
        <v>1288</v>
      </c>
      <c r="BM355" s="112" t="s">
        <v>1288</v>
      </c>
      <c r="BN355" s="112" t="s">
        <v>1288</v>
      </c>
      <c r="BO355" s="112" t="s">
        <v>1288</v>
      </c>
      <c r="BP355" s="112" t="s">
        <v>1288</v>
      </c>
      <c r="BQ355" s="112" t="s">
        <v>1288</v>
      </c>
      <c r="BR355" s="112" t="s">
        <v>1288</v>
      </c>
      <c r="BS355" s="112" t="s">
        <v>1288</v>
      </c>
      <c r="BT355" s="112" t="s">
        <v>1288</v>
      </c>
      <c r="BU355" s="112" t="s">
        <v>1288</v>
      </c>
      <c r="BV355" s="111">
        <f t="shared" si="2070"/>
        <v>212</v>
      </c>
      <c r="BW355" s="113">
        <f t="shared" si="2071"/>
        <v>245</v>
      </c>
      <c r="BX355" s="114">
        <f t="shared" si="2072"/>
        <v>250</v>
      </c>
      <c r="BY355" s="113" t="str">
        <f t="shared" si="2073"/>
        <v>-</v>
      </c>
      <c r="BZ355" s="114">
        <f t="shared" si="2074"/>
        <v>299</v>
      </c>
      <c r="CA355" s="113" t="str">
        <f t="shared" si="2075"/>
        <v>-</v>
      </c>
      <c r="CB355" s="114">
        <f t="shared" si="2076"/>
        <v>343</v>
      </c>
      <c r="CC355" s="113">
        <f t="shared" si="2077"/>
        <v>377</v>
      </c>
      <c r="CD355" s="114">
        <f t="shared" si="2078"/>
        <v>383</v>
      </c>
      <c r="CE355" s="113">
        <f t="shared" si="2079"/>
        <v>431</v>
      </c>
      <c r="CF355" s="114">
        <f t="shared" si="2080"/>
        <v>473</v>
      </c>
      <c r="CG355" s="113">
        <f t="shared" si="2081"/>
        <v>497</v>
      </c>
      <c r="CH355" s="111">
        <f t="shared" si="2082"/>
        <v>244</v>
      </c>
      <c r="CI355" s="113">
        <f t="shared" si="2083"/>
        <v>249</v>
      </c>
      <c r="CJ355" s="114">
        <f t="shared" si="2084"/>
        <v>276</v>
      </c>
      <c r="CK355" s="114" t="str">
        <f t="shared" si="2085"/>
        <v>-</v>
      </c>
      <c r="CL355" s="114">
        <f t="shared" si="2086"/>
        <v>332</v>
      </c>
      <c r="CM355" s="114" t="str">
        <f t="shared" si="2087"/>
        <v>-</v>
      </c>
      <c r="CN355" s="114">
        <f t="shared" si="2088"/>
        <v>366</v>
      </c>
      <c r="CO355" s="114">
        <f t="shared" si="2089"/>
        <v>379</v>
      </c>
      <c r="CP355" s="114">
        <f t="shared" si="2090"/>
        <v>418</v>
      </c>
      <c r="CQ355" s="114">
        <f t="shared" si="2091"/>
        <v>461</v>
      </c>
      <c r="CR355" s="114">
        <f t="shared" si="2092"/>
        <v>496</v>
      </c>
      <c r="CS355" s="114">
        <f t="shared" si="2093"/>
        <v>512</v>
      </c>
      <c r="CT355" s="109">
        <f t="shared" si="2094"/>
        <v>1</v>
      </c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/>
      <c r="JF355" s="9"/>
      <c r="JG355" s="9"/>
      <c r="JH355" s="9"/>
      <c r="JI355" s="9"/>
      <c r="JJ355" s="9"/>
      <c r="JK355" s="9"/>
      <c r="JL355" s="9"/>
      <c r="JM355" s="9"/>
      <c r="JN355" s="9"/>
      <c r="JO355" s="9"/>
      <c r="JP355" s="9"/>
      <c r="JQ355" s="9"/>
      <c r="JR355" s="9"/>
      <c r="JS355" s="9"/>
      <c r="JT355" s="9"/>
      <c r="JU355" s="9"/>
      <c r="JV355" s="9"/>
      <c r="JW355" s="9"/>
      <c r="JX355" s="9"/>
      <c r="JY355" s="9"/>
      <c r="JZ355" s="9"/>
      <c r="KA355" s="9"/>
      <c r="KB355" s="9"/>
      <c r="KC355" s="9"/>
      <c r="KD355" s="9"/>
      <c r="KE355" s="9"/>
      <c r="KF355" s="9"/>
      <c r="KG355" s="9"/>
      <c r="KH355" s="9"/>
      <c r="KI355" s="9"/>
      <c r="KJ355" s="9"/>
      <c r="KK355" s="9"/>
      <c r="KL355" s="9"/>
      <c r="KM355" s="9"/>
      <c r="KN355" s="9"/>
      <c r="KO355" s="9"/>
      <c r="KP355" s="9"/>
      <c r="KQ355" s="9"/>
      <c r="KR355" s="9"/>
      <c r="KS355" s="9"/>
      <c r="KT355" s="9"/>
      <c r="KU355" s="9"/>
      <c r="KV355" s="9"/>
      <c r="KW355" s="9"/>
      <c r="KX355" s="9"/>
      <c r="KY355" s="9"/>
      <c r="KZ355" s="9"/>
      <c r="LA355" s="9"/>
      <c r="LB355" s="9"/>
      <c r="LC355" s="9"/>
      <c r="LD355" s="9"/>
      <c r="LE355" s="9"/>
      <c r="LF355" s="9"/>
      <c r="LG355" s="9"/>
      <c r="LH355" s="9"/>
      <c r="LI355" s="9"/>
      <c r="LJ355" s="9"/>
      <c r="LK355" s="9"/>
      <c r="LL355" s="9"/>
      <c r="LM355" s="9"/>
      <c r="LN355" s="9"/>
      <c r="LO355" s="9"/>
      <c r="LP355" s="9"/>
      <c r="LQ355" s="9"/>
      <c r="LR355" s="9"/>
      <c r="LS355" s="9"/>
      <c r="LT355" s="9"/>
      <c r="LU355" s="9"/>
      <c r="LV355" s="9"/>
      <c r="LW355" s="9"/>
      <c r="LX355" s="9"/>
      <c r="LY355" s="9"/>
      <c r="LZ355" s="9"/>
      <c r="MA355" s="9"/>
      <c r="MB355" s="9"/>
      <c r="MC355" s="9"/>
      <c r="MD355" s="9"/>
      <c r="ME355" s="9"/>
      <c r="MF355" s="9"/>
      <c r="MG355" s="9"/>
      <c r="MH355" s="9"/>
      <c r="MI355" s="9"/>
      <c r="MJ355" s="9"/>
      <c r="MK355" s="9"/>
      <c r="ML355" s="9"/>
      <c r="MM355" s="9"/>
      <c r="MN355" s="9"/>
      <c r="MO355" s="9"/>
      <c r="MP355" s="9"/>
      <c r="MQ355" s="9"/>
      <c r="MR355" s="9"/>
      <c r="MS355" s="9"/>
      <c r="MT355" s="9"/>
      <c r="MU355" s="9"/>
      <c r="MV355" s="9"/>
      <c r="MW355" s="9"/>
      <c r="MX355" s="9"/>
      <c r="MY355" s="9"/>
      <c r="MZ355" s="9"/>
      <c r="NA355" s="9"/>
      <c r="NB355" s="9"/>
      <c r="NC355" s="9"/>
      <c r="ND355" s="9"/>
      <c r="NE355" s="9"/>
      <c r="NF355" s="9"/>
      <c r="NG355" s="9"/>
      <c r="NH355" s="9"/>
      <c r="NI355" s="9"/>
      <c r="NJ355" s="9"/>
      <c r="NK355" s="9"/>
      <c r="NL355" s="9"/>
      <c r="NM355" s="9"/>
      <c r="NN355" s="9"/>
      <c r="NO355" s="9"/>
      <c r="NP355" s="9"/>
      <c r="NQ355" s="9"/>
      <c r="NR355" s="9"/>
      <c r="NS355" s="9"/>
      <c r="NT355" s="9"/>
      <c r="NU355" s="9"/>
      <c r="NV355" s="9"/>
      <c r="NW355" s="9"/>
      <c r="NX355" s="9"/>
      <c r="NY355" s="9"/>
      <c r="NZ355" s="9"/>
      <c r="OA355" s="9"/>
      <c r="OB355" s="9"/>
      <c r="OC355" s="9"/>
      <c r="OD355" s="9"/>
      <c r="OE355" s="9"/>
      <c r="OF355" s="9"/>
      <c r="OG355" s="9"/>
      <c r="OH355" s="9"/>
      <c r="OI355" s="9"/>
      <c r="OJ355" s="9"/>
      <c r="OK355" s="9"/>
      <c r="OL355" s="9"/>
      <c r="OM355" s="9"/>
      <c r="ON355" s="9"/>
      <c r="OO355" s="9"/>
      <c r="OP355" s="9"/>
      <c r="OQ355" s="9"/>
      <c r="OR355" s="9"/>
      <c r="OS355" s="9"/>
      <c r="OT355" s="9"/>
      <c r="OU355" s="9"/>
      <c r="OV355" s="9"/>
      <c r="OW355" s="9"/>
      <c r="OX355" s="9"/>
      <c r="OY355" s="9"/>
      <c r="OZ355" s="9"/>
      <c r="PA355" s="9"/>
      <c r="PB355" s="9"/>
      <c r="PC355" s="9"/>
      <c r="PD355" s="9"/>
      <c r="PE355" s="9"/>
      <c r="PF355" s="9"/>
      <c r="PG355" s="9"/>
      <c r="PH355" s="9"/>
      <c r="PI355" s="9"/>
      <c r="PJ355" s="9"/>
      <c r="PK355" s="9"/>
      <c r="PL355" s="9"/>
      <c r="PM355" s="9"/>
      <c r="PN355" s="9"/>
      <c r="PO355" s="9"/>
      <c r="PP355" s="9"/>
      <c r="PQ355" s="9"/>
      <c r="PR355" s="9"/>
      <c r="PS355" s="9"/>
      <c r="PT355" s="9"/>
      <c r="PU355" s="9"/>
      <c r="PV355" s="9"/>
      <c r="PW355" s="9"/>
      <c r="PX355" s="9"/>
      <c r="PY355" s="9"/>
      <c r="PZ355" s="9"/>
      <c r="QA355" s="9"/>
      <c r="QB355" s="9"/>
      <c r="QC355" s="9"/>
      <c r="QD355" s="9"/>
      <c r="QE355" s="9"/>
      <c r="QF355" s="9"/>
      <c r="QG355" s="9"/>
      <c r="QH355" s="9"/>
      <c r="QI355" s="9"/>
      <c r="QJ355" s="9"/>
      <c r="QK355" s="9"/>
      <c r="QL355" s="9"/>
      <c r="QM355" s="9"/>
      <c r="QN355" s="9"/>
      <c r="QO355" s="9"/>
      <c r="QP355" s="9"/>
      <c r="QQ355" s="9"/>
      <c r="QR355" s="9"/>
      <c r="QS355" s="9"/>
      <c r="QT355" s="9"/>
      <c r="QU355" s="9"/>
      <c r="QV355" s="9"/>
      <c r="QW355" s="9"/>
      <c r="QX355" s="9"/>
      <c r="QY355" s="9"/>
      <c r="QZ355" s="9"/>
      <c r="RA355" s="9"/>
      <c r="RB355" s="9"/>
      <c r="RC355" s="9"/>
      <c r="RD355" s="9"/>
      <c r="RE355" s="9"/>
      <c r="RF355" s="9"/>
      <c r="RG355" s="9"/>
      <c r="RH355" s="9"/>
      <c r="RI355" s="9"/>
      <c r="RJ355" s="9"/>
      <c r="RK355" s="9"/>
      <c r="RL355" s="9"/>
      <c r="RM355" s="9"/>
      <c r="RN355" s="9"/>
      <c r="RO355" s="9"/>
      <c r="RP355" s="9"/>
      <c r="RQ355" s="9"/>
      <c r="RR355" s="9"/>
      <c r="RS355" s="9"/>
      <c r="RT355" s="9"/>
      <c r="RU355" s="9"/>
      <c r="RV355" s="9"/>
      <c r="RW355" s="9"/>
      <c r="RX355" s="9"/>
      <c r="RY355" s="9"/>
      <c r="RZ355" s="9"/>
      <c r="SA355" s="9"/>
      <c r="SB355" s="9"/>
      <c r="SC355" s="9"/>
      <c r="SD355" s="9"/>
      <c r="SE355" s="9"/>
      <c r="SF355" s="9"/>
      <c r="SG355" s="9"/>
      <c r="SH355" s="9"/>
      <c r="SI355" s="9"/>
      <c r="SJ355" s="9"/>
      <c r="SK355" s="9"/>
      <c r="SL355" s="9"/>
      <c r="SM355" s="9"/>
      <c r="SN355" s="9"/>
      <c r="SO355" s="9"/>
      <c r="SP355" s="9"/>
      <c r="SQ355" s="9"/>
      <c r="SR355" s="9"/>
      <c r="SS355" s="9"/>
      <c r="ST355" s="9"/>
      <c r="SU355" s="9"/>
      <c r="SV355" s="9"/>
      <c r="SW355" s="9"/>
      <c r="SX355" s="9"/>
      <c r="SY355" s="9"/>
      <c r="SZ355" s="9"/>
      <c r="TA355" s="9"/>
      <c r="TB355" s="9"/>
      <c r="TC355" s="9"/>
      <c r="TD355" s="9"/>
      <c r="TE355" s="9"/>
      <c r="TF355" s="9"/>
      <c r="TG355" s="9"/>
      <c r="TH355" s="9"/>
      <c r="TI355" s="9"/>
      <c r="TJ355" s="9"/>
      <c r="TK355" s="9"/>
      <c r="TL355" s="9"/>
      <c r="TM355" s="9"/>
      <c r="TN355" s="9"/>
      <c r="TO355" s="9"/>
      <c r="TP355" s="9"/>
      <c r="TQ355" s="9"/>
      <c r="TR355" s="9"/>
      <c r="TS355" s="9"/>
      <c r="TT355" s="9"/>
      <c r="TU355" s="9"/>
      <c r="TV355" s="9"/>
      <c r="TW355" s="9"/>
      <c r="TX355" s="9"/>
      <c r="TY355" s="9"/>
      <c r="TZ355" s="9"/>
      <c r="UA355" s="9"/>
      <c r="UB355" s="9"/>
      <c r="UC355" s="9"/>
      <c r="UD355" s="9"/>
      <c r="UE355" s="9"/>
      <c r="UF355" s="9"/>
      <c r="UG355" s="9"/>
      <c r="UH355" s="9"/>
      <c r="UI355" s="9"/>
      <c r="UJ355" s="9"/>
      <c r="UK355" s="9"/>
      <c r="UL355" s="9"/>
      <c r="UM355" s="9"/>
      <c r="UN355" s="9"/>
      <c r="UO355" s="9"/>
      <c r="UP355" s="9"/>
      <c r="UQ355" s="9"/>
      <c r="UR355" s="9"/>
      <c r="US355" s="9"/>
      <c r="UT355" s="9"/>
      <c r="UU355" s="9"/>
      <c r="UV355" s="9"/>
      <c r="UW355" s="9"/>
      <c r="UX355" s="9"/>
      <c r="UY355" s="9"/>
      <c r="UZ355" s="9"/>
      <c r="VA355" s="9"/>
      <c r="VB355" s="9"/>
      <c r="VC355" s="9"/>
      <c r="VD355" s="9"/>
      <c r="VE355" s="9"/>
      <c r="VF355" s="9"/>
      <c r="VG355" s="9"/>
      <c r="VH355" s="9"/>
      <c r="VI355" s="9"/>
      <c r="VJ355" s="9"/>
      <c r="VK355" s="9"/>
      <c r="VL355" s="9"/>
      <c r="VM355" s="9"/>
      <c r="VN355" s="9"/>
      <c r="VO355" s="9"/>
      <c r="VP355" s="9"/>
      <c r="VQ355" s="9"/>
      <c r="VR355" s="9"/>
      <c r="VS355" s="9"/>
      <c r="VT355" s="9"/>
      <c r="VU355" s="9"/>
      <c r="VV355" s="9"/>
      <c r="VW355" s="9"/>
      <c r="VX355" s="9"/>
      <c r="VY355" s="9"/>
      <c r="VZ355" s="9"/>
      <c r="WA355" s="9"/>
      <c r="WB355" s="9"/>
      <c r="WC355" s="9"/>
      <c r="WD355" s="9"/>
      <c r="WE355" s="9"/>
      <c r="WF355" s="9"/>
      <c r="WG355" s="9"/>
      <c r="WH355" s="9"/>
      <c r="WI355" s="9"/>
      <c r="WJ355" s="9"/>
      <c r="WK355" s="9"/>
      <c r="WL355" s="9"/>
      <c r="WM355" s="9"/>
      <c r="WN355" s="9"/>
      <c r="WO355" s="9"/>
      <c r="WP355" s="9"/>
      <c r="WQ355" s="9"/>
      <c r="WR355" s="9"/>
      <c r="WS355" s="9"/>
      <c r="WT355" s="9"/>
      <c r="WU355" s="9"/>
      <c r="WV355" s="9"/>
      <c r="WW355" s="9"/>
      <c r="WX355" s="9"/>
      <c r="WY355" s="9"/>
      <c r="WZ355" s="9"/>
      <c r="XA355" s="9"/>
      <c r="XB355" s="9"/>
      <c r="XC355" s="9"/>
      <c r="XD355" s="9"/>
      <c r="XE355" s="9"/>
      <c r="XF355" s="9"/>
      <c r="XG355" s="9"/>
      <c r="XH355" s="9"/>
      <c r="XI355" s="9"/>
      <c r="XJ355" s="9"/>
      <c r="XK355" s="9"/>
      <c r="XL355" s="9"/>
      <c r="XM355" s="9"/>
      <c r="XN355" s="9"/>
      <c r="XO355" s="9"/>
      <c r="XP355" s="9"/>
      <c r="XQ355" s="9"/>
      <c r="XR355" s="9"/>
      <c r="XS355" s="9"/>
      <c r="XT355" s="9"/>
      <c r="XU355" s="9"/>
      <c r="XV355" s="9"/>
      <c r="XW355" s="9"/>
      <c r="XX355" s="9"/>
      <c r="XY355" s="9"/>
      <c r="XZ355" s="9"/>
      <c r="YA355" s="9"/>
      <c r="YB355" s="9"/>
      <c r="YC355" s="9"/>
      <c r="YD355" s="9"/>
      <c r="YE355" s="9"/>
      <c r="YF355" s="9"/>
      <c r="YG355" s="9"/>
      <c r="YH355" s="9"/>
      <c r="YI355" s="9"/>
      <c r="YJ355" s="9"/>
      <c r="YK355" s="9"/>
      <c r="YL355" s="9"/>
      <c r="YM355" s="9"/>
      <c r="YN355" s="9"/>
      <c r="YO355" s="9"/>
      <c r="YP355" s="9"/>
      <c r="YQ355" s="9"/>
      <c r="YR355" s="9"/>
      <c r="YS355" s="9"/>
      <c r="YT355" s="9"/>
      <c r="YU355" s="9"/>
      <c r="YV355" s="9"/>
      <c r="YW355" s="9"/>
      <c r="YX355" s="9"/>
      <c r="YY355" s="9"/>
      <c r="YZ355" s="9"/>
      <c r="ZA355" s="9"/>
      <c r="ZB355" s="9"/>
      <c r="ZC355" s="9"/>
      <c r="ZD355" s="9"/>
      <c r="ZE355" s="9"/>
      <c r="ZF355" s="9"/>
      <c r="ZG355" s="9"/>
      <c r="ZH355" s="9"/>
      <c r="ZI355" s="9"/>
      <c r="ZJ355" s="9"/>
      <c r="ZK355" s="9"/>
      <c r="ZL355" s="9"/>
      <c r="ZM355" s="9"/>
      <c r="ZN355" s="9"/>
      <c r="ZO355" s="9"/>
      <c r="ZP355" s="9"/>
      <c r="ZQ355" s="9"/>
      <c r="ZR355" s="9"/>
      <c r="ZS355" s="9"/>
      <c r="ZT355" s="9"/>
      <c r="ZU355" s="9"/>
      <c r="ZV355" s="9"/>
      <c r="ZW355" s="9"/>
      <c r="ZX355" s="9"/>
      <c r="ZY355" s="9"/>
      <c r="ZZ355" s="9"/>
      <c r="AAA355" s="9"/>
      <c r="AAB355" s="9"/>
      <c r="AAC355" s="9"/>
      <c r="AAD355" s="9"/>
      <c r="AAE355" s="9"/>
      <c r="AAF355" s="9"/>
      <c r="AAG355" s="9"/>
      <c r="AAH355" s="9"/>
      <c r="AAI355" s="9"/>
      <c r="AAJ355" s="9"/>
      <c r="AAK355" s="9"/>
      <c r="AAL355" s="9"/>
      <c r="AAM355" s="9"/>
      <c r="AAN355" s="9"/>
      <c r="AAO355" s="9"/>
      <c r="AAP355" s="9"/>
      <c r="AAQ355" s="9"/>
      <c r="AAR355" s="9"/>
      <c r="AAS355" s="9"/>
      <c r="AAT355" s="9"/>
      <c r="AAU355" s="9"/>
      <c r="AAV355" s="9"/>
      <c r="AAW355" s="9"/>
      <c r="AAX355" s="9"/>
      <c r="AAY355" s="9"/>
      <c r="AAZ355" s="9"/>
      <c r="ABA355" s="9"/>
      <c r="ABB355" s="9"/>
      <c r="ABC355" s="9"/>
      <c r="ABD355" s="9"/>
      <c r="ABE355" s="9"/>
      <c r="ABF355" s="9"/>
      <c r="ABG355" s="9"/>
      <c r="ABH355" s="9"/>
      <c r="ABI355" s="9"/>
      <c r="ABJ355" s="9"/>
      <c r="ABK355" s="9"/>
      <c r="ABL355" s="9"/>
      <c r="ABM355" s="9"/>
      <c r="ABN355" s="9"/>
      <c r="ABO355" s="9"/>
      <c r="ABP355" s="9"/>
      <c r="ABQ355" s="9"/>
      <c r="ABR355" s="9"/>
      <c r="ABS355" s="9"/>
      <c r="ABT355" s="9"/>
      <c r="ABU355" s="9"/>
      <c r="ABV355" s="9"/>
      <c r="ABW355" s="9"/>
      <c r="ABX355" s="9"/>
      <c r="ABY355" s="9"/>
      <c r="ABZ355" s="9"/>
      <c r="ACA355" s="9"/>
      <c r="ACB355" s="9"/>
      <c r="ACC355" s="9"/>
      <c r="ACD355" s="9"/>
      <c r="ACE355" s="9"/>
      <c r="ACF355" s="9"/>
      <c r="ACG355" s="9"/>
      <c r="ACH355" s="9"/>
      <c r="ACI355" s="9"/>
      <c r="ACJ355" s="9"/>
      <c r="ACK355" s="9"/>
      <c r="ACL355" s="9"/>
      <c r="ACM355" s="9"/>
      <c r="ACN355" s="9"/>
      <c r="ACO355" s="9"/>
      <c r="ACP355" s="9"/>
      <c r="ACQ355" s="9"/>
      <c r="ACR355" s="9"/>
      <c r="ACS355" s="9"/>
      <c r="ACT355" s="9"/>
      <c r="ACU355" s="9"/>
      <c r="ACV355" s="9"/>
      <c r="ACW355" s="9"/>
      <c r="ACX355" s="9"/>
      <c r="ACY355" s="9"/>
      <c r="ACZ355" s="9"/>
      <c r="ADA355" s="9"/>
      <c r="ADB355" s="9"/>
      <c r="ADC355" s="9"/>
      <c r="ADD355" s="9"/>
      <c r="ADE355" s="9"/>
      <c r="ADF355" s="9"/>
      <c r="ADG355" s="9"/>
      <c r="ADH355" s="9"/>
      <c r="ADI355" s="9"/>
      <c r="ADJ355" s="9"/>
      <c r="ADK355" s="9"/>
      <c r="ADL355" s="9"/>
      <c r="ADM355" s="9"/>
      <c r="ADN355" s="9"/>
      <c r="ADO355" s="9"/>
      <c r="ADP355" s="9"/>
      <c r="ADQ355" s="9"/>
      <c r="ADR355" s="9"/>
      <c r="ADS355" s="9"/>
      <c r="ADT355" s="9"/>
      <c r="ADU355" s="9"/>
      <c r="ADV355" s="9"/>
      <c r="ADW355" s="9"/>
      <c r="ADX355" s="9"/>
      <c r="ADY355" s="9"/>
      <c r="ADZ355" s="9"/>
      <c r="AEA355" s="9"/>
      <c r="AEB355" s="9"/>
      <c r="AEC355" s="9"/>
      <c r="AED355" s="9"/>
      <c r="AEE355" s="9"/>
      <c r="AEF355" s="9"/>
      <c r="AEG355" s="9"/>
      <c r="AEH355" s="9"/>
      <c r="AEI355" s="9"/>
      <c r="AEJ355" s="9"/>
      <c r="AEK355" s="9"/>
      <c r="AEL355" s="9"/>
      <c r="AEM355" s="9"/>
      <c r="AEN355" s="9"/>
      <c r="AEO355" s="9"/>
      <c r="AEP355" s="9"/>
      <c r="AEQ355" s="9"/>
      <c r="AER355" s="9"/>
      <c r="AES355" s="9"/>
      <c r="AET355" s="9"/>
      <c r="AEU355" s="9"/>
      <c r="AEV355" s="9"/>
      <c r="AEW355" s="9"/>
      <c r="AEX355" s="9"/>
      <c r="AEY355" s="9"/>
      <c r="AEZ355" s="9"/>
      <c r="AFA355" s="9"/>
      <c r="AFB355" s="9"/>
      <c r="AFC355" s="9"/>
      <c r="AFD355" s="9"/>
      <c r="AFE355" s="9"/>
      <c r="AFF355" s="9"/>
      <c r="AFG355" s="9"/>
      <c r="AFH355" s="9"/>
      <c r="AFI355" s="9"/>
      <c r="AFJ355" s="9"/>
      <c r="AFK355" s="9"/>
      <c r="AFL355" s="9"/>
      <c r="AFM355" s="9"/>
      <c r="AFN355" s="9"/>
      <c r="AFO355" s="9"/>
      <c r="AFP355" s="9"/>
      <c r="AFQ355" s="9"/>
      <c r="AFR355" s="9"/>
      <c r="AFS355" s="9"/>
      <c r="AFT355" s="9"/>
      <c r="AFU355" s="9"/>
      <c r="AFV355" s="9"/>
      <c r="AFW355" s="9"/>
      <c r="AFX355" s="9"/>
      <c r="AFY355" s="9"/>
      <c r="AFZ355" s="9"/>
      <c r="AGA355" s="9"/>
      <c r="AGB355" s="9"/>
      <c r="AGC355" s="9"/>
      <c r="AGD355" s="9"/>
      <c r="AGE355" s="9"/>
      <c r="AGF355" s="9"/>
      <c r="AGG355" s="9"/>
      <c r="AGH355" s="9"/>
      <c r="AGI355" s="9"/>
      <c r="AGJ355" s="9"/>
      <c r="AGK355" s="9"/>
      <c r="AGL355" s="9"/>
      <c r="AGM355" s="9"/>
      <c r="AGN355" s="9"/>
      <c r="AGO355" s="9"/>
      <c r="AGP355" s="9"/>
      <c r="AGQ355" s="9"/>
      <c r="AGR355" s="9"/>
      <c r="AGS355" s="9"/>
      <c r="AGT355" s="9"/>
      <c r="AGU355" s="9"/>
      <c r="AGV355" s="9"/>
      <c r="AGW355" s="9"/>
      <c r="AGX355" s="9"/>
      <c r="AGY355" s="9"/>
      <c r="AGZ355" s="9"/>
      <c r="AHA355" s="9"/>
      <c r="AHB355" s="9"/>
      <c r="AHC355" s="9"/>
      <c r="AHD355" s="9"/>
      <c r="AHE355" s="9"/>
      <c r="AHF355" s="9"/>
      <c r="AHG355" s="9"/>
      <c r="AHH355" s="9"/>
      <c r="AHI355" s="9"/>
      <c r="AHJ355" s="9"/>
      <c r="AHK355" s="9"/>
      <c r="AHL355" s="9"/>
      <c r="AHM355" s="9"/>
      <c r="AHN355" s="9"/>
      <c r="AHO355" s="9"/>
      <c r="AHP355" s="9"/>
      <c r="AHQ355" s="9"/>
      <c r="AHR355" s="9"/>
      <c r="AHS355" s="9"/>
      <c r="AHT355" s="9"/>
      <c r="AHU355" s="9"/>
      <c r="AHV355" s="9"/>
      <c r="AHW355" s="9"/>
      <c r="AHX355" s="9"/>
      <c r="AHY355" s="9"/>
      <c r="AHZ355" s="9"/>
      <c r="AIA355" s="9"/>
      <c r="AIB355" s="9"/>
      <c r="AIC355" s="9"/>
      <c r="AID355" s="9"/>
      <c r="AIE355" s="9"/>
      <c r="AIF355" s="9"/>
      <c r="AIG355" s="9"/>
      <c r="AIH355" s="9"/>
      <c r="AII355" s="9"/>
      <c r="AIJ355" s="9"/>
      <c r="AIK355" s="9"/>
      <c r="AIL355" s="9"/>
      <c r="AIM355" s="9"/>
      <c r="AIN355" s="9"/>
      <c r="AIO355" s="9"/>
      <c r="AIP355" s="9"/>
      <c r="AIQ355" s="9"/>
      <c r="AIR355" s="9"/>
      <c r="AIS355" s="9"/>
      <c r="AIT355" s="9"/>
      <c r="AIU355" s="9"/>
      <c r="AIV355" s="9"/>
      <c r="AIW355" s="9"/>
      <c r="AIX355" s="9"/>
      <c r="AIY355" s="9"/>
      <c r="AIZ355" s="9"/>
      <c r="AJA355" s="9"/>
      <c r="AJB355" s="9"/>
      <c r="AJC355" s="9"/>
      <c r="AJD355" s="9"/>
      <c r="AJE355" s="9"/>
      <c r="AJF355" s="9"/>
      <c r="AJG355" s="9"/>
      <c r="AJH355" s="9"/>
      <c r="AJI355" s="9"/>
      <c r="AJJ355" s="9"/>
      <c r="AJK355" s="9"/>
      <c r="AJL355" s="9"/>
      <c r="AJM355" s="9"/>
      <c r="AJN355" s="9"/>
      <c r="AJO355" s="9"/>
      <c r="AJP355" s="9"/>
      <c r="AJQ355" s="9"/>
      <c r="AJR355" s="9"/>
      <c r="AJS355" s="9"/>
      <c r="AJT355" s="9"/>
      <c r="AJU355" s="9"/>
      <c r="AJV355" s="9"/>
      <c r="AJW355" s="9"/>
      <c r="AJX355" s="9"/>
      <c r="AJY355" s="9"/>
      <c r="AJZ355" s="9"/>
      <c r="AKA355" s="9"/>
      <c r="AKB355" s="9"/>
      <c r="AKC355" s="9"/>
      <c r="AKD355" s="9"/>
      <c r="AKE355" s="9"/>
      <c r="AKF355" s="9"/>
      <c r="AKG355" s="9"/>
      <c r="AKH355" s="9"/>
      <c r="AKI355" s="9"/>
      <c r="AKJ355" s="9"/>
      <c r="AKK355" s="9"/>
      <c r="AKL355" s="9"/>
      <c r="AKM355" s="9"/>
      <c r="AKN355" s="9"/>
      <c r="AKO355" s="9"/>
      <c r="AKP355" s="9"/>
      <c r="AKQ355" s="9"/>
      <c r="AKR355" s="9"/>
      <c r="AKS355" s="9"/>
      <c r="AKT355" s="9"/>
      <c r="AKU355" s="9"/>
      <c r="AKV355" s="9"/>
      <c r="AKW355" s="9"/>
      <c r="AKX355" s="9"/>
      <c r="AKY355" s="9"/>
      <c r="AKZ355" s="9"/>
      <c r="ALA355" s="9"/>
      <c r="ALB355" s="9"/>
      <c r="ALC355" s="9"/>
      <c r="ALD355" s="9"/>
      <c r="ALE355" s="9"/>
      <c r="ALF355" s="9"/>
      <c r="ALG355" s="9"/>
      <c r="ALH355" s="9"/>
      <c r="ALI355" s="9"/>
      <c r="ALJ355" s="9"/>
      <c r="ALK355" s="9"/>
      <c r="ALL355" s="9"/>
      <c r="ALM355" s="9"/>
      <c r="ALN355" s="9"/>
      <c r="ALO355" s="9"/>
      <c r="ALP355" s="9"/>
      <c r="ALQ355" s="9"/>
      <c r="ALR355" s="9"/>
      <c r="ALS355" s="9"/>
      <c r="ALT355" s="9"/>
      <c r="ALU355" s="9"/>
      <c r="ALV355" s="9"/>
      <c r="ALW355" s="9"/>
      <c r="ALX355" s="9"/>
      <c r="ALY355" s="9"/>
      <c r="ALZ355" s="9"/>
      <c r="AMA355" s="9"/>
      <c r="AMB355" s="9"/>
      <c r="AMC355" s="9"/>
      <c r="AMD355" s="9"/>
      <c r="AME355" s="9"/>
      <c r="AMF355" s="9"/>
      <c r="AMG355" s="9"/>
      <c r="AMH355" s="9"/>
      <c r="AMI355" s="9"/>
      <c r="AMJ355" s="9"/>
      <c r="AMK355" s="9"/>
      <c r="AML355" s="9"/>
      <c r="AMM355" s="9"/>
      <c r="AMN355" s="9"/>
      <c r="AMO355" s="9"/>
      <c r="AMP355" s="9"/>
    </row>
    <row r="356" spans="1:1030" x14ac:dyDescent="0.2">
      <c r="A356" s="3" t="str">
        <f t="shared" si="1898"/>
        <v>smo_human__wt</v>
      </c>
      <c r="B356" s="3" t="s">
        <v>33</v>
      </c>
      <c r="C356" s="3" t="s">
        <v>100</v>
      </c>
      <c r="D356" s="3" t="str">
        <f>IFERROR(MID(VLOOKUP($B356,Seqs!$A:$B,2,0),E356,1),"")</f>
        <v>T</v>
      </c>
      <c r="E356" s="105">
        <v>223</v>
      </c>
      <c r="F356" s="3" t="str">
        <f>IFERROR(MID(VLOOKUP($B356,Seqs!$A:$B,2,0),G356,1),"")</f>
        <v>D</v>
      </c>
      <c r="G356" s="3">
        <v>255</v>
      </c>
      <c r="H356" s="3" t="str">
        <f>IFERROR(MID(VLOOKUP($B356,Seqs!$A:$B,2,0),I356,1),"")</f>
        <v>W</v>
      </c>
      <c r="I356" s="23">
        <v>256</v>
      </c>
      <c r="J356" s="3" t="str">
        <f>IFERROR(MID(VLOOKUP($B356,Seqs!$A:$B,2,0),K356,1),"")</f>
        <v>N</v>
      </c>
      <c r="K356" s="23">
        <v>260</v>
      </c>
      <c r="L356" s="3" t="str">
        <f>IFERROR(MID(VLOOKUP($B356,Seqs!$A:$B,2,0),M356,1),"")</f>
        <v>R</v>
      </c>
      <c r="M356" s="3">
        <v>261</v>
      </c>
      <c r="N356" s="3" t="str">
        <f>IFERROR(MID(VLOOKUP($B356,Seqs!$A:$B,2,0),O356,1),"")</f>
        <v>F</v>
      </c>
      <c r="O356" s="3">
        <v>285</v>
      </c>
      <c r="P356" s="3" t="str">
        <f>IFERROR(MID(VLOOKUP($B356,Seqs!$A:$B,2,0),Q356,1),"")</f>
        <v/>
      </c>
      <c r="Q356" s="3" t="s">
        <v>23</v>
      </c>
      <c r="R356" s="3" t="str">
        <f>IFERROR(MID(VLOOKUP($B356,Seqs!$A:$B,2,0),S356,1),"")</f>
        <v/>
      </c>
      <c r="S356" s="3" t="s">
        <v>23</v>
      </c>
      <c r="T356" s="3" t="str">
        <f>IFERROR(MID(VLOOKUP($B356,Seqs!$A:$B,2,0),U356,1),"")</f>
        <v>L</v>
      </c>
      <c r="U356" s="3">
        <v>312</v>
      </c>
      <c r="V356" s="3" t="str">
        <f>IFERROR(MID(VLOOKUP($B356,Seqs!$A:$B,2,0),W356,1),"")</f>
        <v>A</v>
      </c>
      <c r="W356" s="105">
        <v>345</v>
      </c>
      <c r="X356" s="3" t="str">
        <f>IFERROR(MID(VLOOKUP($B356,Seqs!$A:$B,2,0),Y356,1),"")</f>
        <v/>
      </c>
      <c r="Y356" s="3" t="s">
        <v>23</v>
      </c>
      <c r="Z356" s="3" t="str">
        <f>IFERROR(MID(VLOOKUP($B356,Seqs!$A:$B,2,0),AA356,1),"")</f>
        <v/>
      </c>
      <c r="AA356" s="3" t="s">
        <v>23</v>
      </c>
      <c r="AB356" s="3" t="str">
        <f>IFERROR(MID(VLOOKUP($B356,Seqs!$A:$B,2,0),AC356,1),"")</f>
        <v>K</v>
      </c>
      <c r="AC356" s="9">
        <v>356</v>
      </c>
      <c r="AD356" s="3" t="str">
        <f>IFERROR(MID(VLOOKUP($B356,Seqs!$A:$B,2,0),AE356,1),"")</f>
        <v>V</v>
      </c>
      <c r="AE356" s="3">
        <v>378</v>
      </c>
      <c r="AF356" s="3" t="str">
        <f>IFERROR(MID(VLOOKUP($B356,Seqs!$A:$B,2,0),AG356,1),"")</f>
        <v>C</v>
      </c>
      <c r="AG356" s="3">
        <v>390</v>
      </c>
      <c r="AH356" s="3" t="str">
        <f>IFERROR(MID(VLOOKUP($B356,Seqs!$A:$B,2,0),AI356,1),"")</f>
        <v>V</v>
      </c>
      <c r="AI356" s="3">
        <v>392</v>
      </c>
      <c r="AJ356" s="3" t="str">
        <f>IFERROR(MID(VLOOKUP($B356,Seqs!$A:$B,2,0),AK356,1),"")</f>
        <v>N</v>
      </c>
      <c r="AK356" s="105">
        <v>396</v>
      </c>
      <c r="AL356" s="3" t="str">
        <f>IFERROR(MID(VLOOKUP($B356,Seqs!$A:$B,2,0),AM356,1),"")</f>
        <v>H</v>
      </c>
      <c r="AM356" s="3">
        <v>433</v>
      </c>
      <c r="AN356" s="3" t="str">
        <f>IFERROR(MID(VLOOKUP($B356,Seqs!$A:$B,2,0),AO356,1),"")</f>
        <v>A</v>
      </c>
      <c r="AO356" s="3">
        <v>442</v>
      </c>
      <c r="AP356" s="3" t="str">
        <f>IFERROR(MID(VLOOKUP($B356,Seqs!$A:$B,2,0),AQ356,1),"")</f>
        <v>I</v>
      </c>
      <c r="AQ356" s="3">
        <v>496</v>
      </c>
      <c r="AR356" s="3" t="str">
        <f>IFERROR(MID(VLOOKUP($B356,Seqs!$A:$B,2,0),AS356,1),"")</f>
        <v>S</v>
      </c>
      <c r="AS356" s="105">
        <v>514</v>
      </c>
      <c r="AT356" s="3" t="str">
        <f>IFERROR(MID(VLOOKUP($B356,Seqs!$A:$B,2,0),AU356,1),"")</f>
        <v>W</v>
      </c>
      <c r="AU356" s="3">
        <v>537</v>
      </c>
      <c r="AV356" s="3" t="str">
        <f>IFERROR(MID(VLOOKUP($B356,Seqs!$A:$B,2,0),AW356,1),"")</f>
        <v>T</v>
      </c>
      <c r="AW356" s="3">
        <v>538</v>
      </c>
      <c r="AX356" s="3" t="str">
        <f>IFERROR(MID(VLOOKUP($B356,Seqs!$A:$B,2,0),AY356,1),"")</f>
        <v>T</v>
      </c>
      <c r="AY356" s="3">
        <v>553</v>
      </c>
      <c r="AZ356" s="77" t="str">
        <f>VLOOKUP(B356,Classification!A:D,2,0)</f>
        <v>F</v>
      </c>
      <c r="BA356" s="94" t="str">
        <f>VLOOKUP(B356,Classification!A:D,4,0)</f>
        <v>Frizzled</v>
      </c>
      <c r="BB356" s="27" t="b">
        <f t="shared" si="1899"/>
        <v>1</v>
      </c>
      <c r="BC356" s="23">
        <f t="shared" si="1872"/>
        <v>258</v>
      </c>
      <c r="BD356" s="56" t="s">
        <v>23</v>
      </c>
      <c r="BE356" s="3" t="s">
        <v>23</v>
      </c>
      <c r="BF356" s="119" t="s">
        <v>23</v>
      </c>
      <c r="BG356" s="49" t="s">
        <v>1373</v>
      </c>
      <c r="BH356" s="49" t="s">
        <v>1378</v>
      </c>
      <c r="BJ356" s="70" t="s">
        <v>1288</v>
      </c>
      <c r="BK356" s="57" t="s">
        <v>1288</v>
      </c>
      <c r="BL356" s="57" t="s">
        <v>1288</v>
      </c>
      <c r="BM356" s="57" t="s">
        <v>1288</v>
      </c>
      <c r="BN356" s="57" t="s">
        <v>1288</v>
      </c>
      <c r="BO356" s="57" t="s">
        <v>1288</v>
      </c>
      <c r="BP356" s="57" t="s">
        <v>1288</v>
      </c>
      <c r="BQ356" s="57" t="s">
        <v>1288</v>
      </c>
      <c r="BR356" s="57" t="s">
        <v>1288</v>
      </c>
      <c r="BS356" s="57" t="s">
        <v>1288</v>
      </c>
      <c r="BT356" s="57" t="s">
        <v>1288</v>
      </c>
      <c r="BU356" s="57" t="s">
        <v>1288</v>
      </c>
      <c r="BV356" s="70">
        <f t="shared" si="1873"/>
        <v>223</v>
      </c>
      <c r="BW356" s="71">
        <f t="shared" si="1874"/>
        <v>256</v>
      </c>
      <c r="BX356" s="72">
        <f t="shared" si="1875"/>
        <v>261</v>
      </c>
      <c r="BY356" s="71" t="str">
        <f t="shared" si="1876"/>
        <v>-</v>
      </c>
      <c r="BZ356" s="72">
        <f t="shared" si="1877"/>
        <v>312</v>
      </c>
      <c r="CA356" s="71" t="str">
        <f t="shared" si="1878"/>
        <v>-</v>
      </c>
      <c r="CB356" s="72">
        <f t="shared" si="1879"/>
        <v>356</v>
      </c>
      <c r="CC356" s="71">
        <f t="shared" si="1880"/>
        <v>390</v>
      </c>
      <c r="CD356" s="72">
        <f t="shared" si="1881"/>
        <v>396</v>
      </c>
      <c r="CE356" s="71">
        <f t="shared" si="1882"/>
        <v>442</v>
      </c>
      <c r="CF356" s="72">
        <f t="shared" si="1883"/>
        <v>514</v>
      </c>
      <c r="CG356" s="71">
        <f t="shared" si="1884"/>
        <v>538</v>
      </c>
      <c r="CH356" s="70">
        <f t="shared" si="1885"/>
        <v>255</v>
      </c>
      <c r="CI356" s="71">
        <f t="shared" si="1886"/>
        <v>260</v>
      </c>
      <c r="CJ356" s="72">
        <f t="shared" si="1887"/>
        <v>285</v>
      </c>
      <c r="CK356" s="72" t="str">
        <f t="shared" si="1888"/>
        <v>-</v>
      </c>
      <c r="CL356" s="72">
        <f t="shared" si="1889"/>
        <v>345</v>
      </c>
      <c r="CM356" s="72" t="str">
        <f t="shared" si="1890"/>
        <v>-</v>
      </c>
      <c r="CN356" s="72">
        <f t="shared" si="1891"/>
        <v>378</v>
      </c>
      <c r="CO356" s="72">
        <f t="shared" si="1892"/>
        <v>392</v>
      </c>
      <c r="CP356" s="72">
        <f t="shared" si="1893"/>
        <v>433</v>
      </c>
      <c r="CQ356" s="72">
        <f t="shared" si="1894"/>
        <v>496</v>
      </c>
      <c r="CR356" s="72">
        <f t="shared" si="1895"/>
        <v>537</v>
      </c>
      <c r="CS356" s="72">
        <f t="shared" si="1896"/>
        <v>553</v>
      </c>
      <c r="CT356" s="23">
        <f t="shared" si="1897"/>
        <v>1</v>
      </c>
    </row>
    <row r="357" spans="1:1030" x14ac:dyDescent="0.2">
      <c r="A357" s="3" t="str">
        <f t="shared" si="1898"/>
        <v>smo_human_4JKV</v>
      </c>
      <c r="B357" s="3" t="s">
        <v>33</v>
      </c>
      <c r="C357" s="3" t="s">
        <v>86</v>
      </c>
      <c r="D357" s="3" t="str">
        <f>IFERROR(MID(VLOOKUP($B357,Seqs!$A:$B,2,0),E357,1),"")</f>
        <v>T</v>
      </c>
      <c r="E357" s="105">
        <v>223</v>
      </c>
      <c r="F357" s="3" t="str">
        <f>IFERROR(MID(VLOOKUP($B357,Seqs!$A:$B,2,0),G357,1),"")</f>
        <v>D</v>
      </c>
      <c r="G357" s="3">
        <v>255</v>
      </c>
      <c r="H357" s="3" t="str">
        <f>IFERROR(MID(VLOOKUP($B357,Seqs!$A:$B,2,0),I357,1),"")</f>
        <v>W</v>
      </c>
      <c r="I357" s="23">
        <v>256</v>
      </c>
      <c r="J357" s="3" t="str">
        <f>IFERROR(MID(VLOOKUP($B357,Seqs!$A:$B,2,0),K357,1),"")</f>
        <v>N</v>
      </c>
      <c r="K357" s="23">
        <v>260</v>
      </c>
      <c r="L357" s="3" t="str">
        <f>IFERROR(MID(VLOOKUP($B357,Seqs!$A:$B,2,0),M357,1),"")</f>
        <v>R</v>
      </c>
      <c r="M357" s="3">
        <v>261</v>
      </c>
      <c r="N357" s="3" t="str">
        <f>IFERROR(MID(VLOOKUP($B357,Seqs!$A:$B,2,0),O357,1),"")</f>
        <v>F</v>
      </c>
      <c r="O357" s="3">
        <v>285</v>
      </c>
      <c r="P357" s="3" t="str">
        <f>IFERROR(MID(VLOOKUP($B357,Seqs!$A:$B,2,0),Q357,1),"")</f>
        <v/>
      </c>
      <c r="Q357" s="3" t="s">
        <v>23</v>
      </c>
      <c r="R357" s="3" t="str">
        <f>IFERROR(MID(VLOOKUP($B357,Seqs!$A:$B,2,0),S357,1),"")</f>
        <v/>
      </c>
      <c r="S357" s="3" t="s">
        <v>23</v>
      </c>
      <c r="T357" s="3" t="str">
        <f>IFERROR(MID(VLOOKUP($B357,Seqs!$A:$B,2,0),U357,1),"")</f>
        <v>L</v>
      </c>
      <c r="U357" s="3">
        <v>312</v>
      </c>
      <c r="V357" s="3" t="str">
        <f>IFERROR(MID(VLOOKUP($B357,Seqs!$A:$B,2,0),W357,1),"")</f>
        <v>T</v>
      </c>
      <c r="W357" s="3">
        <v>348</v>
      </c>
      <c r="X357" s="3" t="str">
        <f>IFERROR(MID(VLOOKUP($B357,Seqs!$A:$B,2,0),Y357,1),"")</f>
        <v/>
      </c>
      <c r="Y357" s="3" t="s">
        <v>23</v>
      </c>
      <c r="Z357" s="3" t="str">
        <f>IFERROR(MID(VLOOKUP($B357,Seqs!$A:$B,2,0),AA357,1),"")</f>
        <v/>
      </c>
      <c r="AA357" s="3" t="s">
        <v>23</v>
      </c>
      <c r="AB357" s="3" t="str">
        <f>IFERROR(MID(VLOOKUP($B357,Seqs!$A:$B,2,0),AC357,1),"")</f>
        <v>F</v>
      </c>
      <c r="AC357" s="9">
        <v>360</v>
      </c>
      <c r="AD357" s="3" t="str">
        <f>IFERROR(MID(VLOOKUP($B357,Seqs!$A:$B,2,0),AE357,1),"")</f>
        <v>V</v>
      </c>
      <c r="AE357" s="3">
        <v>378</v>
      </c>
      <c r="AF357" s="3" t="str">
        <f>IFERROR(MID(VLOOKUP($B357,Seqs!$A:$B,2,0),AG357,1),"")</f>
        <v>C</v>
      </c>
      <c r="AG357" s="3">
        <v>390</v>
      </c>
      <c r="AH357" s="3" t="str">
        <f>IFERROR(MID(VLOOKUP($B357,Seqs!$A:$B,2,0),AI357,1),"")</f>
        <v>V</v>
      </c>
      <c r="AI357" s="3">
        <v>392</v>
      </c>
      <c r="AJ357" s="3" t="str">
        <f>IFERROR(MID(VLOOKUP($B357,Seqs!$A:$B,2,0),AK357,1),"")</f>
        <v>N</v>
      </c>
      <c r="AK357" s="105">
        <v>396</v>
      </c>
      <c r="AL357" s="3" t="str">
        <f>IFERROR(MID(VLOOKUP($B357,Seqs!$A:$B,2,0),AM357,1),"")</f>
        <v>H</v>
      </c>
      <c r="AM357" s="3">
        <v>433</v>
      </c>
      <c r="AN357" s="3" t="str">
        <f>IFERROR(MID(VLOOKUP($B357,Seqs!$A:$B,2,0),AO357,1),"")</f>
        <v>A</v>
      </c>
      <c r="AO357" s="3">
        <v>442</v>
      </c>
      <c r="AP357" s="3" t="str">
        <f>IFERROR(MID(VLOOKUP($B357,Seqs!$A:$B,2,0),AQ357,1),"")</f>
        <v>N</v>
      </c>
      <c r="AQ357" s="3">
        <v>493</v>
      </c>
      <c r="AR357" s="3" t="str">
        <f>IFERROR(MID(VLOOKUP($B357,Seqs!$A:$B,2,0),AS357,1),"")</f>
        <v>S</v>
      </c>
      <c r="AS357" s="105">
        <v>514</v>
      </c>
      <c r="AT357" s="3" t="str">
        <f>IFERROR(MID(VLOOKUP($B357,Seqs!$A:$B,2,0),AU357,1),"")</f>
        <v>W</v>
      </c>
      <c r="AU357" s="3">
        <v>537</v>
      </c>
      <c r="AV357" s="3" t="str">
        <f>IFERROR(MID(VLOOKUP($B357,Seqs!$A:$B,2,0),AW357,1),"")</f>
        <v>T</v>
      </c>
      <c r="AW357" s="3">
        <v>538</v>
      </c>
      <c r="AX357" s="3" t="str">
        <f>IFERROR(MID(VLOOKUP($B357,Seqs!$A:$B,2,0),AY357,1),"")</f>
        <v>C</v>
      </c>
      <c r="AY357" s="3">
        <v>550</v>
      </c>
      <c r="AZ357" s="77" t="str">
        <f>VLOOKUP(B357,Classification!A:D,2,0)</f>
        <v>F</v>
      </c>
      <c r="BA357" s="94" t="str">
        <f>VLOOKUP(B357,Classification!A:D,4,0)</f>
        <v>Frizzled</v>
      </c>
      <c r="BB357" s="27" t="b">
        <f t="shared" si="1899"/>
        <v>1</v>
      </c>
      <c r="BC357" s="23">
        <f t="shared" si="1872"/>
        <v>251</v>
      </c>
      <c r="BD357" s="4" t="s">
        <v>23</v>
      </c>
      <c r="BE357" s="3" t="s">
        <v>1375</v>
      </c>
      <c r="BF357" s="119">
        <v>2.4500000000000002</v>
      </c>
      <c r="BG357" s="49" t="s">
        <v>1378</v>
      </c>
      <c r="BH357" s="49" t="s">
        <v>1378</v>
      </c>
      <c r="BJ357" s="70" t="s">
        <v>1288</v>
      </c>
      <c r="BK357" s="57" t="s">
        <v>1288</v>
      </c>
      <c r="BL357" s="57" t="s">
        <v>1288</v>
      </c>
      <c r="BM357" s="57" t="s">
        <v>1288</v>
      </c>
      <c r="BN357" s="57" t="s">
        <v>1288</v>
      </c>
      <c r="BO357" s="57" t="s">
        <v>1288</v>
      </c>
      <c r="BP357" s="57" t="s">
        <v>1288</v>
      </c>
      <c r="BQ357" s="57" t="s">
        <v>1288</v>
      </c>
      <c r="BR357" s="57" t="s">
        <v>1288</v>
      </c>
      <c r="BS357" s="57" t="s">
        <v>1288</v>
      </c>
      <c r="BT357" s="57" t="s">
        <v>1288</v>
      </c>
      <c r="BU357" s="57" t="s">
        <v>1288</v>
      </c>
      <c r="BV357" s="70">
        <f t="shared" si="1873"/>
        <v>223</v>
      </c>
      <c r="BW357" s="71">
        <f t="shared" si="1874"/>
        <v>256</v>
      </c>
      <c r="BX357" s="72">
        <f t="shared" si="1875"/>
        <v>261</v>
      </c>
      <c r="BY357" s="71" t="str">
        <f t="shared" si="1876"/>
        <v>-</v>
      </c>
      <c r="BZ357" s="72">
        <f t="shared" si="1877"/>
        <v>312</v>
      </c>
      <c r="CA357" s="71" t="str">
        <f t="shared" si="1878"/>
        <v>-</v>
      </c>
      <c r="CB357" s="72">
        <f t="shared" si="1879"/>
        <v>360</v>
      </c>
      <c r="CC357" s="71">
        <f t="shared" si="1880"/>
        <v>390</v>
      </c>
      <c r="CD357" s="72">
        <f t="shared" si="1881"/>
        <v>396</v>
      </c>
      <c r="CE357" s="71">
        <f t="shared" si="1882"/>
        <v>442</v>
      </c>
      <c r="CF357" s="72">
        <f t="shared" si="1883"/>
        <v>514</v>
      </c>
      <c r="CG357" s="71">
        <f t="shared" si="1884"/>
        <v>538</v>
      </c>
      <c r="CH357" s="70">
        <f t="shared" si="1885"/>
        <v>255</v>
      </c>
      <c r="CI357" s="71">
        <f t="shared" si="1886"/>
        <v>260</v>
      </c>
      <c r="CJ357" s="72">
        <f t="shared" si="1887"/>
        <v>285</v>
      </c>
      <c r="CK357" s="72" t="str">
        <f t="shared" si="1888"/>
        <v>-</v>
      </c>
      <c r="CL357" s="72">
        <f t="shared" si="1889"/>
        <v>348</v>
      </c>
      <c r="CM357" s="72" t="str">
        <f t="shared" si="1890"/>
        <v>-</v>
      </c>
      <c r="CN357" s="72">
        <f t="shared" si="1891"/>
        <v>378</v>
      </c>
      <c r="CO357" s="72">
        <f t="shared" si="1892"/>
        <v>392</v>
      </c>
      <c r="CP357" s="72">
        <f t="shared" si="1893"/>
        <v>433</v>
      </c>
      <c r="CQ357" s="72">
        <f t="shared" si="1894"/>
        <v>493</v>
      </c>
      <c r="CR357" s="72">
        <f t="shared" si="1895"/>
        <v>537</v>
      </c>
      <c r="CS357" s="72">
        <f t="shared" si="1896"/>
        <v>550</v>
      </c>
      <c r="CT357" s="23">
        <f t="shared" si="1897"/>
        <v>1</v>
      </c>
    </row>
    <row r="358" spans="1:1030" x14ac:dyDescent="0.2">
      <c r="A358" s="3" t="str">
        <f t="shared" si="1898"/>
        <v>smo_human_4N4W</v>
      </c>
      <c r="B358" s="3" t="s">
        <v>33</v>
      </c>
      <c r="C358" s="3" t="s">
        <v>1048</v>
      </c>
      <c r="D358" s="3" t="str">
        <f>IFERROR(MID(VLOOKUP($B358,Seqs!$A:$B,2,0),E358,1),"")</f>
        <v>T</v>
      </c>
      <c r="E358" s="105">
        <v>223</v>
      </c>
      <c r="F358" s="3" t="str">
        <f>IFERROR(MID(VLOOKUP($B358,Seqs!$A:$B,2,0),G358,1),"")</f>
        <v>D</v>
      </c>
      <c r="G358" s="3">
        <v>255</v>
      </c>
      <c r="H358" s="3" t="str">
        <f>IFERROR(MID(VLOOKUP($B358,Seqs!$A:$B,2,0),I358,1),"")</f>
        <v>W</v>
      </c>
      <c r="I358" s="23">
        <v>256</v>
      </c>
      <c r="J358" s="3" t="str">
        <f>IFERROR(MID(VLOOKUP($B358,Seqs!$A:$B,2,0),K358,1),"")</f>
        <v>N</v>
      </c>
      <c r="K358" s="23">
        <v>260</v>
      </c>
      <c r="L358" s="3" t="str">
        <f>IFERROR(MID(VLOOKUP($B358,Seqs!$A:$B,2,0),M358,1),"")</f>
        <v>R</v>
      </c>
      <c r="M358" s="3">
        <v>261</v>
      </c>
      <c r="N358" s="3" t="str">
        <f>IFERROR(MID(VLOOKUP($B358,Seqs!$A:$B,2,0),O358,1),"")</f>
        <v>F</v>
      </c>
      <c r="O358" s="3">
        <v>285</v>
      </c>
      <c r="P358" s="3" t="str">
        <f>IFERROR(MID(VLOOKUP($B358,Seqs!$A:$B,2,0),Q358,1),"")</f>
        <v/>
      </c>
      <c r="Q358" s="3" t="s">
        <v>23</v>
      </c>
      <c r="R358" s="3" t="str">
        <f>IFERROR(MID(VLOOKUP($B358,Seqs!$A:$B,2,0),S358,1),"")</f>
        <v/>
      </c>
      <c r="S358" s="3" t="s">
        <v>23</v>
      </c>
      <c r="T358" s="3" t="str">
        <f>IFERROR(MID(VLOOKUP($B358,Seqs!$A:$B,2,0),U358,1),"")</f>
        <v>L</v>
      </c>
      <c r="U358" s="3">
        <v>312</v>
      </c>
      <c r="V358" s="3" t="str">
        <f>IFERROR(MID(VLOOKUP($B358,Seqs!$A:$B,2,0),W358,1),"")</f>
        <v>A</v>
      </c>
      <c r="W358" s="3">
        <v>345</v>
      </c>
      <c r="X358" s="3" t="str">
        <f>IFERROR(MID(VLOOKUP($B358,Seqs!$A:$B,2,0),Y358,1),"")</f>
        <v/>
      </c>
      <c r="Y358" s="3" t="s">
        <v>23</v>
      </c>
      <c r="Z358" s="3" t="str">
        <f>IFERROR(MID(VLOOKUP($B358,Seqs!$A:$B,2,0),AA358,1),"")</f>
        <v/>
      </c>
      <c r="AA358" s="3" t="s">
        <v>23</v>
      </c>
      <c r="AB358" s="3" t="str">
        <f>IFERROR(MID(VLOOKUP($B358,Seqs!$A:$B,2,0),AC358,1),"")</f>
        <v>K</v>
      </c>
      <c r="AC358" s="9">
        <v>356</v>
      </c>
      <c r="AD358" s="3" t="str">
        <f>IFERROR(MID(VLOOKUP($B358,Seqs!$A:$B,2,0),AE358,1),"")</f>
        <v>V</v>
      </c>
      <c r="AE358" s="3">
        <v>378</v>
      </c>
      <c r="AF358" s="3" t="str">
        <f>IFERROR(MID(VLOOKUP($B358,Seqs!$A:$B,2,0),AG358,1),"")</f>
        <v>C</v>
      </c>
      <c r="AG358" s="3">
        <v>390</v>
      </c>
      <c r="AH358" s="3" t="str">
        <f>IFERROR(MID(VLOOKUP($B358,Seqs!$A:$B,2,0),AI358,1),"")</f>
        <v>V</v>
      </c>
      <c r="AI358" s="3">
        <v>392</v>
      </c>
      <c r="AJ358" s="3" t="str">
        <f>IFERROR(MID(VLOOKUP($B358,Seqs!$A:$B,2,0),AK358,1),"")</f>
        <v>N</v>
      </c>
      <c r="AK358" s="105">
        <v>396</v>
      </c>
      <c r="AL358" s="3" t="str">
        <f>IFERROR(MID(VLOOKUP($B358,Seqs!$A:$B,2,0),AM358,1),"")</f>
        <v>H</v>
      </c>
      <c r="AM358" s="3">
        <v>433</v>
      </c>
      <c r="AN358" s="3" t="str">
        <f>IFERROR(MID(VLOOKUP($B358,Seqs!$A:$B,2,0),AO358,1),"")</f>
        <v>S</v>
      </c>
      <c r="AO358" s="3">
        <v>443</v>
      </c>
      <c r="AP358" s="3" t="str">
        <f>IFERROR(MID(VLOOKUP($B358,Seqs!$A:$B,2,0),AQ358,1),"")</f>
        <v>Q</v>
      </c>
      <c r="AQ358" s="3">
        <v>491</v>
      </c>
      <c r="AR358" s="3" t="str">
        <f>IFERROR(MID(VLOOKUP($B358,Seqs!$A:$B,2,0),AS358,1),"")</f>
        <v>S</v>
      </c>
      <c r="AS358" s="105">
        <v>514</v>
      </c>
      <c r="AT358" s="3" t="str">
        <f>IFERROR(MID(VLOOKUP($B358,Seqs!$A:$B,2,0),AU358,1),"")</f>
        <v>W</v>
      </c>
      <c r="AU358" s="3">
        <v>537</v>
      </c>
      <c r="AV358" s="3" t="str">
        <f>IFERROR(MID(VLOOKUP($B358,Seqs!$A:$B,2,0),AW358,1),"")</f>
        <v>T</v>
      </c>
      <c r="AW358" s="3">
        <v>538</v>
      </c>
      <c r="AX358" s="3" t="str">
        <f>IFERROR(MID(VLOOKUP($B358,Seqs!$A:$B,2,0),AY358,1),"")</f>
        <v>L</v>
      </c>
      <c r="AY358" s="3">
        <v>552</v>
      </c>
      <c r="AZ358" s="77" t="str">
        <f>VLOOKUP(B358,Classification!A:D,2,0)</f>
        <v>F</v>
      </c>
      <c r="BA358" s="94" t="str">
        <f>VLOOKUP(B358,Classification!A:D,4,0)</f>
        <v>Frizzled</v>
      </c>
      <c r="BB358" s="27" t="b">
        <f t="shared" si="1899"/>
        <v>1</v>
      </c>
      <c r="BC358" s="23">
        <f t="shared" si="1872"/>
        <v>251</v>
      </c>
      <c r="BD358" s="2" t="s">
        <v>23</v>
      </c>
      <c r="BE358" s="3" t="s">
        <v>1375</v>
      </c>
      <c r="BF358" s="119">
        <v>2.8</v>
      </c>
      <c r="BG358" s="49" t="s">
        <v>1378</v>
      </c>
      <c r="BH358" s="49" t="s">
        <v>1378</v>
      </c>
      <c r="BJ358" s="70" t="s">
        <v>1288</v>
      </c>
      <c r="BK358" s="57" t="s">
        <v>1288</v>
      </c>
      <c r="BL358" s="57" t="s">
        <v>1288</v>
      </c>
      <c r="BM358" s="57" t="s">
        <v>1288</v>
      </c>
      <c r="BN358" s="57" t="s">
        <v>1288</v>
      </c>
      <c r="BO358" s="57" t="s">
        <v>1288</v>
      </c>
      <c r="BP358" s="57" t="s">
        <v>1288</v>
      </c>
      <c r="BQ358" s="57" t="s">
        <v>1288</v>
      </c>
      <c r="BR358" s="57" t="s">
        <v>1288</v>
      </c>
      <c r="BS358" s="57" t="s">
        <v>1288</v>
      </c>
      <c r="BT358" s="57" t="s">
        <v>1288</v>
      </c>
      <c r="BU358" s="57" t="s">
        <v>1288</v>
      </c>
      <c r="BV358" s="70">
        <f t="shared" si="1873"/>
        <v>223</v>
      </c>
      <c r="BW358" s="71">
        <f t="shared" si="1874"/>
        <v>256</v>
      </c>
      <c r="BX358" s="72">
        <f t="shared" si="1875"/>
        <v>261</v>
      </c>
      <c r="BY358" s="71" t="str">
        <f t="shared" si="1876"/>
        <v>-</v>
      </c>
      <c r="BZ358" s="72">
        <f t="shared" si="1877"/>
        <v>312</v>
      </c>
      <c r="CA358" s="71" t="str">
        <f t="shared" si="1878"/>
        <v>-</v>
      </c>
      <c r="CB358" s="72">
        <f t="shared" si="1879"/>
        <v>356</v>
      </c>
      <c r="CC358" s="71">
        <f t="shared" si="1880"/>
        <v>390</v>
      </c>
      <c r="CD358" s="72">
        <f t="shared" si="1881"/>
        <v>396</v>
      </c>
      <c r="CE358" s="71">
        <f t="shared" si="1882"/>
        <v>443</v>
      </c>
      <c r="CF358" s="72">
        <f t="shared" si="1883"/>
        <v>514</v>
      </c>
      <c r="CG358" s="71">
        <f t="shared" si="1884"/>
        <v>538</v>
      </c>
      <c r="CH358" s="70">
        <f t="shared" si="1885"/>
        <v>255</v>
      </c>
      <c r="CI358" s="71">
        <f t="shared" si="1886"/>
        <v>260</v>
      </c>
      <c r="CJ358" s="72">
        <f t="shared" si="1887"/>
        <v>285</v>
      </c>
      <c r="CK358" s="72" t="str">
        <f t="shared" si="1888"/>
        <v>-</v>
      </c>
      <c r="CL358" s="72">
        <f t="shared" si="1889"/>
        <v>345</v>
      </c>
      <c r="CM358" s="72" t="str">
        <f t="shared" si="1890"/>
        <v>-</v>
      </c>
      <c r="CN358" s="72">
        <f t="shared" si="1891"/>
        <v>378</v>
      </c>
      <c r="CO358" s="72">
        <f t="shared" si="1892"/>
        <v>392</v>
      </c>
      <c r="CP358" s="72">
        <f t="shared" si="1893"/>
        <v>433</v>
      </c>
      <c r="CQ358" s="72">
        <f t="shared" si="1894"/>
        <v>491</v>
      </c>
      <c r="CR358" s="72">
        <f t="shared" si="1895"/>
        <v>537</v>
      </c>
      <c r="CS358" s="72">
        <f t="shared" si="1896"/>
        <v>552</v>
      </c>
      <c r="CT358" s="23">
        <f t="shared" si="1897"/>
        <v>1</v>
      </c>
    </row>
    <row r="359" spans="1:1030" x14ac:dyDescent="0.2">
      <c r="A359" s="3" t="str">
        <f t="shared" si="1898"/>
        <v>smo_human_4O9R</v>
      </c>
      <c r="B359" s="3" t="s">
        <v>33</v>
      </c>
      <c r="C359" s="3" t="s">
        <v>1050</v>
      </c>
      <c r="D359" s="3" t="str">
        <f>IFERROR(MID(VLOOKUP($B359,Seqs!$A:$B,2,0),E359,1),"")</f>
        <v>T</v>
      </c>
      <c r="E359" s="105">
        <v>223</v>
      </c>
      <c r="F359" s="3" t="str">
        <f>IFERROR(MID(VLOOKUP($B359,Seqs!$A:$B,2,0),G359,1),"")</f>
        <v>D</v>
      </c>
      <c r="G359" s="3">
        <v>255</v>
      </c>
      <c r="H359" s="3" t="str">
        <f>IFERROR(MID(VLOOKUP($B359,Seqs!$A:$B,2,0),I359,1),"")</f>
        <v>W</v>
      </c>
      <c r="I359" s="23">
        <v>256</v>
      </c>
      <c r="J359" s="3" t="str">
        <f>IFERROR(MID(VLOOKUP($B359,Seqs!$A:$B,2,0),K359,1),"")</f>
        <v>N</v>
      </c>
      <c r="K359" s="23">
        <v>260</v>
      </c>
      <c r="L359" s="3" t="str">
        <f>IFERROR(MID(VLOOKUP($B359,Seqs!$A:$B,2,0),M359,1),"")</f>
        <v>R</v>
      </c>
      <c r="M359" s="3">
        <v>261</v>
      </c>
      <c r="N359" s="3" t="str">
        <f>IFERROR(MID(VLOOKUP($B359,Seqs!$A:$B,2,0),O359,1),"")</f>
        <v>F</v>
      </c>
      <c r="O359" s="3">
        <v>285</v>
      </c>
      <c r="P359" s="3" t="str">
        <f>IFERROR(MID(VLOOKUP($B359,Seqs!$A:$B,2,0),Q359,1),"")</f>
        <v/>
      </c>
      <c r="Q359" s="3" t="s">
        <v>23</v>
      </c>
      <c r="R359" s="3" t="str">
        <f>IFERROR(MID(VLOOKUP($B359,Seqs!$A:$B,2,0),S359,1),"")</f>
        <v/>
      </c>
      <c r="S359" s="3" t="s">
        <v>23</v>
      </c>
      <c r="T359" s="3" t="str">
        <f>IFERROR(MID(VLOOKUP($B359,Seqs!$A:$B,2,0),U359,1),"")</f>
        <v>L</v>
      </c>
      <c r="U359" s="3">
        <v>312</v>
      </c>
      <c r="V359" s="3" t="str">
        <f>IFERROR(MID(VLOOKUP($B359,Seqs!$A:$B,2,0),W359,1),"")</f>
        <v>F</v>
      </c>
      <c r="W359" s="3">
        <v>343</v>
      </c>
      <c r="X359" s="3" t="str">
        <f>IFERROR(MID(VLOOKUP($B359,Seqs!$A:$B,2,0),Y359,1),"")</f>
        <v/>
      </c>
      <c r="Y359" s="3" t="s">
        <v>23</v>
      </c>
      <c r="Z359" s="3" t="str">
        <f>IFERROR(MID(VLOOKUP($B359,Seqs!$A:$B,2,0),AA359,1),"")</f>
        <v/>
      </c>
      <c r="AA359" s="3" t="s">
        <v>23</v>
      </c>
      <c r="AB359" s="3" t="str">
        <f>IFERROR(MID(VLOOKUP($B359,Seqs!$A:$B,2,0),AC359,1),"")</f>
        <v>F</v>
      </c>
      <c r="AC359" s="9">
        <v>360</v>
      </c>
      <c r="AD359" s="3" t="str">
        <f>IFERROR(MID(VLOOKUP($B359,Seqs!$A:$B,2,0),AE359,1),"")</f>
        <v>V</v>
      </c>
      <c r="AE359" s="3">
        <v>378</v>
      </c>
      <c r="AF359" s="3" t="str">
        <f>IFERROR(MID(VLOOKUP($B359,Seqs!$A:$B,2,0),AG359,1),"")</f>
        <v>C</v>
      </c>
      <c r="AG359" s="3">
        <v>390</v>
      </c>
      <c r="AH359" s="3" t="str">
        <f>IFERROR(MID(VLOOKUP($B359,Seqs!$A:$B,2,0),AI359,1),"")</f>
        <v>V</v>
      </c>
      <c r="AI359" s="3">
        <v>392</v>
      </c>
      <c r="AJ359" s="3" t="str">
        <f>IFERROR(MID(VLOOKUP($B359,Seqs!$A:$B,2,0),AK359,1),"")</f>
        <v>N</v>
      </c>
      <c r="AK359" s="105">
        <v>396</v>
      </c>
      <c r="AL359" s="3" t="str">
        <f>IFERROR(MID(VLOOKUP($B359,Seqs!$A:$B,2,0),AM359,1),"")</f>
        <v>H</v>
      </c>
      <c r="AM359" s="3">
        <v>433</v>
      </c>
      <c r="AN359" s="3" t="str">
        <f>IFERROR(MID(VLOOKUP($B359,Seqs!$A:$B,2,0),AO359,1),"")</f>
        <v>E</v>
      </c>
      <c r="AO359" s="3">
        <v>447</v>
      </c>
      <c r="AP359" s="3" t="str">
        <f>IFERROR(MID(VLOOKUP($B359,Seqs!$A:$B,2,0),AQ359,1),"")</f>
        <v>N</v>
      </c>
      <c r="AQ359" s="3">
        <v>493</v>
      </c>
      <c r="AR359" s="3" t="str">
        <f>IFERROR(MID(VLOOKUP($B359,Seqs!$A:$B,2,0),AS359,1),"")</f>
        <v>S</v>
      </c>
      <c r="AS359" s="105">
        <v>514</v>
      </c>
      <c r="AT359" s="3" t="str">
        <f>IFERROR(MID(VLOOKUP($B359,Seqs!$A:$B,2,0),AU359,1),"")</f>
        <v>W</v>
      </c>
      <c r="AU359" s="3">
        <v>537</v>
      </c>
      <c r="AV359" s="3" t="str">
        <f>IFERROR(MID(VLOOKUP($B359,Seqs!$A:$B,2,0),AW359,1),"")</f>
        <v>T</v>
      </c>
      <c r="AW359" s="3">
        <v>538</v>
      </c>
      <c r="AX359" s="3" t="str">
        <f>IFERROR(MID(VLOOKUP($B359,Seqs!$A:$B,2,0),AY359,1),"")</f>
        <v>W</v>
      </c>
      <c r="AY359" s="3">
        <v>549</v>
      </c>
      <c r="AZ359" s="78" t="str">
        <f>VLOOKUP(B359,Classification!A:D,2,0)</f>
        <v>F</v>
      </c>
      <c r="BA359" s="94" t="str">
        <f>VLOOKUP(B359,Classification!A:D,4,0)</f>
        <v>Frizzled</v>
      </c>
      <c r="BB359" s="92" t="b">
        <f t="shared" si="1899"/>
        <v>1</v>
      </c>
      <c r="BC359" s="23">
        <f t="shared" si="1872"/>
        <v>240</v>
      </c>
      <c r="BD359" s="74" t="s">
        <v>23</v>
      </c>
      <c r="BE359" s="3" t="s">
        <v>1375</v>
      </c>
      <c r="BF359" s="119">
        <v>3.2</v>
      </c>
      <c r="BG359" s="49" t="s">
        <v>1378</v>
      </c>
      <c r="BH359" s="49" t="s">
        <v>1378</v>
      </c>
      <c r="BJ359" s="75" t="s">
        <v>1288</v>
      </c>
      <c r="BK359" s="57" t="s">
        <v>1288</v>
      </c>
      <c r="BL359" s="57" t="s">
        <v>1288</v>
      </c>
      <c r="BM359" s="57" t="s">
        <v>1288</v>
      </c>
      <c r="BN359" s="57" t="s">
        <v>1288</v>
      </c>
      <c r="BO359" s="57" t="s">
        <v>1288</v>
      </c>
      <c r="BP359" s="57" t="s">
        <v>1288</v>
      </c>
      <c r="BQ359" s="57" t="s">
        <v>1288</v>
      </c>
      <c r="BR359" s="57" t="s">
        <v>1288</v>
      </c>
      <c r="BS359" s="57" t="s">
        <v>1288</v>
      </c>
      <c r="BT359" s="57" t="s">
        <v>1288</v>
      </c>
      <c r="BU359" s="57" t="s">
        <v>1288</v>
      </c>
      <c r="BV359" s="75">
        <f t="shared" si="1873"/>
        <v>223</v>
      </c>
      <c r="BW359" s="71">
        <f t="shared" si="1874"/>
        <v>256</v>
      </c>
      <c r="BX359" s="72">
        <f t="shared" si="1875"/>
        <v>261</v>
      </c>
      <c r="BY359" s="71" t="str">
        <f t="shared" si="1876"/>
        <v>-</v>
      </c>
      <c r="BZ359" s="72">
        <f t="shared" si="1877"/>
        <v>312</v>
      </c>
      <c r="CA359" s="71" t="str">
        <f t="shared" si="1878"/>
        <v>-</v>
      </c>
      <c r="CB359" s="72">
        <f t="shared" si="1879"/>
        <v>360</v>
      </c>
      <c r="CC359" s="71">
        <f t="shared" si="1880"/>
        <v>390</v>
      </c>
      <c r="CD359" s="72">
        <f t="shared" si="1881"/>
        <v>396</v>
      </c>
      <c r="CE359" s="71">
        <f t="shared" si="1882"/>
        <v>447</v>
      </c>
      <c r="CF359" s="72">
        <f t="shared" si="1883"/>
        <v>514</v>
      </c>
      <c r="CG359" s="71">
        <f t="shared" si="1884"/>
        <v>538</v>
      </c>
      <c r="CH359" s="75">
        <f t="shared" si="1885"/>
        <v>255</v>
      </c>
      <c r="CI359" s="71">
        <f t="shared" si="1886"/>
        <v>260</v>
      </c>
      <c r="CJ359" s="72">
        <f t="shared" si="1887"/>
        <v>285</v>
      </c>
      <c r="CK359" s="72" t="str">
        <f t="shared" si="1888"/>
        <v>-</v>
      </c>
      <c r="CL359" s="72">
        <f t="shared" si="1889"/>
        <v>343</v>
      </c>
      <c r="CM359" s="72" t="str">
        <f t="shared" si="1890"/>
        <v>-</v>
      </c>
      <c r="CN359" s="72">
        <f t="shared" si="1891"/>
        <v>378</v>
      </c>
      <c r="CO359" s="72">
        <f t="shared" si="1892"/>
        <v>392</v>
      </c>
      <c r="CP359" s="72">
        <f t="shared" si="1893"/>
        <v>433</v>
      </c>
      <c r="CQ359" s="72">
        <f t="shared" si="1894"/>
        <v>493</v>
      </c>
      <c r="CR359" s="72">
        <f t="shared" si="1895"/>
        <v>537</v>
      </c>
      <c r="CS359" s="72">
        <f t="shared" si="1896"/>
        <v>549</v>
      </c>
      <c r="CT359" s="23">
        <f t="shared" si="1897"/>
        <v>1</v>
      </c>
    </row>
    <row r="360" spans="1:1030" s="6" customFormat="1" x14ac:dyDescent="0.2">
      <c r="A360" s="3" t="str">
        <f t="shared" si="1898"/>
        <v>smo_human_4QIM</v>
      </c>
      <c r="B360" s="3" t="s">
        <v>33</v>
      </c>
      <c r="C360" s="3" t="s">
        <v>1052</v>
      </c>
      <c r="D360" s="3" t="str">
        <f>IFERROR(MID(VLOOKUP($B360,Seqs!$A:$B,2,0),E360,1),"")</f>
        <v>T</v>
      </c>
      <c r="E360" s="105">
        <v>223</v>
      </c>
      <c r="F360" s="3" t="str">
        <f>IFERROR(MID(VLOOKUP($B360,Seqs!$A:$B,2,0),G360,1),"")</f>
        <v>D</v>
      </c>
      <c r="G360" s="3">
        <v>255</v>
      </c>
      <c r="H360" s="3" t="str">
        <f>IFERROR(MID(VLOOKUP($B360,Seqs!$A:$B,2,0),I360,1),"")</f>
        <v>W</v>
      </c>
      <c r="I360" s="23">
        <v>256</v>
      </c>
      <c r="J360" s="3" t="str">
        <f>IFERROR(MID(VLOOKUP($B360,Seqs!$A:$B,2,0),K360,1),"")</f>
        <v>N</v>
      </c>
      <c r="K360" s="23">
        <v>260</v>
      </c>
      <c r="L360" s="3" t="str">
        <f>IFERROR(MID(VLOOKUP($B360,Seqs!$A:$B,2,0),M360,1),"")</f>
        <v>R</v>
      </c>
      <c r="M360" s="3">
        <v>261</v>
      </c>
      <c r="N360" s="3" t="str">
        <f>IFERROR(MID(VLOOKUP($B360,Seqs!$A:$B,2,0),O360,1),"")</f>
        <v>F</v>
      </c>
      <c r="O360" s="3">
        <v>285</v>
      </c>
      <c r="P360" s="3" t="str">
        <f>IFERROR(MID(VLOOKUP($B360,Seqs!$A:$B,2,0),Q360,1),"")</f>
        <v/>
      </c>
      <c r="Q360" s="3" t="s">
        <v>23</v>
      </c>
      <c r="R360" s="3" t="str">
        <f>IFERROR(MID(VLOOKUP($B360,Seqs!$A:$B,2,0),S360,1),"")</f>
        <v/>
      </c>
      <c r="S360" s="3" t="s">
        <v>23</v>
      </c>
      <c r="T360" s="3" t="str">
        <f>IFERROR(MID(VLOOKUP($B360,Seqs!$A:$B,2,0),U360,1),"")</f>
        <v>L</v>
      </c>
      <c r="U360" s="3">
        <v>312</v>
      </c>
      <c r="V360" s="3" t="str">
        <f>IFERROR(MID(VLOOKUP($B360,Seqs!$A:$B,2,0),W360,1),"")</f>
        <v>A</v>
      </c>
      <c r="W360" s="3">
        <v>345</v>
      </c>
      <c r="X360" s="3" t="str">
        <f>IFERROR(MID(VLOOKUP($B360,Seqs!$A:$B,2,0),Y360,1),"")</f>
        <v/>
      </c>
      <c r="Y360" s="3" t="s">
        <v>23</v>
      </c>
      <c r="Z360" s="3" t="str">
        <f>IFERROR(MID(VLOOKUP($B360,Seqs!$A:$B,2,0),AA360,1),"")</f>
        <v/>
      </c>
      <c r="AA360" s="3" t="s">
        <v>23</v>
      </c>
      <c r="AB360" s="3" t="str">
        <f>IFERROR(MID(VLOOKUP($B360,Seqs!$A:$B,2,0),AC360,1),"")</f>
        <v>K</v>
      </c>
      <c r="AC360" s="9">
        <v>356</v>
      </c>
      <c r="AD360" s="3" t="str">
        <f>IFERROR(MID(VLOOKUP($B360,Seqs!$A:$B,2,0),AE360,1),"")</f>
        <v>V</v>
      </c>
      <c r="AE360" s="3">
        <v>378</v>
      </c>
      <c r="AF360" s="3" t="str">
        <f>IFERROR(MID(VLOOKUP($B360,Seqs!$A:$B,2,0),AG360,1),"")</f>
        <v>C</v>
      </c>
      <c r="AG360" s="3">
        <v>390</v>
      </c>
      <c r="AH360" s="3" t="str">
        <f>IFERROR(MID(VLOOKUP($B360,Seqs!$A:$B,2,0),AI360,1),"")</f>
        <v>V</v>
      </c>
      <c r="AI360" s="3">
        <v>392</v>
      </c>
      <c r="AJ360" s="3" t="str">
        <f>IFERROR(MID(VLOOKUP($B360,Seqs!$A:$B,2,0),AK360,1),"")</f>
        <v>N</v>
      </c>
      <c r="AK360" s="105">
        <v>396</v>
      </c>
      <c r="AL360" s="3" t="str">
        <f>IFERROR(MID(VLOOKUP($B360,Seqs!$A:$B,2,0),AM360,1),"")</f>
        <v>H</v>
      </c>
      <c r="AM360" s="3">
        <v>433</v>
      </c>
      <c r="AN360" s="3" t="str">
        <f>IFERROR(MID(VLOOKUP($B360,Seqs!$A:$B,2,0),AO360,1),"")</f>
        <v>E</v>
      </c>
      <c r="AO360" s="3">
        <v>447</v>
      </c>
      <c r="AP360" s="3" t="str">
        <f>IFERROR(MID(VLOOKUP($B360,Seqs!$A:$B,2,0),AQ360,1),"")</f>
        <v>N</v>
      </c>
      <c r="AQ360" s="3">
        <v>493</v>
      </c>
      <c r="AR360" s="3" t="str">
        <f>IFERROR(MID(VLOOKUP($B360,Seqs!$A:$B,2,0),AS360,1),"")</f>
        <v>S</v>
      </c>
      <c r="AS360" s="105">
        <v>514</v>
      </c>
      <c r="AT360" s="3" t="str">
        <f>IFERROR(MID(VLOOKUP($B360,Seqs!$A:$B,2,0),AU360,1),"")</f>
        <v>W</v>
      </c>
      <c r="AU360" s="3">
        <v>537</v>
      </c>
      <c r="AV360" s="3" t="str">
        <f>IFERROR(MID(VLOOKUP($B360,Seqs!$A:$B,2,0),AW360,1),"")</f>
        <v>T</v>
      </c>
      <c r="AW360" s="3">
        <v>538</v>
      </c>
      <c r="AX360" s="3" t="str">
        <f>IFERROR(MID(VLOOKUP($B360,Seqs!$A:$B,2,0),AY360,1),"")</f>
        <v>T</v>
      </c>
      <c r="AY360" s="3">
        <v>553</v>
      </c>
      <c r="AZ360" s="78" t="str">
        <f>VLOOKUP(B360,Classification!A:D,2,0)</f>
        <v>F</v>
      </c>
      <c r="BA360" s="94" t="str">
        <f>VLOOKUP(B360,Classification!A:D,4,0)</f>
        <v>Frizzled</v>
      </c>
      <c r="BB360" s="92" t="b">
        <f t="shared" si="1899"/>
        <v>1</v>
      </c>
      <c r="BC360" s="23">
        <f t="shared" si="1872"/>
        <v>250</v>
      </c>
      <c r="BD360" s="74" t="s">
        <v>23</v>
      </c>
      <c r="BE360" s="3" t="s">
        <v>1375</v>
      </c>
      <c r="BF360" s="119">
        <v>2.61</v>
      </c>
      <c r="BG360" s="49" t="s">
        <v>1378</v>
      </c>
      <c r="BH360" s="49" t="s">
        <v>1378</v>
      </c>
      <c r="BI360" s="3"/>
      <c r="BJ360" s="75" t="s">
        <v>1288</v>
      </c>
      <c r="BK360" s="57" t="s">
        <v>1288</v>
      </c>
      <c r="BL360" s="57" t="s">
        <v>1288</v>
      </c>
      <c r="BM360" s="57" t="s">
        <v>1288</v>
      </c>
      <c r="BN360" s="57" t="s">
        <v>1288</v>
      </c>
      <c r="BO360" s="57" t="s">
        <v>1288</v>
      </c>
      <c r="BP360" s="57" t="s">
        <v>1288</v>
      </c>
      <c r="BQ360" s="57" t="s">
        <v>1288</v>
      </c>
      <c r="BR360" s="57" t="s">
        <v>1288</v>
      </c>
      <c r="BS360" s="57" t="s">
        <v>1288</v>
      </c>
      <c r="BT360" s="57" t="s">
        <v>1288</v>
      </c>
      <c r="BU360" s="57" t="s">
        <v>1288</v>
      </c>
      <c r="BV360" s="75">
        <f t="shared" si="1873"/>
        <v>223</v>
      </c>
      <c r="BW360" s="71">
        <f t="shared" si="1874"/>
        <v>256</v>
      </c>
      <c r="BX360" s="72">
        <f t="shared" si="1875"/>
        <v>261</v>
      </c>
      <c r="BY360" s="71" t="str">
        <f t="shared" si="1876"/>
        <v>-</v>
      </c>
      <c r="BZ360" s="72">
        <f t="shared" si="1877"/>
        <v>312</v>
      </c>
      <c r="CA360" s="71" t="str">
        <f t="shared" si="1878"/>
        <v>-</v>
      </c>
      <c r="CB360" s="72">
        <f t="shared" si="1879"/>
        <v>356</v>
      </c>
      <c r="CC360" s="71">
        <f t="shared" si="1880"/>
        <v>390</v>
      </c>
      <c r="CD360" s="72">
        <f t="shared" si="1881"/>
        <v>396</v>
      </c>
      <c r="CE360" s="71">
        <f t="shared" si="1882"/>
        <v>447</v>
      </c>
      <c r="CF360" s="72">
        <f t="shared" si="1883"/>
        <v>514</v>
      </c>
      <c r="CG360" s="71">
        <f t="shared" si="1884"/>
        <v>538</v>
      </c>
      <c r="CH360" s="75">
        <f t="shared" si="1885"/>
        <v>255</v>
      </c>
      <c r="CI360" s="71">
        <f t="shared" si="1886"/>
        <v>260</v>
      </c>
      <c r="CJ360" s="72">
        <f t="shared" si="1887"/>
        <v>285</v>
      </c>
      <c r="CK360" s="72" t="str">
        <f t="shared" si="1888"/>
        <v>-</v>
      </c>
      <c r="CL360" s="72">
        <f t="shared" si="1889"/>
        <v>345</v>
      </c>
      <c r="CM360" s="72" t="str">
        <f t="shared" si="1890"/>
        <v>-</v>
      </c>
      <c r="CN360" s="72">
        <f t="shared" si="1891"/>
        <v>378</v>
      </c>
      <c r="CO360" s="72">
        <f t="shared" si="1892"/>
        <v>392</v>
      </c>
      <c r="CP360" s="72">
        <f t="shared" si="1893"/>
        <v>433</v>
      </c>
      <c r="CQ360" s="72">
        <f t="shared" si="1894"/>
        <v>493</v>
      </c>
      <c r="CR360" s="72">
        <f t="shared" si="1895"/>
        <v>537</v>
      </c>
      <c r="CS360" s="72">
        <f t="shared" si="1896"/>
        <v>553</v>
      </c>
      <c r="CT360" s="23">
        <f t="shared" si="1897"/>
        <v>1</v>
      </c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3"/>
      <c r="KN360" s="3"/>
      <c r="KO360" s="3"/>
      <c r="KP360" s="3"/>
      <c r="KQ360" s="3"/>
      <c r="KR360" s="3"/>
      <c r="KS360" s="3"/>
      <c r="KT360" s="3"/>
      <c r="KU360" s="3"/>
      <c r="KV360" s="3"/>
      <c r="KW360" s="3"/>
      <c r="KX360" s="3"/>
      <c r="KY360" s="3"/>
      <c r="KZ360" s="3"/>
      <c r="LA360" s="3"/>
      <c r="LB360" s="3"/>
      <c r="LC360" s="3"/>
      <c r="LD360" s="3"/>
      <c r="LE360" s="3"/>
      <c r="LF360" s="3"/>
      <c r="LG360" s="3"/>
      <c r="LH360" s="3"/>
      <c r="LI360" s="3"/>
      <c r="LJ360" s="3"/>
      <c r="LK360" s="3"/>
      <c r="LL360" s="3"/>
      <c r="LM360" s="3"/>
      <c r="LN360" s="3"/>
      <c r="LO360" s="3"/>
      <c r="LP360" s="3"/>
      <c r="LQ360" s="3"/>
      <c r="LR360" s="3"/>
      <c r="LS360" s="3"/>
      <c r="LT360" s="3"/>
      <c r="LU360" s="3"/>
      <c r="LV360" s="3"/>
      <c r="LW360" s="3"/>
      <c r="LX360" s="3"/>
      <c r="LY360" s="3"/>
      <c r="LZ360" s="3"/>
      <c r="MA360" s="3"/>
      <c r="MB360" s="3"/>
      <c r="MC360" s="3"/>
      <c r="MD360" s="3"/>
      <c r="ME360" s="3"/>
      <c r="MF360" s="3"/>
      <c r="MG360" s="3"/>
      <c r="MH360" s="3"/>
      <c r="MI360" s="3"/>
      <c r="MJ360" s="3"/>
      <c r="MK360" s="3"/>
      <c r="ML360" s="3"/>
      <c r="MM360" s="3"/>
      <c r="MN360" s="3"/>
      <c r="MO360" s="3"/>
      <c r="MP360" s="3"/>
      <c r="MQ360" s="3"/>
      <c r="MR360" s="3"/>
      <c r="MS360" s="3"/>
      <c r="MT360" s="3"/>
      <c r="MU360" s="3"/>
      <c r="MV360" s="3"/>
      <c r="MW360" s="3"/>
      <c r="MX360" s="3"/>
      <c r="MY360" s="3"/>
      <c r="MZ360" s="3"/>
      <c r="NA360" s="3"/>
      <c r="NB360" s="3"/>
      <c r="NC360" s="3"/>
      <c r="ND360" s="3"/>
      <c r="NE360" s="3"/>
      <c r="NF360" s="3"/>
      <c r="NG360" s="3"/>
      <c r="NH360" s="3"/>
      <c r="NI360" s="3"/>
      <c r="NJ360" s="3"/>
      <c r="NK360" s="3"/>
      <c r="NL360" s="3"/>
      <c r="NM360" s="3"/>
      <c r="NN360" s="3"/>
      <c r="NO360" s="3"/>
      <c r="NP360" s="3"/>
      <c r="NQ360" s="3"/>
      <c r="NR360" s="3"/>
      <c r="NS360" s="3"/>
      <c r="NT360" s="3"/>
      <c r="NU360" s="3"/>
      <c r="NV360" s="3"/>
      <c r="NW360" s="3"/>
      <c r="NX360" s="3"/>
      <c r="NY360" s="3"/>
      <c r="NZ360" s="3"/>
      <c r="OA360" s="3"/>
      <c r="OB360" s="3"/>
      <c r="OC360" s="3"/>
      <c r="OD360" s="3"/>
      <c r="OE360" s="3"/>
      <c r="OF360" s="3"/>
      <c r="OG360" s="3"/>
      <c r="OH360" s="3"/>
      <c r="OI360" s="3"/>
      <c r="OJ360" s="3"/>
      <c r="OK360" s="3"/>
      <c r="OL360" s="3"/>
      <c r="OM360" s="3"/>
      <c r="ON360" s="3"/>
      <c r="OO360" s="3"/>
      <c r="OP360" s="3"/>
      <c r="OQ360" s="3"/>
      <c r="OR360" s="3"/>
      <c r="OS360" s="3"/>
      <c r="OT360" s="3"/>
      <c r="OU360" s="3"/>
      <c r="OV360" s="3"/>
      <c r="OW360" s="3"/>
      <c r="OX360" s="3"/>
      <c r="OY360" s="3"/>
      <c r="OZ360" s="3"/>
      <c r="PA360" s="3"/>
      <c r="PB360" s="3"/>
      <c r="PC360" s="3"/>
      <c r="PD360" s="3"/>
      <c r="PE360" s="3"/>
      <c r="PF360" s="3"/>
      <c r="PG360" s="3"/>
      <c r="PH360" s="3"/>
      <c r="PI360" s="3"/>
      <c r="PJ360" s="3"/>
      <c r="PK360" s="3"/>
      <c r="PL360" s="3"/>
      <c r="PM360" s="3"/>
      <c r="PN360" s="3"/>
      <c r="PO360" s="3"/>
      <c r="PP360" s="3"/>
      <c r="PQ360" s="3"/>
      <c r="PR360" s="3"/>
      <c r="PS360" s="3"/>
      <c r="PT360" s="3"/>
      <c r="PU360" s="3"/>
      <c r="PV360" s="3"/>
      <c r="PW360" s="3"/>
      <c r="PX360" s="3"/>
      <c r="PY360" s="3"/>
      <c r="PZ360" s="3"/>
      <c r="QA360" s="3"/>
      <c r="QB360" s="3"/>
      <c r="QC360" s="3"/>
      <c r="QD360" s="3"/>
      <c r="QE360" s="3"/>
      <c r="QF360" s="3"/>
      <c r="QG360" s="3"/>
      <c r="QH360" s="3"/>
      <c r="QI360" s="3"/>
      <c r="QJ360" s="3"/>
      <c r="QK360" s="3"/>
      <c r="QL360" s="3"/>
      <c r="QM360" s="3"/>
      <c r="QN360" s="3"/>
      <c r="QO360" s="3"/>
      <c r="QP360" s="3"/>
      <c r="QQ360" s="3"/>
      <c r="QR360" s="3"/>
      <c r="QS360" s="3"/>
      <c r="QT360" s="3"/>
      <c r="QU360" s="3"/>
      <c r="QV360" s="3"/>
      <c r="QW360" s="3"/>
      <c r="QX360" s="3"/>
      <c r="QY360" s="3"/>
      <c r="QZ360" s="3"/>
      <c r="RA360" s="3"/>
      <c r="RB360" s="3"/>
      <c r="RC360" s="3"/>
      <c r="RD360" s="3"/>
      <c r="RE360" s="3"/>
      <c r="RF360" s="3"/>
      <c r="RG360" s="3"/>
      <c r="RH360" s="3"/>
      <c r="RI360" s="3"/>
      <c r="RJ360" s="3"/>
      <c r="RK360" s="3"/>
      <c r="RL360" s="3"/>
      <c r="RM360" s="3"/>
      <c r="RN360" s="3"/>
      <c r="RO360" s="3"/>
      <c r="RP360" s="3"/>
      <c r="RQ360" s="3"/>
      <c r="RR360" s="3"/>
      <c r="RS360" s="3"/>
      <c r="RT360" s="3"/>
      <c r="RU360" s="3"/>
      <c r="RV360" s="3"/>
      <c r="RW360" s="3"/>
      <c r="RX360" s="3"/>
      <c r="RY360" s="3"/>
      <c r="RZ360" s="3"/>
      <c r="SA360" s="3"/>
      <c r="SB360" s="3"/>
      <c r="SC360" s="3"/>
      <c r="SD360" s="3"/>
      <c r="SE360" s="3"/>
      <c r="SF360" s="3"/>
      <c r="SG360" s="3"/>
      <c r="SH360" s="3"/>
      <c r="SI360" s="3"/>
      <c r="SJ360" s="3"/>
      <c r="SK360" s="3"/>
      <c r="SL360" s="3"/>
      <c r="SM360" s="3"/>
      <c r="SN360" s="3"/>
      <c r="SO360" s="3"/>
      <c r="SP360" s="3"/>
      <c r="SQ360" s="3"/>
      <c r="SR360" s="3"/>
      <c r="SS360" s="3"/>
      <c r="ST360" s="3"/>
      <c r="SU360" s="3"/>
      <c r="SV360" s="3"/>
      <c r="SW360" s="3"/>
      <c r="SX360" s="3"/>
      <c r="SY360" s="3"/>
      <c r="SZ360" s="3"/>
      <c r="TA360" s="3"/>
      <c r="TB360" s="3"/>
      <c r="TC360" s="3"/>
      <c r="TD360" s="3"/>
      <c r="TE360" s="3"/>
      <c r="TF360" s="3"/>
      <c r="TG360" s="3"/>
      <c r="TH360" s="3"/>
      <c r="TI360" s="3"/>
      <c r="TJ360" s="3"/>
      <c r="TK360" s="3"/>
      <c r="TL360" s="3"/>
      <c r="TM360" s="3"/>
      <c r="TN360" s="3"/>
      <c r="TO360" s="3"/>
      <c r="TP360" s="3"/>
      <c r="TQ360" s="3"/>
      <c r="TR360" s="3"/>
      <c r="TS360" s="3"/>
      <c r="TT360" s="3"/>
      <c r="TU360" s="3"/>
      <c r="TV360" s="3"/>
      <c r="TW360" s="3"/>
      <c r="TX360" s="3"/>
      <c r="TY360" s="3"/>
      <c r="TZ360" s="3"/>
      <c r="UA360" s="3"/>
      <c r="UB360" s="3"/>
      <c r="UC360" s="3"/>
      <c r="UD360" s="3"/>
      <c r="UE360" s="3"/>
      <c r="UF360" s="3"/>
      <c r="UG360" s="3"/>
      <c r="UH360" s="3"/>
      <c r="UI360" s="3"/>
      <c r="UJ360" s="3"/>
      <c r="UK360" s="3"/>
      <c r="UL360" s="3"/>
      <c r="UM360" s="3"/>
      <c r="UN360" s="3"/>
      <c r="UO360" s="3"/>
      <c r="UP360" s="3"/>
      <c r="UQ360" s="3"/>
      <c r="UR360" s="3"/>
      <c r="US360" s="3"/>
      <c r="UT360" s="3"/>
      <c r="UU360" s="3"/>
      <c r="UV360" s="3"/>
      <c r="UW360" s="3"/>
      <c r="UX360" s="3"/>
      <c r="UY360" s="3"/>
      <c r="UZ360" s="3"/>
      <c r="VA360" s="3"/>
      <c r="VB360" s="3"/>
      <c r="VC360" s="3"/>
      <c r="VD360" s="3"/>
      <c r="VE360" s="3"/>
      <c r="VF360" s="3"/>
      <c r="VG360" s="3"/>
      <c r="VH360" s="3"/>
      <c r="VI360" s="3"/>
      <c r="VJ360" s="3"/>
      <c r="VK360" s="3"/>
      <c r="VL360" s="3"/>
      <c r="VM360" s="3"/>
      <c r="VN360" s="3"/>
      <c r="VO360" s="3"/>
      <c r="VP360" s="3"/>
      <c r="VQ360" s="3"/>
      <c r="VR360" s="3"/>
      <c r="VS360" s="3"/>
      <c r="VT360" s="3"/>
      <c r="VU360" s="3"/>
      <c r="VV360" s="3"/>
      <c r="VW360" s="3"/>
      <c r="VX360" s="3"/>
      <c r="VY360" s="3"/>
      <c r="VZ360" s="3"/>
      <c r="WA360" s="3"/>
      <c r="WB360" s="3"/>
      <c r="WC360" s="3"/>
      <c r="WD360" s="3"/>
      <c r="WE360" s="3"/>
      <c r="WF360" s="3"/>
      <c r="WG360" s="3"/>
      <c r="WH360" s="3"/>
      <c r="WI360" s="3"/>
      <c r="WJ360" s="3"/>
      <c r="WK360" s="3"/>
      <c r="WL360" s="3"/>
      <c r="WM360" s="3"/>
      <c r="WN360" s="3"/>
      <c r="WO360" s="3"/>
      <c r="WP360" s="3"/>
      <c r="WQ360" s="3"/>
      <c r="WR360" s="3"/>
      <c r="WS360" s="3"/>
      <c r="WT360" s="3"/>
      <c r="WU360" s="3"/>
      <c r="WV360" s="3"/>
      <c r="WW360" s="3"/>
      <c r="WX360" s="3"/>
      <c r="WY360" s="3"/>
      <c r="WZ360" s="3"/>
      <c r="XA360" s="3"/>
      <c r="XB360" s="3"/>
      <c r="XC360" s="3"/>
      <c r="XD360" s="3"/>
      <c r="XE360" s="3"/>
      <c r="XF360" s="3"/>
      <c r="XG360" s="3"/>
      <c r="XH360" s="3"/>
      <c r="XI360" s="3"/>
      <c r="XJ360" s="3"/>
      <c r="XK360" s="3"/>
      <c r="XL360" s="3"/>
      <c r="XM360" s="3"/>
      <c r="XN360" s="3"/>
      <c r="XO360" s="3"/>
      <c r="XP360" s="3"/>
      <c r="XQ360" s="3"/>
      <c r="XR360" s="3"/>
      <c r="XS360" s="3"/>
      <c r="XT360" s="3"/>
      <c r="XU360" s="3"/>
      <c r="XV360" s="3"/>
      <c r="XW360" s="3"/>
      <c r="XX360" s="3"/>
      <c r="XY360" s="3"/>
      <c r="XZ360" s="3"/>
      <c r="YA360" s="3"/>
      <c r="YB360" s="3"/>
      <c r="YC360" s="3"/>
      <c r="YD360" s="3"/>
      <c r="YE360" s="3"/>
      <c r="YF360" s="3"/>
      <c r="YG360" s="3"/>
      <c r="YH360" s="3"/>
      <c r="YI360" s="3"/>
      <c r="YJ360" s="3"/>
      <c r="YK360" s="3"/>
      <c r="YL360" s="3"/>
      <c r="YM360" s="3"/>
      <c r="YN360" s="3"/>
      <c r="YO360" s="3"/>
      <c r="YP360" s="3"/>
      <c r="YQ360" s="3"/>
      <c r="YR360" s="3"/>
      <c r="YS360" s="3"/>
      <c r="YT360" s="3"/>
      <c r="YU360" s="3"/>
      <c r="YV360" s="3"/>
      <c r="YW360" s="3"/>
      <c r="YX360" s="3"/>
      <c r="YY360" s="3"/>
      <c r="YZ360" s="3"/>
      <c r="ZA360" s="3"/>
      <c r="ZB360" s="3"/>
      <c r="ZC360" s="3"/>
      <c r="ZD360" s="3"/>
      <c r="ZE360" s="3"/>
      <c r="ZF360" s="3"/>
      <c r="ZG360" s="3"/>
      <c r="ZH360" s="3"/>
      <c r="ZI360" s="3"/>
      <c r="ZJ360" s="3"/>
      <c r="ZK360" s="3"/>
      <c r="ZL360" s="3"/>
      <c r="ZM360" s="3"/>
      <c r="ZN360" s="3"/>
      <c r="ZO360" s="3"/>
      <c r="ZP360" s="3"/>
      <c r="ZQ360" s="3"/>
      <c r="ZR360" s="3"/>
      <c r="ZS360" s="3"/>
      <c r="ZT360" s="3"/>
      <c r="ZU360" s="3"/>
      <c r="ZV360" s="3"/>
      <c r="ZW360" s="3"/>
      <c r="ZX360" s="3"/>
      <c r="ZY360" s="3"/>
      <c r="ZZ360" s="3"/>
      <c r="AAA360" s="3"/>
      <c r="AAB360" s="3"/>
      <c r="AAC360" s="3"/>
      <c r="AAD360" s="3"/>
      <c r="AAE360" s="3"/>
      <c r="AAF360" s="3"/>
      <c r="AAG360" s="3"/>
      <c r="AAH360" s="3"/>
      <c r="AAI360" s="3"/>
      <c r="AAJ360" s="3"/>
      <c r="AAK360" s="3"/>
      <c r="AAL360" s="3"/>
      <c r="AAM360" s="3"/>
      <c r="AAN360" s="3"/>
      <c r="AAO360" s="3"/>
      <c r="AAP360" s="3"/>
      <c r="AAQ360" s="3"/>
      <c r="AAR360" s="3"/>
      <c r="AAS360" s="3"/>
      <c r="AAT360" s="3"/>
      <c r="AAU360" s="3"/>
      <c r="AAV360" s="3"/>
      <c r="AAW360" s="3"/>
      <c r="AAX360" s="3"/>
      <c r="AAY360" s="3"/>
      <c r="AAZ360" s="3"/>
      <c r="ABA360" s="3"/>
      <c r="ABB360" s="3"/>
      <c r="ABC360" s="3"/>
      <c r="ABD360" s="3"/>
      <c r="ABE360" s="3"/>
      <c r="ABF360" s="3"/>
      <c r="ABG360" s="3"/>
      <c r="ABH360" s="3"/>
      <c r="ABI360" s="3"/>
      <c r="ABJ360" s="3"/>
      <c r="ABK360" s="3"/>
      <c r="ABL360" s="3"/>
      <c r="ABM360" s="3"/>
      <c r="ABN360" s="3"/>
      <c r="ABO360" s="3"/>
      <c r="ABP360" s="3"/>
      <c r="ABQ360" s="3"/>
      <c r="ABR360" s="3"/>
      <c r="ABS360" s="3"/>
      <c r="ABT360" s="3"/>
      <c r="ABU360" s="3"/>
      <c r="ABV360" s="3"/>
      <c r="ABW360" s="3"/>
      <c r="ABX360" s="3"/>
      <c r="ABY360" s="3"/>
      <c r="ABZ360" s="3"/>
      <c r="ACA360" s="3"/>
      <c r="ACB360" s="3"/>
      <c r="ACC360" s="3"/>
      <c r="ACD360" s="3"/>
      <c r="ACE360" s="3"/>
      <c r="ACF360" s="3"/>
      <c r="ACG360" s="3"/>
      <c r="ACH360" s="3"/>
      <c r="ACI360" s="3"/>
      <c r="ACJ360" s="3"/>
      <c r="ACK360" s="3"/>
      <c r="ACL360" s="3"/>
      <c r="ACM360" s="3"/>
      <c r="ACN360" s="3"/>
      <c r="ACO360" s="3"/>
      <c r="ACP360" s="3"/>
      <c r="ACQ360" s="3"/>
      <c r="ACR360" s="3"/>
      <c r="ACS360" s="3"/>
      <c r="ACT360" s="3"/>
      <c r="ACU360" s="3"/>
      <c r="ACV360" s="3"/>
      <c r="ACW360" s="3"/>
      <c r="ACX360" s="3"/>
      <c r="ACY360" s="3"/>
      <c r="ACZ360" s="3"/>
      <c r="ADA360" s="3"/>
      <c r="ADB360" s="3"/>
      <c r="ADC360" s="3"/>
      <c r="ADD360" s="3"/>
      <c r="ADE360" s="3"/>
      <c r="ADF360" s="3"/>
      <c r="ADG360" s="3"/>
      <c r="ADH360" s="3"/>
      <c r="ADI360" s="3"/>
      <c r="ADJ360" s="3"/>
      <c r="ADK360" s="3"/>
      <c r="ADL360" s="3"/>
      <c r="ADM360" s="3"/>
      <c r="ADN360" s="3"/>
      <c r="ADO360" s="3"/>
      <c r="ADP360" s="3"/>
      <c r="ADQ360" s="3"/>
      <c r="ADR360" s="3"/>
      <c r="ADS360" s="3"/>
      <c r="ADT360" s="3"/>
      <c r="ADU360" s="3"/>
      <c r="ADV360" s="3"/>
      <c r="ADW360" s="3"/>
      <c r="ADX360" s="3"/>
      <c r="ADY360" s="3"/>
      <c r="ADZ360" s="3"/>
      <c r="AEA360" s="3"/>
      <c r="AEB360" s="3"/>
      <c r="AEC360" s="3"/>
      <c r="AED360" s="3"/>
      <c r="AEE360" s="3"/>
      <c r="AEF360" s="3"/>
      <c r="AEG360" s="3"/>
      <c r="AEH360" s="3"/>
      <c r="AEI360" s="3"/>
      <c r="AEJ360" s="3"/>
      <c r="AEK360" s="3"/>
      <c r="AEL360" s="3"/>
      <c r="AEM360" s="3"/>
      <c r="AEN360" s="3"/>
      <c r="AEO360" s="3"/>
      <c r="AEP360" s="3"/>
      <c r="AEQ360" s="3"/>
      <c r="AER360" s="3"/>
      <c r="AES360" s="3"/>
      <c r="AET360" s="3"/>
      <c r="AEU360" s="3"/>
      <c r="AEV360" s="3"/>
      <c r="AEW360" s="3"/>
      <c r="AEX360" s="3"/>
      <c r="AEY360" s="3"/>
      <c r="AEZ360" s="3"/>
      <c r="AFA360" s="3"/>
      <c r="AFB360" s="3"/>
      <c r="AFC360" s="3"/>
      <c r="AFD360" s="3"/>
      <c r="AFE360" s="3"/>
      <c r="AFF360" s="3"/>
      <c r="AFG360" s="3"/>
      <c r="AFH360" s="3"/>
      <c r="AFI360" s="3"/>
      <c r="AFJ360" s="3"/>
      <c r="AFK360" s="3"/>
      <c r="AFL360" s="3"/>
      <c r="AFM360" s="3"/>
      <c r="AFN360" s="3"/>
      <c r="AFO360" s="3"/>
      <c r="AFP360" s="3"/>
      <c r="AFQ360" s="3"/>
      <c r="AFR360" s="3"/>
      <c r="AFS360" s="3"/>
      <c r="AFT360" s="3"/>
      <c r="AFU360" s="3"/>
      <c r="AFV360" s="3"/>
      <c r="AFW360" s="3"/>
      <c r="AFX360" s="3"/>
      <c r="AFY360" s="3"/>
      <c r="AFZ360" s="3"/>
      <c r="AGA360" s="3"/>
      <c r="AGB360" s="3"/>
      <c r="AGC360" s="3"/>
      <c r="AGD360" s="3"/>
      <c r="AGE360" s="3"/>
      <c r="AGF360" s="3"/>
      <c r="AGG360" s="3"/>
      <c r="AGH360" s="3"/>
      <c r="AGI360" s="3"/>
      <c r="AGJ360" s="3"/>
      <c r="AGK360" s="3"/>
      <c r="AGL360" s="3"/>
      <c r="AGM360" s="3"/>
      <c r="AGN360" s="3"/>
      <c r="AGO360" s="3"/>
      <c r="AGP360" s="3"/>
      <c r="AGQ360" s="3"/>
      <c r="AGR360" s="3"/>
      <c r="AGS360" s="3"/>
      <c r="AGT360" s="3"/>
      <c r="AGU360" s="3"/>
      <c r="AGV360" s="3"/>
      <c r="AGW360" s="3"/>
      <c r="AGX360" s="3"/>
      <c r="AGY360" s="3"/>
      <c r="AGZ360" s="3"/>
      <c r="AHA360" s="3"/>
      <c r="AHB360" s="3"/>
      <c r="AHC360" s="3"/>
      <c r="AHD360" s="3"/>
      <c r="AHE360" s="3"/>
      <c r="AHF360" s="3"/>
      <c r="AHG360" s="3"/>
      <c r="AHH360" s="3"/>
      <c r="AHI360" s="3"/>
      <c r="AHJ360" s="3"/>
      <c r="AHK360" s="3"/>
      <c r="AHL360" s="3"/>
      <c r="AHM360" s="3"/>
      <c r="AHN360" s="3"/>
      <c r="AHO360" s="3"/>
      <c r="AHP360" s="3"/>
      <c r="AHQ360" s="3"/>
      <c r="AHR360" s="3"/>
      <c r="AHS360" s="3"/>
      <c r="AHT360" s="3"/>
      <c r="AHU360" s="3"/>
      <c r="AHV360" s="3"/>
      <c r="AHW360" s="3"/>
      <c r="AHX360" s="3"/>
      <c r="AHY360" s="3"/>
      <c r="AHZ360" s="3"/>
      <c r="AIA360" s="3"/>
      <c r="AIB360" s="3"/>
      <c r="AIC360" s="3"/>
      <c r="AID360" s="3"/>
      <c r="AIE360" s="3"/>
      <c r="AIF360" s="3"/>
      <c r="AIG360" s="3"/>
      <c r="AIH360" s="3"/>
      <c r="AII360" s="3"/>
      <c r="AIJ360" s="3"/>
      <c r="AIK360" s="3"/>
      <c r="AIL360" s="3"/>
      <c r="AIM360" s="3"/>
      <c r="AIN360" s="3"/>
      <c r="AIO360" s="3"/>
      <c r="AIP360" s="3"/>
      <c r="AIQ360" s="3"/>
      <c r="AIR360" s="3"/>
      <c r="AIS360" s="3"/>
      <c r="AIT360" s="3"/>
      <c r="AIU360" s="3"/>
      <c r="AIV360" s="3"/>
      <c r="AIW360" s="3"/>
      <c r="AIX360" s="3"/>
      <c r="AIY360" s="3"/>
      <c r="AIZ360" s="3"/>
      <c r="AJA360" s="3"/>
      <c r="AJB360" s="3"/>
      <c r="AJC360" s="3"/>
      <c r="AJD360" s="3"/>
      <c r="AJE360" s="3"/>
      <c r="AJF360" s="3"/>
      <c r="AJG360" s="3"/>
      <c r="AJH360" s="3"/>
      <c r="AJI360" s="3"/>
      <c r="AJJ360" s="3"/>
      <c r="AJK360" s="3"/>
      <c r="AJL360" s="3"/>
      <c r="AJM360" s="3"/>
      <c r="AJN360" s="3"/>
      <c r="AJO360" s="3"/>
      <c r="AJP360" s="3"/>
      <c r="AJQ360" s="3"/>
      <c r="AJR360" s="3"/>
      <c r="AJS360" s="3"/>
      <c r="AJT360" s="3"/>
      <c r="AJU360" s="3"/>
      <c r="AJV360" s="3"/>
      <c r="AJW360" s="3"/>
      <c r="AJX360" s="3"/>
      <c r="AJY360" s="3"/>
      <c r="AJZ360" s="3"/>
      <c r="AKA360" s="3"/>
      <c r="AKB360" s="3"/>
      <c r="AKC360" s="3"/>
      <c r="AKD360" s="3"/>
      <c r="AKE360" s="3"/>
      <c r="AKF360" s="3"/>
      <c r="AKG360" s="3"/>
      <c r="AKH360" s="3"/>
      <c r="AKI360" s="3"/>
      <c r="AKJ360" s="3"/>
      <c r="AKK360" s="3"/>
      <c r="AKL360" s="3"/>
      <c r="AKM360" s="3"/>
      <c r="AKN360" s="3"/>
      <c r="AKO360" s="3"/>
      <c r="AKP360" s="3"/>
      <c r="AKQ360" s="3"/>
      <c r="AKR360" s="3"/>
      <c r="AKS360" s="3"/>
      <c r="AKT360" s="3"/>
      <c r="AKU360" s="3"/>
      <c r="AKV360" s="3"/>
      <c r="AKW360" s="3"/>
      <c r="AKX360" s="3"/>
      <c r="AKY360" s="3"/>
      <c r="AKZ360" s="3"/>
      <c r="ALA360" s="3"/>
      <c r="ALB360" s="3"/>
      <c r="ALC360" s="3"/>
      <c r="ALD360" s="3"/>
      <c r="ALE360" s="3"/>
      <c r="ALF360" s="3"/>
      <c r="ALG360" s="3"/>
      <c r="ALH360" s="3"/>
      <c r="ALI360" s="3"/>
      <c r="ALJ360" s="3"/>
      <c r="ALK360" s="3"/>
      <c r="ALL360" s="3"/>
      <c r="ALM360" s="3"/>
      <c r="ALN360" s="3"/>
      <c r="ALO360" s="3"/>
      <c r="ALP360" s="3"/>
      <c r="ALQ360" s="3"/>
      <c r="ALR360" s="3"/>
      <c r="ALS360" s="3"/>
      <c r="ALT360" s="3"/>
      <c r="ALU360" s="3"/>
      <c r="ALV360" s="3"/>
      <c r="ALW360" s="3"/>
      <c r="ALX360" s="3"/>
      <c r="ALY360" s="3"/>
      <c r="ALZ360" s="3"/>
      <c r="AMA360" s="3"/>
      <c r="AMB360" s="3"/>
      <c r="AMC360" s="3"/>
      <c r="AMD360" s="3"/>
      <c r="AME360" s="3"/>
      <c r="AMF360" s="3"/>
      <c r="AMG360" s="3"/>
      <c r="AMH360" s="3"/>
      <c r="AMI360" s="3"/>
      <c r="AMJ360" s="3"/>
      <c r="AMK360" s="3"/>
      <c r="AML360" s="3"/>
      <c r="AMM360" s="3"/>
      <c r="AMN360" s="3"/>
      <c r="AMO360" s="3"/>
      <c r="AMP360" s="1"/>
    </row>
    <row r="361" spans="1:1030" s="6" customFormat="1" x14ac:dyDescent="0.2">
      <c r="A361" s="3" t="str">
        <f t="shared" si="1898"/>
        <v>smo_human_4QIN</v>
      </c>
      <c r="B361" s="3" t="s">
        <v>33</v>
      </c>
      <c r="C361" s="3" t="s">
        <v>56</v>
      </c>
      <c r="D361" s="3" t="str">
        <f>IFERROR(MID(VLOOKUP($B361,Seqs!$A:$B,2,0),E361,1),"")</f>
        <v>T</v>
      </c>
      <c r="E361" s="105">
        <v>223</v>
      </c>
      <c r="F361" s="3" t="str">
        <f>IFERROR(MID(VLOOKUP($B361,Seqs!$A:$B,2,0),G361,1),"")</f>
        <v>D</v>
      </c>
      <c r="G361" s="3">
        <v>255</v>
      </c>
      <c r="H361" s="3" t="str">
        <f>IFERROR(MID(VLOOKUP($B361,Seqs!$A:$B,2,0),I361,1),"")</f>
        <v>W</v>
      </c>
      <c r="I361" s="23">
        <v>256</v>
      </c>
      <c r="J361" s="3" t="str">
        <f>IFERROR(MID(VLOOKUP($B361,Seqs!$A:$B,2,0),K361,1),"")</f>
        <v>N</v>
      </c>
      <c r="K361" s="23">
        <v>260</v>
      </c>
      <c r="L361" s="3" t="str">
        <f>IFERROR(MID(VLOOKUP($B361,Seqs!$A:$B,2,0),M361,1),"")</f>
        <v>R</v>
      </c>
      <c r="M361" s="3">
        <v>261</v>
      </c>
      <c r="N361" s="3" t="str">
        <f>IFERROR(MID(VLOOKUP($B361,Seqs!$A:$B,2,0),O361,1),"")</f>
        <v>F</v>
      </c>
      <c r="O361" s="3">
        <v>285</v>
      </c>
      <c r="P361" s="3" t="str">
        <f>IFERROR(MID(VLOOKUP($B361,Seqs!$A:$B,2,0),Q361,1),"")</f>
        <v/>
      </c>
      <c r="Q361" s="3" t="s">
        <v>23</v>
      </c>
      <c r="R361" s="3" t="str">
        <f>IFERROR(MID(VLOOKUP($B361,Seqs!$A:$B,2,0),S361,1),"")</f>
        <v/>
      </c>
      <c r="S361" s="3" t="s">
        <v>23</v>
      </c>
      <c r="T361" s="3" t="str">
        <f>IFERROR(MID(VLOOKUP($B361,Seqs!$A:$B,2,0),U361,1),"")</f>
        <v>L</v>
      </c>
      <c r="U361" s="3">
        <v>312</v>
      </c>
      <c r="V361" s="3" t="str">
        <f>IFERROR(MID(VLOOKUP($B361,Seqs!$A:$B,2,0),W361,1),"")</f>
        <v>A</v>
      </c>
      <c r="W361" s="3">
        <v>345</v>
      </c>
      <c r="X361" s="3" t="str">
        <f>IFERROR(MID(VLOOKUP($B361,Seqs!$A:$B,2,0),Y361,1),"")</f>
        <v/>
      </c>
      <c r="Y361" s="3" t="s">
        <v>23</v>
      </c>
      <c r="Z361" s="3" t="str">
        <f>IFERROR(MID(VLOOKUP($B361,Seqs!$A:$B,2,0),AA361,1),"")</f>
        <v/>
      </c>
      <c r="AA361" s="3" t="s">
        <v>23</v>
      </c>
      <c r="AB361" s="3" t="str">
        <f>IFERROR(MID(VLOOKUP($B361,Seqs!$A:$B,2,0),AC361,1),"")</f>
        <v>K</v>
      </c>
      <c r="AC361" s="9">
        <v>356</v>
      </c>
      <c r="AD361" s="3" t="str">
        <f>IFERROR(MID(VLOOKUP($B361,Seqs!$A:$B,2,0),AE361,1),"")</f>
        <v>V</v>
      </c>
      <c r="AE361" s="3">
        <v>378</v>
      </c>
      <c r="AF361" s="3" t="str">
        <f>IFERROR(MID(VLOOKUP($B361,Seqs!$A:$B,2,0),AG361,1),"")</f>
        <v>C</v>
      </c>
      <c r="AG361" s="3">
        <v>390</v>
      </c>
      <c r="AH361" s="3" t="str">
        <f>IFERROR(MID(VLOOKUP($B361,Seqs!$A:$B,2,0),AI361,1),"")</f>
        <v>V</v>
      </c>
      <c r="AI361" s="3">
        <v>392</v>
      </c>
      <c r="AJ361" s="3" t="str">
        <f>IFERROR(MID(VLOOKUP($B361,Seqs!$A:$B,2,0),AK361,1),"")</f>
        <v>N</v>
      </c>
      <c r="AK361" s="105">
        <v>396</v>
      </c>
      <c r="AL361" s="3" t="str">
        <f>IFERROR(MID(VLOOKUP($B361,Seqs!$A:$B,2,0),AM361,1),"")</f>
        <v>H</v>
      </c>
      <c r="AM361" s="3">
        <v>433</v>
      </c>
      <c r="AN361" s="3" t="str">
        <f>IFERROR(MID(VLOOKUP($B361,Seqs!$A:$B,2,0),AO361,1),"")</f>
        <v>E</v>
      </c>
      <c r="AO361" s="3">
        <v>447</v>
      </c>
      <c r="AP361" s="3" t="str">
        <f>IFERROR(MID(VLOOKUP($B361,Seqs!$A:$B,2,0),AQ361,1),"")</f>
        <v>A</v>
      </c>
      <c r="AQ361" s="3">
        <v>492</v>
      </c>
      <c r="AR361" s="3" t="str">
        <f>IFERROR(MID(VLOOKUP($B361,Seqs!$A:$B,2,0),AS361,1),"")</f>
        <v>S</v>
      </c>
      <c r="AS361" s="105">
        <v>514</v>
      </c>
      <c r="AT361" s="3" t="str">
        <f>IFERROR(MID(VLOOKUP($B361,Seqs!$A:$B,2,0),AU361,1),"")</f>
        <v>W</v>
      </c>
      <c r="AU361" s="3">
        <v>537</v>
      </c>
      <c r="AV361" s="3" t="str">
        <f>IFERROR(MID(VLOOKUP($B361,Seqs!$A:$B,2,0),AW361,1),"")</f>
        <v>T</v>
      </c>
      <c r="AW361" s="3">
        <v>538</v>
      </c>
      <c r="AX361" s="3" t="str">
        <f>IFERROR(MID(VLOOKUP($B361,Seqs!$A:$B,2,0),AY361,1),"")</f>
        <v>R</v>
      </c>
      <c r="AY361" s="3">
        <v>551</v>
      </c>
      <c r="AZ361" s="78" t="str">
        <f>VLOOKUP(B361,Classification!A:D,2,0)</f>
        <v>F</v>
      </c>
      <c r="BA361" s="94" t="str">
        <f>VLOOKUP(B361,Classification!A:D,4,0)</f>
        <v>Frizzled</v>
      </c>
      <c r="BB361" s="92" t="b">
        <f t="shared" si="1899"/>
        <v>1</v>
      </c>
      <c r="BC361" s="23">
        <f t="shared" si="1872"/>
        <v>247</v>
      </c>
      <c r="BD361" s="74" t="s">
        <v>23</v>
      </c>
      <c r="BE361" s="3" t="s">
        <v>1375</v>
      </c>
      <c r="BF361" s="119">
        <v>2.6</v>
      </c>
      <c r="BG361" s="49" t="s">
        <v>1378</v>
      </c>
      <c r="BH361" s="49" t="s">
        <v>1378</v>
      </c>
      <c r="BI361" s="3"/>
      <c r="BJ361" s="75" t="s">
        <v>1288</v>
      </c>
      <c r="BK361" s="57" t="s">
        <v>1288</v>
      </c>
      <c r="BL361" s="57" t="s">
        <v>1288</v>
      </c>
      <c r="BM361" s="57" t="s">
        <v>1288</v>
      </c>
      <c r="BN361" s="57" t="s">
        <v>1288</v>
      </c>
      <c r="BO361" s="57" t="s">
        <v>1288</v>
      </c>
      <c r="BP361" s="57" t="s">
        <v>1288</v>
      </c>
      <c r="BQ361" s="57" t="s">
        <v>1288</v>
      </c>
      <c r="BR361" s="57" t="s">
        <v>1288</v>
      </c>
      <c r="BS361" s="57" t="s">
        <v>1288</v>
      </c>
      <c r="BT361" s="57" t="s">
        <v>1288</v>
      </c>
      <c r="BU361" s="57" t="s">
        <v>1288</v>
      </c>
      <c r="BV361" s="75">
        <f t="shared" si="1873"/>
        <v>223</v>
      </c>
      <c r="BW361" s="71">
        <f t="shared" si="1874"/>
        <v>256</v>
      </c>
      <c r="BX361" s="72">
        <f t="shared" si="1875"/>
        <v>261</v>
      </c>
      <c r="BY361" s="71" t="str">
        <f t="shared" si="1876"/>
        <v>-</v>
      </c>
      <c r="BZ361" s="72">
        <f t="shared" si="1877"/>
        <v>312</v>
      </c>
      <c r="CA361" s="71" t="str">
        <f t="shared" si="1878"/>
        <v>-</v>
      </c>
      <c r="CB361" s="72">
        <f t="shared" si="1879"/>
        <v>356</v>
      </c>
      <c r="CC361" s="71">
        <f t="shared" si="1880"/>
        <v>390</v>
      </c>
      <c r="CD361" s="72">
        <f t="shared" si="1881"/>
        <v>396</v>
      </c>
      <c r="CE361" s="71">
        <f t="shared" si="1882"/>
        <v>447</v>
      </c>
      <c r="CF361" s="72">
        <f t="shared" si="1883"/>
        <v>514</v>
      </c>
      <c r="CG361" s="71">
        <f t="shared" si="1884"/>
        <v>538</v>
      </c>
      <c r="CH361" s="75">
        <f t="shared" si="1885"/>
        <v>255</v>
      </c>
      <c r="CI361" s="71">
        <f t="shared" si="1886"/>
        <v>260</v>
      </c>
      <c r="CJ361" s="72">
        <f t="shared" si="1887"/>
        <v>285</v>
      </c>
      <c r="CK361" s="72" t="str">
        <f t="shared" si="1888"/>
        <v>-</v>
      </c>
      <c r="CL361" s="72">
        <f t="shared" si="1889"/>
        <v>345</v>
      </c>
      <c r="CM361" s="72" t="str">
        <f t="shared" si="1890"/>
        <v>-</v>
      </c>
      <c r="CN361" s="72">
        <f t="shared" si="1891"/>
        <v>378</v>
      </c>
      <c r="CO361" s="72">
        <f t="shared" si="1892"/>
        <v>392</v>
      </c>
      <c r="CP361" s="72">
        <f t="shared" si="1893"/>
        <v>433</v>
      </c>
      <c r="CQ361" s="72">
        <f t="shared" si="1894"/>
        <v>492</v>
      </c>
      <c r="CR361" s="72">
        <f t="shared" si="1895"/>
        <v>537</v>
      </c>
      <c r="CS361" s="72">
        <f t="shared" si="1896"/>
        <v>551</v>
      </c>
      <c r="CT361" s="23">
        <f t="shared" si="1897"/>
        <v>1</v>
      </c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3"/>
      <c r="KN361" s="3"/>
      <c r="KO361" s="3"/>
      <c r="KP361" s="3"/>
      <c r="KQ361" s="3"/>
      <c r="KR361" s="3"/>
      <c r="KS361" s="3"/>
      <c r="KT361" s="3"/>
      <c r="KU361" s="3"/>
      <c r="KV361" s="3"/>
      <c r="KW361" s="3"/>
      <c r="KX361" s="3"/>
      <c r="KY361" s="3"/>
      <c r="KZ361" s="3"/>
      <c r="LA361" s="3"/>
      <c r="LB361" s="3"/>
      <c r="LC361" s="3"/>
      <c r="LD361" s="3"/>
      <c r="LE361" s="3"/>
      <c r="LF361" s="3"/>
      <c r="LG361" s="3"/>
      <c r="LH361" s="3"/>
      <c r="LI361" s="3"/>
      <c r="LJ361" s="3"/>
      <c r="LK361" s="3"/>
      <c r="LL361" s="3"/>
      <c r="LM361" s="3"/>
      <c r="LN361" s="3"/>
      <c r="LO361" s="3"/>
      <c r="LP361" s="3"/>
      <c r="LQ361" s="3"/>
      <c r="LR361" s="3"/>
      <c r="LS361" s="3"/>
      <c r="LT361" s="3"/>
      <c r="LU361" s="3"/>
      <c r="LV361" s="3"/>
      <c r="LW361" s="3"/>
      <c r="LX361" s="3"/>
      <c r="LY361" s="3"/>
      <c r="LZ361" s="3"/>
      <c r="MA361" s="3"/>
      <c r="MB361" s="3"/>
      <c r="MC361" s="3"/>
      <c r="MD361" s="3"/>
      <c r="ME361" s="3"/>
      <c r="MF361" s="3"/>
      <c r="MG361" s="3"/>
      <c r="MH361" s="3"/>
      <c r="MI361" s="3"/>
      <c r="MJ361" s="3"/>
      <c r="MK361" s="3"/>
      <c r="ML361" s="3"/>
      <c r="MM361" s="3"/>
      <c r="MN361" s="3"/>
      <c r="MO361" s="3"/>
      <c r="MP361" s="3"/>
      <c r="MQ361" s="3"/>
      <c r="MR361" s="3"/>
      <c r="MS361" s="3"/>
      <c r="MT361" s="3"/>
      <c r="MU361" s="3"/>
      <c r="MV361" s="3"/>
      <c r="MW361" s="3"/>
      <c r="MX361" s="3"/>
      <c r="MY361" s="3"/>
      <c r="MZ361" s="3"/>
      <c r="NA361" s="3"/>
      <c r="NB361" s="3"/>
      <c r="NC361" s="3"/>
      <c r="ND361" s="3"/>
      <c r="NE361" s="3"/>
      <c r="NF361" s="3"/>
      <c r="NG361" s="3"/>
      <c r="NH361" s="3"/>
      <c r="NI361" s="3"/>
      <c r="NJ361" s="3"/>
      <c r="NK361" s="3"/>
      <c r="NL361" s="3"/>
      <c r="NM361" s="3"/>
      <c r="NN361" s="3"/>
      <c r="NO361" s="3"/>
      <c r="NP361" s="3"/>
      <c r="NQ361" s="3"/>
      <c r="NR361" s="3"/>
      <c r="NS361" s="3"/>
      <c r="NT361" s="3"/>
      <c r="NU361" s="3"/>
      <c r="NV361" s="3"/>
      <c r="NW361" s="3"/>
      <c r="NX361" s="3"/>
      <c r="NY361" s="3"/>
      <c r="NZ361" s="3"/>
      <c r="OA361" s="3"/>
      <c r="OB361" s="3"/>
      <c r="OC361" s="3"/>
      <c r="OD361" s="3"/>
      <c r="OE361" s="3"/>
      <c r="OF361" s="3"/>
      <c r="OG361" s="3"/>
      <c r="OH361" s="3"/>
      <c r="OI361" s="3"/>
      <c r="OJ361" s="3"/>
      <c r="OK361" s="3"/>
      <c r="OL361" s="3"/>
      <c r="OM361" s="3"/>
      <c r="ON361" s="3"/>
      <c r="OO361" s="3"/>
      <c r="OP361" s="3"/>
      <c r="OQ361" s="3"/>
      <c r="OR361" s="3"/>
      <c r="OS361" s="3"/>
      <c r="OT361" s="3"/>
      <c r="OU361" s="3"/>
      <c r="OV361" s="3"/>
      <c r="OW361" s="3"/>
      <c r="OX361" s="3"/>
      <c r="OY361" s="3"/>
      <c r="OZ361" s="3"/>
      <c r="PA361" s="3"/>
      <c r="PB361" s="3"/>
      <c r="PC361" s="3"/>
      <c r="PD361" s="3"/>
      <c r="PE361" s="3"/>
      <c r="PF361" s="3"/>
      <c r="PG361" s="3"/>
      <c r="PH361" s="3"/>
      <c r="PI361" s="3"/>
      <c r="PJ361" s="3"/>
      <c r="PK361" s="3"/>
      <c r="PL361" s="3"/>
      <c r="PM361" s="3"/>
      <c r="PN361" s="3"/>
      <c r="PO361" s="3"/>
      <c r="PP361" s="3"/>
      <c r="PQ361" s="3"/>
      <c r="PR361" s="3"/>
      <c r="PS361" s="3"/>
      <c r="PT361" s="3"/>
      <c r="PU361" s="3"/>
      <c r="PV361" s="3"/>
      <c r="PW361" s="3"/>
      <c r="PX361" s="3"/>
      <c r="PY361" s="3"/>
      <c r="PZ361" s="3"/>
      <c r="QA361" s="3"/>
      <c r="QB361" s="3"/>
      <c r="QC361" s="3"/>
      <c r="QD361" s="3"/>
      <c r="QE361" s="3"/>
      <c r="QF361" s="3"/>
      <c r="QG361" s="3"/>
      <c r="QH361" s="3"/>
      <c r="QI361" s="3"/>
      <c r="QJ361" s="3"/>
      <c r="QK361" s="3"/>
      <c r="QL361" s="3"/>
      <c r="QM361" s="3"/>
      <c r="QN361" s="3"/>
      <c r="QO361" s="3"/>
      <c r="QP361" s="3"/>
      <c r="QQ361" s="3"/>
      <c r="QR361" s="3"/>
      <c r="QS361" s="3"/>
      <c r="QT361" s="3"/>
      <c r="QU361" s="3"/>
      <c r="QV361" s="3"/>
      <c r="QW361" s="3"/>
      <c r="QX361" s="3"/>
      <c r="QY361" s="3"/>
      <c r="QZ361" s="3"/>
      <c r="RA361" s="3"/>
      <c r="RB361" s="3"/>
      <c r="RC361" s="3"/>
      <c r="RD361" s="3"/>
      <c r="RE361" s="3"/>
      <c r="RF361" s="3"/>
      <c r="RG361" s="3"/>
      <c r="RH361" s="3"/>
      <c r="RI361" s="3"/>
      <c r="RJ361" s="3"/>
      <c r="RK361" s="3"/>
      <c r="RL361" s="3"/>
      <c r="RM361" s="3"/>
      <c r="RN361" s="3"/>
      <c r="RO361" s="3"/>
      <c r="RP361" s="3"/>
      <c r="RQ361" s="3"/>
      <c r="RR361" s="3"/>
      <c r="RS361" s="3"/>
      <c r="RT361" s="3"/>
      <c r="RU361" s="3"/>
      <c r="RV361" s="3"/>
      <c r="RW361" s="3"/>
      <c r="RX361" s="3"/>
      <c r="RY361" s="3"/>
      <c r="RZ361" s="3"/>
      <c r="SA361" s="3"/>
      <c r="SB361" s="3"/>
      <c r="SC361" s="3"/>
      <c r="SD361" s="3"/>
      <c r="SE361" s="3"/>
      <c r="SF361" s="3"/>
      <c r="SG361" s="3"/>
      <c r="SH361" s="3"/>
      <c r="SI361" s="3"/>
      <c r="SJ361" s="3"/>
      <c r="SK361" s="3"/>
      <c r="SL361" s="3"/>
      <c r="SM361" s="3"/>
      <c r="SN361" s="3"/>
      <c r="SO361" s="3"/>
      <c r="SP361" s="3"/>
      <c r="SQ361" s="3"/>
      <c r="SR361" s="3"/>
      <c r="SS361" s="3"/>
      <c r="ST361" s="3"/>
      <c r="SU361" s="3"/>
      <c r="SV361" s="3"/>
      <c r="SW361" s="3"/>
      <c r="SX361" s="3"/>
      <c r="SY361" s="3"/>
      <c r="SZ361" s="3"/>
      <c r="TA361" s="3"/>
      <c r="TB361" s="3"/>
      <c r="TC361" s="3"/>
      <c r="TD361" s="3"/>
      <c r="TE361" s="3"/>
      <c r="TF361" s="3"/>
      <c r="TG361" s="3"/>
      <c r="TH361" s="3"/>
      <c r="TI361" s="3"/>
      <c r="TJ361" s="3"/>
      <c r="TK361" s="3"/>
      <c r="TL361" s="3"/>
      <c r="TM361" s="3"/>
      <c r="TN361" s="3"/>
      <c r="TO361" s="3"/>
      <c r="TP361" s="3"/>
      <c r="TQ361" s="3"/>
      <c r="TR361" s="3"/>
      <c r="TS361" s="3"/>
      <c r="TT361" s="3"/>
      <c r="TU361" s="3"/>
      <c r="TV361" s="3"/>
      <c r="TW361" s="3"/>
      <c r="TX361" s="3"/>
      <c r="TY361" s="3"/>
      <c r="TZ361" s="3"/>
      <c r="UA361" s="3"/>
      <c r="UB361" s="3"/>
      <c r="UC361" s="3"/>
      <c r="UD361" s="3"/>
      <c r="UE361" s="3"/>
      <c r="UF361" s="3"/>
      <c r="UG361" s="3"/>
      <c r="UH361" s="3"/>
      <c r="UI361" s="3"/>
      <c r="UJ361" s="3"/>
      <c r="UK361" s="3"/>
      <c r="UL361" s="3"/>
      <c r="UM361" s="3"/>
      <c r="UN361" s="3"/>
      <c r="UO361" s="3"/>
      <c r="UP361" s="3"/>
      <c r="UQ361" s="3"/>
      <c r="UR361" s="3"/>
      <c r="US361" s="3"/>
      <c r="UT361" s="3"/>
      <c r="UU361" s="3"/>
      <c r="UV361" s="3"/>
      <c r="UW361" s="3"/>
      <c r="UX361" s="3"/>
      <c r="UY361" s="3"/>
      <c r="UZ361" s="3"/>
      <c r="VA361" s="3"/>
      <c r="VB361" s="3"/>
      <c r="VC361" s="3"/>
      <c r="VD361" s="3"/>
      <c r="VE361" s="3"/>
      <c r="VF361" s="3"/>
      <c r="VG361" s="3"/>
      <c r="VH361" s="3"/>
      <c r="VI361" s="3"/>
      <c r="VJ361" s="3"/>
      <c r="VK361" s="3"/>
      <c r="VL361" s="3"/>
      <c r="VM361" s="3"/>
      <c r="VN361" s="3"/>
      <c r="VO361" s="3"/>
      <c r="VP361" s="3"/>
      <c r="VQ361" s="3"/>
      <c r="VR361" s="3"/>
      <c r="VS361" s="3"/>
      <c r="VT361" s="3"/>
      <c r="VU361" s="3"/>
      <c r="VV361" s="3"/>
      <c r="VW361" s="3"/>
      <c r="VX361" s="3"/>
      <c r="VY361" s="3"/>
      <c r="VZ361" s="3"/>
      <c r="WA361" s="3"/>
      <c r="WB361" s="3"/>
      <c r="WC361" s="3"/>
      <c r="WD361" s="3"/>
      <c r="WE361" s="3"/>
      <c r="WF361" s="3"/>
      <c r="WG361" s="3"/>
      <c r="WH361" s="3"/>
      <c r="WI361" s="3"/>
      <c r="WJ361" s="3"/>
      <c r="WK361" s="3"/>
      <c r="WL361" s="3"/>
      <c r="WM361" s="3"/>
      <c r="WN361" s="3"/>
      <c r="WO361" s="3"/>
      <c r="WP361" s="3"/>
      <c r="WQ361" s="3"/>
      <c r="WR361" s="3"/>
      <c r="WS361" s="3"/>
      <c r="WT361" s="3"/>
      <c r="WU361" s="3"/>
      <c r="WV361" s="3"/>
      <c r="WW361" s="3"/>
      <c r="WX361" s="3"/>
      <c r="WY361" s="3"/>
      <c r="WZ361" s="3"/>
      <c r="XA361" s="3"/>
      <c r="XB361" s="3"/>
      <c r="XC361" s="3"/>
      <c r="XD361" s="3"/>
      <c r="XE361" s="3"/>
      <c r="XF361" s="3"/>
      <c r="XG361" s="3"/>
      <c r="XH361" s="3"/>
      <c r="XI361" s="3"/>
      <c r="XJ361" s="3"/>
      <c r="XK361" s="3"/>
      <c r="XL361" s="3"/>
      <c r="XM361" s="3"/>
      <c r="XN361" s="3"/>
      <c r="XO361" s="3"/>
      <c r="XP361" s="3"/>
      <c r="XQ361" s="3"/>
      <c r="XR361" s="3"/>
      <c r="XS361" s="3"/>
      <c r="XT361" s="3"/>
      <c r="XU361" s="3"/>
      <c r="XV361" s="3"/>
      <c r="XW361" s="3"/>
      <c r="XX361" s="3"/>
      <c r="XY361" s="3"/>
      <c r="XZ361" s="3"/>
      <c r="YA361" s="3"/>
      <c r="YB361" s="3"/>
      <c r="YC361" s="3"/>
      <c r="YD361" s="3"/>
      <c r="YE361" s="3"/>
      <c r="YF361" s="3"/>
      <c r="YG361" s="3"/>
      <c r="YH361" s="3"/>
      <c r="YI361" s="3"/>
      <c r="YJ361" s="3"/>
      <c r="YK361" s="3"/>
      <c r="YL361" s="3"/>
      <c r="YM361" s="3"/>
      <c r="YN361" s="3"/>
      <c r="YO361" s="3"/>
      <c r="YP361" s="3"/>
      <c r="YQ361" s="3"/>
      <c r="YR361" s="3"/>
      <c r="YS361" s="3"/>
      <c r="YT361" s="3"/>
      <c r="YU361" s="3"/>
      <c r="YV361" s="3"/>
      <c r="YW361" s="3"/>
      <c r="YX361" s="3"/>
      <c r="YY361" s="3"/>
      <c r="YZ361" s="3"/>
      <c r="ZA361" s="3"/>
      <c r="ZB361" s="3"/>
      <c r="ZC361" s="3"/>
      <c r="ZD361" s="3"/>
      <c r="ZE361" s="3"/>
      <c r="ZF361" s="3"/>
      <c r="ZG361" s="3"/>
      <c r="ZH361" s="3"/>
      <c r="ZI361" s="3"/>
      <c r="ZJ361" s="3"/>
      <c r="ZK361" s="3"/>
      <c r="ZL361" s="3"/>
      <c r="ZM361" s="3"/>
      <c r="ZN361" s="3"/>
      <c r="ZO361" s="3"/>
      <c r="ZP361" s="3"/>
      <c r="ZQ361" s="3"/>
      <c r="ZR361" s="3"/>
      <c r="ZS361" s="3"/>
      <c r="ZT361" s="3"/>
      <c r="ZU361" s="3"/>
      <c r="ZV361" s="3"/>
      <c r="ZW361" s="3"/>
      <c r="ZX361" s="3"/>
      <c r="ZY361" s="3"/>
      <c r="ZZ361" s="3"/>
      <c r="AAA361" s="3"/>
      <c r="AAB361" s="3"/>
      <c r="AAC361" s="3"/>
      <c r="AAD361" s="3"/>
      <c r="AAE361" s="3"/>
      <c r="AAF361" s="3"/>
      <c r="AAG361" s="3"/>
      <c r="AAH361" s="3"/>
      <c r="AAI361" s="3"/>
      <c r="AAJ361" s="3"/>
      <c r="AAK361" s="3"/>
      <c r="AAL361" s="3"/>
      <c r="AAM361" s="3"/>
      <c r="AAN361" s="3"/>
      <c r="AAO361" s="3"/>
      <c r="AAP361" s="3"/>
      <c r="AAQ361" s="3"/>
      <c r="AAR361" s="3"/>
      <c r="AAS361" s="3"/>
      <c r="AAT361" s="3"/>
      <c r="AAU361" s="3"/>
      <c r="AAV361" s="3"/>
      <c r="AAW361" s="3"/>
      <c r="AAX361" s="3"/>
      <c r="AAY361" s="3"/>
      <c r="AAZ361" s="3"/>
      <c r="ABA361" s="3"/>
      <c r="ABB361" s="3"/>
      <c r="ABC361" s="3"/>
      <c r="ABD361" s="3"/>
      <c r="ABE361" s="3"/>
      <c r="ABF361" s="3"/>
      <c r="ABG361" s="3"/>
      <c r="ABH361" s="3"/>
      <c r="ABI361" s="3"/>
      <c r="ABJ361" s="3"/>
      <c r="ABK361" s="3"/>
      <c r="ABL361" s="3"/>
      <c r="ABM361" s="3"/>
      <c r="ABN361" s="3"/>
      <c r="ABO361" s="3"/>
      <c r="ABP361" s="3"/>
      <c r="ABQ361" s="3"/>
      <c r="ABR361" s="3"/>
      <c r="ABS361" s="3"/>
      <c r="ABT361" s="3"/>
      <c r="ABU361" s="3"/>
      <c r="ABV361" s="3"/>
      <c r="ABW361" s="3"/>
      <c r="ABX361" s="3"/>
      <c r="ABY361" s="3"/>
      <c r="ABZ361" s="3"/>
      <c r="ACA361" s="3"/>
      <c r="ACB361" s="3"/>
      <c r="ACC361" s="3"/>
      <c r="ACD361" s="3"/>
      <c r="ACE361" s="3"/>
      <c r="ACF361" s="3"/>
      <c r="ACG361" s="3"/>
      <c r="ACH361" s="3"/>
      <c r="ACI361" s="3"/>
      <c r="ACJ361" s="3"/>
      <c r="ACK361" s="3"/>
      <c r="ACL361" s="3"/>
      <c r="ACM361" s="3"/>
      <c r="ACN361" s="3"/>
      <c r="ACO361" s="3"/>
      <c r="ACP361" s="3"/>
      <c r="ACQ361" s="3"/>
      <c r="ACR361" s="3"/>
      <c r="ACS361" s="3"/>
      <c r="ACT361" s="3"/>
      <c r="ACU361" s="3"/>
      <c r="ACV361" s="3"/>
      <c r="ACW361" s="3"/>
      <c r="ACX361" s="3"/>
      <c r="ACY361" s="3"/>
      <c r="ACZ361" s="3"/>
      <c r="ADA361" s="3"/>
      <c r="ADB361" s="3"/>
      <c r="ADC361" s="3"/>
      <c r="ADD361" s="3"/>
      <c r="ADE361" s="3"/>
      <c r="ADF361" s="3"/>
      <c r="ADG361" s="3"/>
      <c r="ADH361" s="3"/>
      <c r="ADI361" s="3"/>
      <c r="ADJ361" s="3"/>
      <c r="ADK361" s="3"/>
      <c r="ADL361" s="3"/>
      <c r="ADM361" s="3"/>
      <c r="ADN361" s="3"/>
      <c r="ADO361" s="3"/>
      <c r="ADP361" s="3"/>
      <c r="ADQ361" s="3"/>
      <c r="ADR361" s="3"/>
      <c r="ADS361" s="3"/>
      <c r="ADT361" s="3"/>
      <c r="ADU361" s="3"/>
      <c r="ADV361" s="3"/>
      <c r="ADW361" s="3"/>
      <c r="ADX361" s="3"/>
      <c r="ADY361" s="3"/>
      <c r="ADZ361" s="3"/>
      <c r="AEA361" s="3"/>
      <c r="AEB361" s="3"/>
      <c r="AEC361" s="3"/>
      <c r="AED361" s="3"/>
      <c r="AEE361" s="3"/>
      <c r="AEF361" s="3"/>
      <c r="AEG361" s="3"/>
      <c r="AEH361" s="3"/>
      <c r="AEI361" s="3"/>
      <c r="AEJ361" s="3"/>
      <c r="AEK361" s="3"/>
      <c r="AEL361" s="3"/>
      <c r="AEM361" s="3"/>
      <c r="AEN361" s="3"/>
      <c r="AEO361" s="3"/>
      <c r="AEP361" s="3"/>
      <c r="AEQ361" s="3"/>
      <c r="AER361" s="3"/>
      <c r="AES361" s="3"/>
      <c r="AET361" s="3"/>
      <c r="AEU361" s="3"/>
      <c r="AEV361" s="3"/>
      <c r="AEW361" s="3"/>
      <c r="AEX361" s="3"/>
      <c r="AEY361" s="3"/>
      <c r="AEZ361" s="3"/>
      <c r="AFA361" s="3"/>
      <c r="AFB361" s="3"/>
      <c r="AFC361" s="3"/>
      <c r="AFD361" s="3"/>
      <c r="AFE361" s="3"/>
      <c r="AFF361" s="3"/>
      <c r="AFG361" s="3"/>
      <c r="AFH361" s="3"/>
      <c r="AFI361" s="3"/>
      <c r="AFJ361" s="3"/>
      <c r="AFK361" s="3"/>
      <c r="AFL361" s="3"/>
      <c r="AFM361" s="3"/>
      <c r="AFN361" s="3"/>
      <c r="AFO361" s="3"/>
      <c r="AFP361" s="3"/>
      <c r="AFQ361" s="3"/>
      <c r="AFR361" s="3"/>
      <c r="AFS361" s="3"/>
      <c r="AFT361" s="3"/>
      <c r="AFU361" s="3"/>
      <c r="AFV361" s="3"/>
      <c r="AFW361" s="3"/>
      <c r="AFX361" s="3"/>
      <c r="AFY361" s="3"/>
      <c r="AFZ361" s="3"/>
      <c r="AGA361" s="3"/>
      <c r="AGB361" s="3"/>
      <c r="AGC361" s="3"/>
      <c r="AGD361" s="3"/>
      <c r="AGE361" s="3"/>
      <c r="AGF361" s="3"/>
      <c r="AGG361" s="3"/>
      <c r="AGH361" s="3"/>
      <c r="AGI361" s="3"/>
      <c r="AGJ361" s="3"/>
      <c r="AGK361" s="3"/>
      <c r="AGL361" s="3"/>
      <c r="AGM361" s="3"/>
      <c r="AGN361" s="3"/>
      <c r="AGO361" s="3"/>
      <c r="AGP361" s="3"/>
      <c r="AGQ361" s="3"/>
      <c r="AGR361" s="3"/>
      <c r="AGS361" s="3"/>
      <c r="AGT361" s="3"/>
      <c r="AGU361" s="3"/>
      <c r="AGV361" s="3"/>
      <c r="AGW361" s="3"/>
      <c r="AGX361" s="3"/>
      <c r="AGY361" s="3"/>
      <c r="AGZ361" s="3"/>
      <c r="AHA361" s="3"/>
      <c r="AHB361" s="3"/>
      <c r="AHC361" s="3"/>
      <c r="AHD361" s="3"/>
      <c r="AHE361" s="3"/>
      <c r="AHF361" s="3"/>
      <c r="AHG361" s="3"/>
      <c r="AHH361" s="3"/>
      <c r="AHI361" s="3"/>
      <c r="AHJ361" s="3"/>
      <c r="AHK361" s="3"/>
      <c r="AHL361" s="3"/>
      <c r="AHM361" s="3"/>
      <c r="AHN361" s="3"/>
      <c r="AHO361" s="3"/>
      <c r="AHP361" s="3"/>
      <c r="AHQ361" s="3"/>
      <c r="AHR361" s="3"/>
      <c r="AHS361" s="3"/>
      <c r="AHT361" s="3"/>
      <c r="AHU361" s="3"/>
      <c r="AHV361" s="3"/>
      <c r="AHW361" s="3"/>
      <c r="AHX361" s="3"/>
      <c r="AHY361" s="3"/>
      <c r="AHZ361" s="3"/>
      <c r="AIA361" s="3"/>
      <c r="AIB361" s="3"/>
      <c r="AIC361" s="3"/>
      <c r="AID361" s="3"/>
      <c r="AIE361" s="3"/>
      <c r="AIF361" s="3"/>
      <c r="AIG361" s="3"/>
      <c r="AIH361" s="3"/>
      <c r="AII361" s="3"/>
      <c r="AIJ361" s="3"/>
      <c r="AIK361" s="3"/>
      <c r="AIL361" s="3"/>
      <c r="AIM361" s="3"/>
      <c r="AIN361" s="3"/>
      <c r="AIO361" s="3"/>
      <c r="AIP361" s="3"/>
      <c r="AIQ361" s="3"/>
      <c r="AIR361" s="3"/>
      <c r="AIS361" s="3"/>
      <c r="AIT361" s="3"/>
      <c r="AIU361" s="3"/>
      <c r="AIV361" s="3"/>
      <c r="AIW361" s="3"/>
      <c r="AIX361" s="3"/>
      <c r="AIY361" s="3"/>
      <c r="AIZ361" s="3"/>
      <c r="AJA361" s="3"/>
      <c r="AJB361" s="3"/>
      <c r="AJC361" s="3"/>
      <c r="AJD361" s="3"/>
      <c r="AJE361" s="3"/>
      <c r="AJF361" s="3"/>
      <c r="AJG361" s="3"/>
      <c r="AJH361" s="3"/>
      <c r="AJI361" s="3"/>
      <c r="AJJ361" s="3"/>
      <c r="AJK361" s="3"/>
      <c r="AJL361" s="3"/>
      <c r="AJM361" s="3"/>
      <c r="AJN361" s="3"/>
      <c r="AJO361" s="3"/>
      <c r="AJP361" s="3"/>
      <c r="AJQ361" s="3"/>
      <c r="AJR361" s="3"/>
      <c r="AJS361" s="3"/>
      <c r="AJT361" s="3"/>
      <c r="AJU361" s="3"/>
      <c r="AJV361" s="3"/>
      <c r="AJW361" s="3"/>
      <c r="AJX361" s="3"/>
      <c r="AJY361" s="3"/>
      <c r="AJZ361" s="3"/>
      <c r="AKA361" s="3"/>
      <c r="AKB361" s="3"/>
      <c r="AKC361" s="3"/>
      <c r="AKD361" s="3"/>
      <c r="AKE361" s="3"/>
      <c r="AKF361" s="3"/>
      <c r="AKG361" s="3"/>
      <c r="AKH361" s="3"/>
      <c r="AKI361" s="3"/>
      <c r="AKJ361" s="3"/>
      <c r="AKK361" s="3"/>
      <c r="AKL361" s="3"/>
      <c r="AKM361" s="3"/>
      <c r="AKN361" s="3"/>
      <c r="AKO361" s="3"/>
      <c r="AKP361" s="3"/>
      <c r="AKQ361" s="3"/>
      <c r="AKR361" s="3"/>
      <c r="AKS361" s="3"/>
      <c r="AKT361" s="3"/>
      <c r="AKU361" s="3"/>
      <c r="AKV361" s="3"/>
      <c r="AKW361" s="3"/>
      <c r="AKX361" s="3"/>
      <c r="AKY361" s="3"/>
      <c r="AKZ361" s="3"/>
      <c r="ALA361" s="3"/>
      <c r="ALB361" s="3"/>
      <c r="ALC361" s="3"/>
      <c r="ALD361" s="3"/>
      <c r="ALE361" s="3"/>
      <c r="ALF361" s="3"/>
      <c r="ALG361" s="3"/>
      <c r="ALH361" s="3"/>
      <c r="ALI361" s="3"/>
      <c r="ALJ361" s="3"/>
      <c r="ALK361" s="3"/>
      <c r="ALL361" s="3"/>
      <c r="ALM361" s="3"/>
      <c r="ALN361" s="3"/>
      <c r="ALO361" s="3"/>
      <c r="ALP361" s="3"/>
      <c r="ALQ361" s="3"/>
      <c r="ALR361" s="3"/>
      <c r="ALS361" s="3"/>
      <c r="ALT361" s="3"/>
      <c r="ALU361" s="3"/>
      <c r="ALV361" s="3"/>
      <c r="ALW361" s="3"/>
      <c r="ALX361" s="3"/>
      <c r="ALY361" s="3"/>
      <c r="ALZ361" s="3"/>
      <c r="AMA361" s="3"/>
      <c r="AMB361" s="3"/>
      <c r="AMC361" s="3"/>
      <c r="AMD361" s="3"/>
      <c r="AME361" s="3"/>
      <c r="AMF361" s="3"/>
      <c r="AMG361" s="3"/>
      <c r="AMH361" s="3"/>
      <c r="AMI361" s="3"/>
      <c r="AMJ361" s="3"/>
      <c r="AMK361" s="3"/>
      <c r="AML361" s="3"/>
      <c r="AMM361" s="3"/>
      <c r="AMN361" s="3"/>
      <c r="AMO361" s="3"/>
      <c r="AMP361" s="1"/>
    </row>
    <row r="362" spans="1:1030" s="6" customFormat="1" x14ac:dyDescent="0.2">
      <c r="A362" s="3" t="str">
        <f t="shared" si="1898"/>
        <v>smo_human_5L7D</v>
      </c>
      <c r="B362" s="3" t="s">
        <v>33</v>
      </c>
      <c r="C362" s="3" t="s">
        <v>1353</v>
      </c>
      <c r="D362" s="3" t="str">
        <f>IFERROR(MID(VLOOKUP($B362,Seqs!$A:$B,2,0),E362,1),"")</f>
        <v>T</v>
      </c>
      <c r="E362" s="105">
        <v>223</v>
      </c>
      <c r="F362" s="3" t="str">
        <f>IFERROR(MID(VLOOKUP($B362,Seqs!$A:$B,2,0),G362,1),"")</f>
        <v>D</v>
      </c>
      <c r="G362" s="3">
        <v>255</v>
      </c>
      <c r="H362" s="3" t="str">
        <f>IFERROR(MID(VLOOKUP($B362,Seqs!$A:$B,2,0),I362,1),"")</f>
        <v>W</v>
      </c>
      <c r="I362" s="23">
        <v>256</v>
      </c>
      <c r="J362" s="3" t="str">
        <f>IFERROR(MID(VLOOKUP($B362,Seqs!$A:$B,2,0),K362,1),"")</f>
        <v>N</v>
      </c>
      <c r="K362" s="23">
        <v>260</v>
      </c>
      <c r="L362" s="3" t="str">
        <f>IFERROR(MID(VLOOKUP($B362,Seqs!$A:$B,2,0),M362,1),"")</f>
        <v>R</v>
      </c>
      <c r="M362" s="3">
        <v>261</v>
      </c>
      <c r="N362" s="3" t="str">
        <f>IFERROR(MID(VLOOKUP($B362,Seqs!$A:$B,2,0),O362,1),"")</f>
        <v>F</v>
      </c>
      <c r="O362" s="3">
        <v>285</v>
      </c>
      <c r="P362" s="3" t="str">
        <f>IFERROR(MID(VLOOKUP($B362,Seqs!$A:$B,2,0),Q362,1),"")</f>
        <v/>
      </c>
      <c r="Q362" s="3" t="s">
        <v>23</v>
      </c>
      <c r="R362" s="3" t="str">
        <f>IFERROR(MID(VLOOKUP($B362,Seqs!$A:$B,2,0),S362,1),"")</f>
        <v/>
      </c>
      <c r="S362" s="3" t="s">
        <v>23</v>
      </c>
      <c r="T362" s="3" t="str">
        <f>IFERROR(MID(VLOOKUP($B362,Seqs!$A:$B,2,0),U362,1),"")</f>
        <v>L</v>
      </c>
      <c r="U362" s="3">
        <v>312</v>
      </c>
      <c r="V362" s="3" t="str">
        <f>IFERROR(MID(VLOOKUP($B362,Seqs!$A:$B,2,0),W362,1),"")</f>
        <v>L</v>
      </c>
      <c r="W362" s="3">
        <v>346</v>
      </c>
      <c r="X362" s="3" t="str">
        <f>IFERROR(MID(VLOOKUP($B362,Seqs!$A:$B,2,0),Y362,1),"")</f>
        <v/>
      </c>
      <c r="Y362" s="3" t="s">
        <v>23</v>
      </c>
      <c r="Z362" s="3" t="str">
        <f>IFERROR(MID(VLOOKUP($B362,Seqs!$A:$B,2,0),AA362,1),"")</f>
        <v/>
      </c>
      <c r="AA362" s="3" t="s">
        <v>23</v>
      </c>
      <c r="AB362" s="3" t="str">
        <f>IFERROR(MID(VLOOKUP($B362,Seqs!$A:$B,2,0),AC362,1),"")</f>
        <v>K</v>
      </c>
      <c r="AC362" s="9">
        <v>356</v>
      </c>
      <c r="AD362" s="3" t="str">
        <f>IFERROR(MID(VLOOKUP($B362,Seqs!$A:$B,2,0),AE362,1),"")</f>
        <v>V</v>
      </c>
      <c r="AE362" s="3">
        <v>378</v>
      </c>
      <c r="AF362" s="3" t="str">
        <f>IFERROR(MID(VLOOKUP($B362,Seqs!$A:$B,2,0),AG362,1),"")</f>
        <v>C</v>
      </c>
      <c r="AG362" s="3">
        <v>390</v>
      </c>
      <c r="AH362" s="3" t="str">
        <f>IFERROR(MID(VLOOKUP($B362,Seqs!$A:$B,2,0),AI362,1),"")</f>
        <v>V</v>
      </c>
      <c r="AI362" s="3">
        <v>392</v>
      </c>
      <c r="AJ362" s="3" t="str">
        <f>IFERROR(MID(VLOOKUP($B362,Seqs!$A:$B,2,0),AK362,1),"")</f>
        <v>N</v>
      </c>
      <c r="AK362" s="105">
        <v>396</v>
      </c>
      <c r="AL362" s="3" t="str">
        <f>IFERROR(MID(VLOOKUP($B362,Seqs!$A:$B,2,0),AM362,1),"")</f>
        <v>S</v>
      </c>
      <c r="AM362" s="3">
        <v>428</v>
      </c>
      <c r="AN362" s="3" t="str">
        <f>IFERROR(MID(VLOOKUP($B362,Seqs!$A:$B,2,0),AO362,1),"")</f>
        <v>E</v>
      </c>
      <c r="AO362" s="3">
        <v>447</v>
      </c>
      <c r="AP362" s="3" t="str">
        <f>IFERROR(MID(VLOOKUP($B362,Seqs!$A:$B,2,0),AQ362,1),"")</f>
        <v>I</v>
      </c>
      <c r="AQ362" s="3">
        <v>496</v>
      </c>
      <c r="AR362" s="3" t="str">
        <f>IFERROR(MID(VLOOKUP($B362,Seqs!$A:$B,2,0),AS362,1),"")</f>
        <v>S</v>
      </c>
      <c r="AS362" s="105">
        <v>514</v>
      </c>
      <c r="AT362" s="3" t="str">
        <f>IFERROR(MID(VLOOKUP($B362,Seqs!$A:$B,2,0),AU362,1),"")</f>
        <v>W</v>
      </c>
      <c r="AU362" s="3">
        <v>537</v>
      </c>
      <c r="AV362" s="3" t="str">
        <f>IFERROR(MID(VLOOKUP($B362,Seqs!$A:$B,2,0),AW362,1),"")</f>
        <v>T</v>
      </c>
      <c r="AW362" s="3">
        <v>538</v>
      </c>
      <c r="AX362" s="3" t="str">
        <f>IFERROR(MID(VLOOKUP($B362,Seqs!$A:$B,2,0),AY362,1),"")</f>
        <v>T</v>
      </c>
      <c r="AY362" s="3">
        <v>553</v>
      </c>
      <c r="AZ362" s="78" t="str">
        <f>VLOOKUP(B362,Classification!A:D,2,0)</f>
        <v>F</v>
      </c>
      <c r="BA362" s="94" t="str">
        <f>VLOOKUP(B362,Classification!A:D,4,0)</f>
        <v>Frizzled</v>
      </c>
      <c r="BB362" s="92" t="b">
        <f t="shared" si="1899"/>
        <v>1</v>
      </c>
      <c r="BC362" s="23">
        <f t="shared" si="1872"/>
        <v>249</v>
      </c>
      <c r="BD362" s="74" t="s">
        <v>1377</v>
      </c>
      <c r="BE362" s="3" t="s">
        <v>1375</v>
      </c>
      <c r="BF362" s="119">
        <v>3.2</v>
      </c>
      <c r="BG362" s="49" t="s">
        <v>1282</v>
      </c>
      <c r="BH362" s="49" t="s">
        <v>1378</v>
      </c>
      <c r="BI362" s="3"/>
      <c r="BJ362" s="75" t="s">
        <v>1288</v>
      </c>
      <c r="BK362" s="57" t="s">
        <v>1288</v>
      </c>
      <c r="BL362" s="57" t="s">
        <v>1288</v>
      </c>
      <c r="BM362" s="57" t="s">
        <v>1288</v>
      </c>
      <c r="BN362" s="57" t="s">
        <v>1288</v>
      </c>
      <c r="BO362" s="57" t="s">
        <v>1288</v>
      </c>
      <c r="BP362" s="57" t="s">
        <v>1288</v>
      </c>
      <c r="BQ362" s="57" t="s">
        <v>1288</v>
      </c>
      <c r="BR362" s="57" t="s">
        <v>1288</v>
      </c>
      <c r="BS362" s="57" t="s">
        <v>1288</v>
      </c>
      <c r="BT362" s="57" t="s">
        <v>1288</v>
      </c>
      <c r="BU362" s="57" t="s">
        <v>1288</v>
      </c>
      <c r="BV362" s="75">
        <f t="shared" si="1873"/>
        <v>223</v>
      </c>
      <c r="BW362" s="71">
        <f t="shared" si="1874"/>
        <v>256</v>
      </c>
      <c r="BX362" s="72">
        <f t="shared" si="1875"/>
        <v>261</v>
      </c>
      <c r="BY362" s="71" t="str">
        <f t="shared" si="1876"/>
        <v>-</v>
      </c>
      <c r="BZ362" s="72">
        <f t="shared" si="1877"/>
        <v>312</v>
      </c>
      <c r="CA362" s="71" t="str">
        <f t="shared" si="1878"/>
        <v>-</v>
      </c>
      <c r="CB362" s="72">
        <f t="shared" si="1879"/>
        <v>356</v>
      </c>
      <c r="CC362" s="71">
        <f t="shared" si="1880"/>
        <v>390</v>
      </c>
      <c r="CD362" s="72">
        <f t="shared" si="1881"/>
        <v>396</v>
      </c>
      <c r="CE362" s="71">
        <f t="shared" si="1882"/>
        <v>447</v>
      </c>
      <c r="CF362" s="72">
        <f t="shared" si="1883"/>
        <v>514</v>
      </c>
      <c r="CG362" s="71">
        <f t="shared" si="1884"/>
        <v>538</v>
      </c>
      <c r="CH362" s="75">
        <f t="shared" si="1885"/>
        <v>255</v>
      </c>
      <c r="CI362" s="71">
        <f t="shared" si="1886"/>
        <v>260</v>
      </c>
      <c r="CJ362" s="72">
        <f t="shared" si="1887"/>
        <v>285</v>
      </c>
      <c r="CK362" s="72" t="str">
        <f t="shared" si="1888"/>
        <v>-</v>
      </c>
      <c r="CL362" s="72">
        <f t="shared" si="1889"/>
        <v>346</v>
      </c>
      <c r="CM362" s="72" t="str">
        <f t="shared" si="1890"/>
        <v>-</v>
      </c>
      <c r="CN362" s="72">
        <f t="shared" si="1891"/>
        <v>378</v>
      </c>
      <c r="CO362" s="72">
        <f t="shared" si="1892"/>
        <v>392</v>
      </c>
      <c r="CP362" s="72">
        <f t="shared" si="1893"/>
        <v>428</v>
      </c>
      <c r="CQ362" s="72">
        <f t="shared" si="1894"/>
        <v>496</v>
      </c>
      <c r="CR362" s="72">
        <f t="shared" si="1895"/>
        <v>537</v>
      </c>
      <c r="CS362" s="72">
        <f t="shared" si="1896"/>
        <v>553</v>
      </c>
      <c r="CT362" s="23">
        <f t="shared" si="1897"/>
        <v>1</v>
      </c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3"/>
      <c r="KN362" s="3"/>
      <c r="KO362" s="3"/>
      <c r="KP362" s="3"/>
      <c r="KQ362" s="3"/>
      <c r="KR362" s="3"/>
      <c r="KS362" s="3"/>
      <c r="KT362" s="3"/>
      <c r="KU362" s="3"/>
      <c r="KV362" s="3"/>
      <c r="KW362" s="3"/>
      <c r="KX362" s="3"/>
      <c r="KY362" s="3"/>
      <c r="KZ362" s="3"/>
      <c r="LA362" s="3"/>
      <c r="LB362" s="3"/>
      <c r="LC362" s="3"/>
      <c r="LD362" s="3"/>
      <c r="LE362" s="3"/>
      <c r="LF362" s="3"/>
      <c r="LG362" s="3"/>
      <c r="LH362" s="3"/>
      <c r="LI362" s="3"/>
      <c r="LJ362" s="3"/>
      <c r="LK362" s="3"/>
      <c r="LL362" s="3"/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  <c r="MF362" s="3"/>
      <c r="MG362" s="3"/>
      <c r="MH362" s="3"/>
      <c r="MI362" s="3"/>
      <c r="MJ362" s="3"/>
      <c r="MK362" s="3"/>
      <c r="ML362" s="3"/>
      <c r="MM362" s="3"/>
      <c r="MN362" s="3"/>
      <c r="MO362" s="3"/>
      <c r="MP362" s="3"/>
      <c r="MQ362" s="3"/>
      <c r="MR362" s="3"/>
      <c r="MS362" s="3"/>
      <c r="MT362" s="3"/>
      <c r="MU362" s="3"/>
      <c r="MV362" s="3"/>
      <c r="MW362" s="3"/>
      <c r="MX362" s="3"/>
      <c r="MY362" s="3"/>
      <c r="MZ362" s="3"/>
      <c r="NA362" s="3"/>
      <c r="NB362" s="3"/>
      <c r="NC362" s="3"/>
      <c r="ND362" s="3"/>
      <c r="NE362" s="3"/>
      <c r="NF362" s="3"/>
      <c r="NG362" s="3"/>
      <c r="NH362" s="3"/>
      <c r="NI362" s="3"/>
      <c r="NJ362" s="3"/>
      <c r="NK362" s="3"/>
      <c r="NL362" s="3"/>
      <c r="NM362" s="3"/>
      <c r="NN362" s="3"/>
      <c r="NO362" s="3"/>
      <c r="NP362" s="3"/>
      <c r="NQ362" s="3"/>
      <c r="NR362" s="3"/>
      <c r="NS362" s="3"/>
      <c r="NT362" s="3"/>
      <c r="NU362" s="3"/>
      <c r="NV362" s="3"/>
      <c r="NW362" s="3"/>
      <c r="NX362" s="3"/>
      <c r="NY362" s="3"/>
      <c r="NZ362" s="3"/>
      <c r="OA362" s="3"/>
      <c r="OB362" s="3"/>
      <c r="OC362" s="3"/>
      <c r="OD362" s="3"/>
      <c r="OE362" s="3"/>
      <c r="OF362" s="3"/>
      <c r="OG362" s="3"/>
      <c r="OH362" s="3"/>
      <c r="OI362" s="3"/>
      <c r="OJ362" s="3"/>
      <c r="OK362" s="3"/>
      <c r="OL362" s="3"/>
      <c r="OM362" s="3"/>
      <c r="ON362" s="3"/>
      <c r="OO362" s="3"/>
      <c r="OP362" s="3"/>
      <c r="OQ362" s="3"/>
      <c r="OR362" s="3"/>
      <c r="OS362" s="3"/>
      <c r="OT362" s="3"/>
      <c r="OU362" s="3"/>
      <c r="OV362" s="3"/>
      <c r="OW362" s="3"/>
      <c r="OX362" s="3"/>
      <c r="OY362" s="3"/>
      <c r="OZ362" s="3"/>
      <c r="PA362" s="3"/>
      <c r="PB362" s="3"/>
      <c r="PC362" s="3"/>
      <c r="PD362" s="3"/>
      <c r="PE362" s="3"/>
      <c r="PF362" s="3"/>
      <c r="PG362" s="3"/>
      <c r="PH362" s="3"/>
      <c r="PI362" s="3"/>
      <c r="PJ362" s="3"/>
      <c r="PK362" s="3"/>
      <c r="PL362" s="3"/>
      <c r="PM362" s="3"/>
      <c r="PN362" s="3"/>
      <c r="PO362" s="3"/>
      <c r="PP362" s="3"/>
      <c r="PQ362" s="3"/>
      <c r="PR362" s="3"/>
      <c r="PS362" s="3"/>
      <c r="PT362" s="3"/>
      <c r="PU362" s="3"/>
      <c r="PV362" s="3"/>
      <c r="PW362" s="3"/>
      <c r="PX362" s="3"/>
      <c r="PY362" s="3"/>
      <c r="PZ362" s="3"/>
      <c r="QA362" s="3"/>
      <c r="QB362" s="3"/>
      <c r="QC362" s="3"/>
      <c r="QD362" s="3"/>
      <c r="QE362" s="3"/>
      <c r="QF362" s="3"/>
      <c r="QG362" s="3"/>
      <c r="QH362" s="3"/>
      <c r="QI362" s="3"/>
      <c r="QJ362" s="3"/>
      <c r="QK362" s="3"/>
      <c r="QL362" s="3"/>
      <c r="QM362" s="3"/>
      <c r="QN362" s="3"/>
      <c r="QO362" s="3"/>
      <c r="QP362" s="3"/>
      <c r="QQ362" s="3"/>
      <c r="QR362" s="3"/>
      <c r="QS362" s="3"/>
      <c r="QT362" s="3"/>
      <c r="QU362" s="3"/>
      <c r="QV362" s="3"/>
      <c r="QW362" s="3"/>
      <c r="QX362" s="3"/>
      <c r="QY362" s="3"/>
      <c r="QZ362" s="3"/>
      <c r="RA362" s="3"/>
      <c r="RB362" s="3"/>
      <c r="RC362" s="3"/>
      <c r="RD362" s="3"/>
      <c r="RE362" s="3"/>
      <c r="RF362" s="3"/>
      <c r="RG362" s="3"/>
      <c r="RH362" s="3"/>
      <c r="RI362" s="3"/>
      <c r="RJ362" s="3"/>
      <c r="RK362" s="3"/>
      <c r="RL362" s="3"/>
      <c r="RM362" s="3"/>
      <c r="RN362" s="3"/>
      <c r="RO362" s="3"/>
      <c r="RP362" s="3"/>
      <c r="RQ362" s="3"/>
      <c r="RR362" s="3"/>
      <c r="RS362" s="3"/>
      <c r="RT362" s="3"/>
      <c r="RU362" s="3"/>
      <c r="RV362" s="3"/>
      <c r="RW362" s="3"/>
      <c r="RX362" s="3"/>
      <c r="RY362" s="3"/>
      <c r="RZ362" s="3"/>
      <c r="SA362" s="3"/>
      <c r="SB362" s="3"/>
      <c r="SC362" s="3"/>
      <c r="SD362" s="3"/>
      <c r="SE362" s="3"/>
      <c r="SF362" s="3"/>
      <c r="SG362" s="3"/>
      <c r="SH362" s="3"/>
      <c r="SI362" s="3"/>
      <c r="SJ362" s="3"/>
      <c r="SK362" s="3"/>
      <c r="SL362" s="3"/>
      <c r="SM362" s="3"/>
      <c r="SN362" s="3"/>
      <c r="SO362" s="3"/>
      <c r="SP362" s="3"/>
      <c r="SQ362" s="3"/>
      <c r="SR362" s="3"/>
      <c r="SS362" s="3"/>
      <c r="ST362" s="3"/>
      <c r="SU362" s="3"/>
      <c r="SV362" s="3"/>
      <c r="SW362" s="3"/>
      <c r="SX362" s="3"/>
      <c r="SY362" s="3"/>
      <c r="SZ362" s="3"/>
      <c r="TA362" s="3"/>
      <c r="TB362" s="3"/>
      <c r="TC362" s="3"/>
      <c r="TD362" s="3"/>
      <c r="TE362" s="3"/>
      <c r="TF362" s="3"/>
      <c r="TG362" s="3"/>
      <c r="TH362" s="3"/>
      <c r="TI362" s="3"/>
      <c r="TJ362" s="3"/>
      <c r="TK362" s="3"/>
      <c r="TL362" s="3"/>
      <c r="TM362" s="3"/>
      <c r="TN362" s="3"/>
      <c r="TO362" s="3"/>
      <c r="TP362" s="3"/>
      <c r="TQ362" s="3"/>
      <c r="TR362" s="3"/>
      <c r="TS362" s="3"/>
      <c r="TT362" s="3"/>
      <c r="TU362" s="3"/>
      <c r="TV362" s="3"/>
      <c r="TW362" s="3"/>
      <c r="TX362" s="3"/>
      <c r="TY362" s="3"/>
      <c r="TZ362" s="3"/>
      <c r="UA362" s="3"/>
      <c r="UB362" s="3"/>
      <c r="UC362" s="3"/>
      <c r="UD362" s="3"/>
      <c r="UE362" s="3"/>
      <c r="UF362" s="3"/>
      <c r="UG362" s="3"/>
      <c r="UH362" s="3"/>
      <c r="UI362" s="3"/>
      <c r="UJ362" s="3"/>
      <c r="UK362" s="3"/>
      <c r="UL362" s="3"/>
      <c r="UM362" s="3"/>
      <c r="UN362" s="3"/>
      <c r="UO362" s="3"/>
      <c r="UP362" s="3"/>
      <c r="UQ362" s="3"/>
      <c r="UR362" s="3"/>
      <c r="US362" s="3"/>
      <c r="UT362" s="3"/>
      <c r="UU362" s="3"/>
      <c r="UV362" s="3"/>
      <c r="UW362" s="3"/>
      <c r="UX362" s="3"/>
      <c r="UY362" s="3"/>
      <c r="UZ362" s="3"/>
      <c r="VA362" s="3"/>
      <c r="VB362" s="3"/>
      <c r="VC362" s="3"/>
      <c r="VD362" s="3"/>
      <c r="VE362" s="3"/>
      <c r="VF362" s="3"/>
      <c r="VG362" s="3"/>
      <c r="VH362" s="3"/>
      <c r="VI362" s="3"/>
      <c r="VJ362" s="3"/>
      <c r="VK362" s="3"/>
      <c r="VL362" s="3"/>
      <c r="VM362" s="3"/>
      <c r="VN362" s="3"/>
      <c r="VO362" s="3"/>
      <c r="VP362" s="3"/>
      <c r="VQ362" s="3"/>
      <c r="VR362" s="3"/>
      <c r="VS362" s="3"/>
      <c r="VT362" s="3"/>
      <c r="VU362" s="3"/>
      <c r="VV362" s="3"/>
      <c r="VW362" s="3"/>
      <c r="VX362" s="3"/>
      <c r="VY362" s="3"/>
      <c r="VZ362" s="3"/>
      <c r="WA362" s="3"/>
      <c r="WB362" s="3"/>
      <c r="WC362" s="3"/>
      <c r="WD362" s="3"/>
      <c r="WE362" s="3"/>
      <c r="WF362" s="3"/>
      <c r="WG362" s="3"/>
      <c r="WH362" s="3"/>
      <c r="WI362" s="3"/>
      <c r="WJ362" s="3"/>
      <c r="WK362" s="3"/>
      <c r="WL362" s="3"/>
      <c r="WM362" s="3"/>
      <c r="WN362" s="3"/>
      <c r="WO362" s="3"/>
      <c r="WP362" s="3"/>
      <c r="WQ362" s="3"/>
      <c r="WR362" s="3"/>
      <c r="WS362" s="3"/>
      <c r="WT362" s="3"/>
      <c r="WU362" s="3"/>
      <c r="WV362" s="3"/>
      <c r="WW362" s="3"/>
      <c r="WX362" s="3"/>
      <c r="WY362" s="3"/>
      <c r="WZ362" s="3"/>
      <c r="XA362" s="3"/>
      <c r="XB362" s="3"/>
      <c r="XC362" s="3"/>
      <c r="XD362" s="3"/>
      <c r="XE362" s="3"/>
      <c r="XF362" s="3"/>
      <c r="XG362" s="3"/>
      <c r="XH362" s="3"/>
      <c r="XI362" s="3"/>
      <c r="XJ362" s="3"/>
      <c r="XK362" s="3"/>
      <c r="XL362" s="3"/>
      <c r="XM362" s="3"/>
      <c r="XN362" s="3"/>
      <c r="XO362" s="3"/>
      <c r="XP362" s="3"/>
      <c r="XQ362" s="3"/>
      <c r="XR362" s="3"/>
      <c r="XS362" s="3"/>
      <c r="XT362" s="3"/>
      <c r="XU362" s="3"/>
      <c r="XV362" s="3"/>
      <c r="XW362" s="3"/>
      <c r="XX362" s="3"/>
      <c r="XY362" s="3"/>
      <c r="XZ362" s="3"/>
      <c r="YA362" s="3"/>
      <c r="YB362" s="3"/>
      <c r="YC362" s="3"/>
      <c r="YD362" s="3"/>
      <c r="YE362" s="3"/>
      <c r="YF362" s="3"/>
      <c r="YG362" s="3"/>
      <c r="YH362" s="3"/>
      <c r="YI362" s="3"/>
      <c r="YJ362" s="3"/>
      <c r="YK362" s="3"/>
      <c r="YL362" s="3"/>
      <c r="YM362" s="3"/>
      <c r="YN362" s="3"/>
      <c r="YO362" s="3"/>
      <c r="YP362" s="3"/>
      <c r="YQ362" s="3"/>
      <c r="YR362" s="3"/>
      <c r="YS362" s="3"/>
      <c r="YT362" s="3"/>
      <c r="YU362" s="3"/>
      <c r="YV362" s="3"/>
      <c r="YW362" s="3"/>
      <c r="YX362" s="3"/>
      <c r="YY362" s="3"/>
      <c r="YZ362" s="3"/>
      <c r="ZA362" s="3"/>
      <c r="ZB362" s="3"/>
      <c r="ZC362" s="3"/>
      <c r="ZD362" s="3"/>
      <c r="ZE362" s="3"/>
      <c r="ZF362" s="3"/>
      <c r="ZG362" s="3"/>
      <c r="ZH362" s="3"/>
      <c r="ZI362" s="3"/>
      <c r="ZJ362" s="3"/>
      <c r="ZK362" s="3"/>
      <c r="ZL362" s="3"/>
      <c r="ZM362" s="3"/>
      <c r="ZN362" s="3"/>
      <c r="ZO362" s="3"/>
      <c r="ZP362" s="3"/>
      <c r="ZQ362" s="3"/>
      <c r="ZR362" s="3"/>
      <c r="ZS362" s="3"/>
      <c r="ZT362" s="3"/>
      <c r="ZU362" s="3"/>
      <c r="ZV362" s="3"/>
      <c r="ZW362" s="3"/>
      <c r="ZX362" s="3"/>
      <c r="ZY362" s="3"/>
      <c r="ZZ362" s="3"/>
      <c r="AAA362" s="3"/>
      <c r="AAB362" s="3"/>
      <c r="AAC362" s="3"/>
      <c r="AAD362" s="3"/>
      <c r="AAE362" s="3"/>
      <c r="AAF362" s="3"/>
      <c r="AAG362" s="3"/>
      <c r="AAH362" s="3"/>
      <c r="AAI362" s="3"/>
      <c r="AAJ362" s="3"/>
      <c r="AAK362" s="3"/>
      <c r="AAL362" s="3"/>
      <c r="AAM362" s="3"/>
      <c r="AAN362" s="3"/>
      <c r="AAO362" s="3"/>
      <c r="AAP362" s="3"/>
      <c r="AAQ362" s="3"/>
      <c r="AAR362" s="3"/>
      <c r="AAS362" s="3"/>
      <c r="AAT362" s="3"/>
      <c r="AAU362" s="3"/>
      <c r="AAV362" s="3"/>
      <c r="AAW362" s="3"/>
      <c r="AAX362" s="3"/>
      <c r="AAY362" s="3"/>
      <c r="AAZ362" s="3"/>
      <c r="ABA362" s="3"/>
      <c r="ABB362" s="3"/>
      <c r="ABC362" s="3"/>
      <c r="ABD362" s="3"/>
      <c r="ABE362" s="3"/>
      <c r="ABF362" s="3"/>
      <c r="ABG362" s="3"/>
      <c r="ABH362" s="3"/>
      <c r="ABI362" s="3"/>
      <c r="ABJ362" s="3"/>
      <c r="ABK362" s="3"/>
      <c r="ABL362" s="3"/>
      <c r="ABM362" s="3"/>
      <c r="ABN362" s="3"/>
      <c r="ABO362" s="3"/>
      <c r="ABP362" s="3"/>
      <c r="ABQ362" s="3"/>
      <c r="ABR362" s="3"/>
      <c r="ABS362" s="3"/>
      <c r="ABT362" s="3"/>
      <c r="ABU362" s="3"/>
      <c r="ABV362" s="3"/>
      <c r="ABW362" s="3"/>
      <c r="ABX362" s="3"/>
      <c r="ABY362" s="3"/>
      <c r="ABZ362" s="3"/>
      <c r="ACA362" s="3"/>
      <c r="ACB362" s="3"/>
      <c r="ACC362" s="3"/>
      <c r="ACD362" s="3"/>
      <c r="ACE362" s="3"/>
      <c r="ACF362" s="3"/>
      <c r="ACG362" s="3"/>
      <c r="ACH362" s="3"/>
      <c r="ACI362" s="3"/>
      <c r="ACJ362" s="3"/>
      <c r="ACK362" s="3"/>
      <c r="ACL362" s="3"/>
      <c r="ACM362" s="3"/>
      <c r="ACN362" s="3"/>
      <c r="ACO362" s="3"/>
      <c r="ACP362" s="3"/>
      <c r="ACQ362" s="3"/>
      <c r="ACR362" s="3"/>
      <c r="ACS362" s="3"/>
      <c r="ACT362" s="3"/>
      <c r="ACU362" s="3"/>
      <c r="ACV362" s="3"/>
      <c r="ACW362" s="3"/>
      <c r="ACX362" s="3"/>
      <c r="ACY362" s="3"/>
      <c r="ACZ362" s="3"/>
      <c r="ADA362" s="3"/>
      <c r="ADB362" s="3"/>
      <c r="ADC362" s="3"/>
      <c r="ADD362" s="3"/>
      <c r="ADE362" s="3"/>
      <c r="ADF362" s="3"/>
      <c r="ADG362" s="3"/>
      <c r="ADH362" s="3"/>
      <c r="ADI362" s="3"/>
      <c r="ADJ362" s="3"/>
      <c r="ADK362" s="3"/>
      <c r="ADL362" s="3"/>
      <c r="ADM362" s="3"/>
      <c r="ADN362" s="3"/>
      <c r="ADO362" s="3"/>
      <c r="ADP362" s="3"/>
      <c r="ADQ362" s="3"/>
      <c r="ADR362" s="3"/>
      <c r="ADS362" s="3"/>
      <c r="ADT362" s="3"/>
      <c r="ADU362" s="3"/>
      <c r="ADV362" s="3"/>
      <c r="ADW362" s="3"/>
      <c r="ADX362" s="3"/>
      <c r="ADY362" s="3"/>
      <c r="ADZ362" s="3"/>
      <c r="AEA362" s="3"/>
      <c r="AEB362" s="3"/>
      <c r="AEC362" s="3"/>
      <c r="AED362" s="3"/>
      <c r="AEE362" s="3"/>
      <c r="AEF362" s="3"/>
      <c r="AEG362" s="3"/>
      <c r="AEH362" s="3"/>
      <c r="AEI362" s="3"/>
      <c r="AEJ362" s="3"/>
      <c r="AEK362" s="3"/>
      <c r="AEL362" s="3"/>
      <c r="AEM362" s="3"/>
      <c r="AEN362" s="3"/>
      <c r="AEO362" s="3"/>
      <c r="AEP362" s="3"/>
      <c r="AEQ362" s="3"/>
      <c r="AER362" s="3"/>
      <c r="AES362" s="3"/>
      <c r="AET362" s="3"/>
      <c r="AEU362" s="3"/>
      <c r="AEV362" s="3"/>
      <c r="AEW362" s="3"/>
      <c r="AEX362" s="3"/>
      <c r="AEY362" s="3"/>
      <c r="AEZ362" s="3"/>
      <c r="AFA362" s="3"/>
      <c r="AFB362" s="3"/>
      <c r="AFC362" s="3"/>
      <c r="AFD362" s="3"/>
      <c r="AFE362" s="3"/>
      <c r="AFF362" s="3"/>
      <c r="AFG362" s="3"/>
      <c r="AFH362" s="3"/>
      <c r="AFI362" s="3"/>
      <c r="AFJ362" s="3"/>
      <c r="AFK362" s="3"/>
      <c r="AFL362" s="3"/>
      <c r="AFM362" s="3"/>
      <c r="AFN362" s="3"/>
      <c r="AFO362" s="3"/>
      <c r="AFP362" s="3"/>
      <c r="AFQ362" s="3"/>
      <c r="AFR362" s="3"/>
      <c r="AFS362" s="3"/>
      <c r="AFT362" s="3"/>
      <c r="AFU362" s="3"/>
      <c r="AFV362" s="3"/>
      <c r="AFW362" s="3"/>
      <c r="AFX362" s="3"/>
      <c r="AFY362" s="3"/>
      <c r="AFZ362" s="3"/>
      <c r="AGA362" s="3"/>
      <c r="AGB362" s="3"/>
      <c r="AGC362" s="3"/>
      <c r="AGD362" s="3"/>
      <c r="AGE362" s="3"/>
      <c r="AGF362" s="3"/>
      <c r="AGG362" s="3"/>
      <c r="AGH362" s="3"/>
      <c r="AGI362" s="3"/>
      <c r="AGJ362" s="3"/>
      <c r="AGK362" s="3"/>
      <c r="AGL362" s="3"/>
      <c r="AGM362" s="3"/>
      <c r="AGN362" s="3"/>
      <c r="AGO362" s="3"/>
      <c r="AGP362" s="3"/>
      <c r="AGQ362" s="3"/>
      <c r="AGR362" s="3"/>
      <c r="AGS362" s="3"/>
      <c r="AGT362" s="3"/>
      <c r="AGU362" s="3"/>
      <c r="AGV362" s="3"/>
      <c r="AGW362" s="3"/>
      <c r="AGX362" s="3"/>
      <c r="AGY362" s="3"/>
      <c r="AGZ362" s="3"/>
      <c r="AHA362" s="3"/>
      <c r="AHB362" s="3"/>
      <c r="AHC362" s="3"/>
      <c r="AHD362" s="3"/>
      <c r="AHE362" s="3"/>
      <c r="AHF362" s="3"/>
      <c r="AHG362" s="3"/>
      <c r="AHH362" s="3"/>
      <c r="AHI362" s="3"/>
      <c r="AHJ362" s="3"/>
      <c r="AHK362" s="3"/>
      <c r="AHL362" s="3"/>
      <c r="AHM362" s="3"/>
      <c r="AHN362" s="3"/>
      <c r="AHO362" s="3"/>
      <c r="AHP362" s="3"/>
      <c r="AHQ362" s="3"/>
      <c r="AHR362" s="3"/>
      <c r="AHS362" s="3"/>
      <c r="AHT362" s="3"/>
      <c r="AHU362" s="3"/>
      <c r="AHV362" s="3"/>
      <c r="AHW362" s="3"/>
      <c r="AHX362" s="3"/>
      <c r="AHY362" s="3"/>
      <c r="AHZ362" s="3"/>
      <c r="AIA362" s="3"/>
      <c r="AIB362" s="3"/>
      <c r="AIC362" s="3"/>
      <c r="AID362" s="3"/>
      <c r="AIE362" s="3"/>
      <c r="AIF362" s="3"/>
      <c r="AIG362" s="3"/>
      <c r="AIH362" s="3"/>
      <c r="AII362" s="3"/>
      <c r="AIJ362" s="3"/>
      <c r="AIK362" s="3"/>
      <c r="AIL362" s="3"/>
      <c r="AIM362" s="3"/>
      <c r="AIN362" s="3"/>
      <c r="AIO362" s="3"/>
      <c r="AIP362" s="3"/>
      <c r="AIQ362" s="3"/>
      <c r="AIR362" s="3"/>
      <c r="AIS362" s="3"/>
      <c r="AIT362" s="3"/>
      <c r="AIU362" s="3"/>
      <c r="AIV362" s="3"/>
      <c r="AIW362" s="3"/>
      <c r="AIX362" s="3"/>
      <c r="AIY362" s="3"/>
      <c r="AIZ362" s="3"/>
      <c r="AJA362" s="3"/>
      <c r="AJB362" s="3"/>
      <c r="AJC362" s="3"/>
      <c r="AJD362" s="3"/>
      <c r="AJE362" s="3"/>
      <c r="AJF362" s="3"/>
      <c r="AJG362" s="3"/>
      <c r="AJH362" s="3"/>
      <c r="AJI362" s="3"/>
      <c r="AJJ362" s="3"/>
      <c r="AJK362" s="3"/>
      <c r="AJL362" s="3"/>
      <c r="AJM362" s="3"/>
      <c r="AJN362" s="3"/>
      <c r="AJO362" s="3"/>
      <c r="AJP362" s="3"/>
      <c r="AJQ362" s="3"/>
      <c r="AJR362" s="3"/>
      <c r="AJS362" s="3"/>
      <c r="AJT362" s="3"/>
      <c r="AJU362" s="3"/>
      <c r="AJV362" s="3"/>
      <c r="AJW362" s="3"/>
      <c r="AJX362" s="3"/>
      <c r="AJY362" s="3"/>
      <c r="AJZ362" s="3"/>
      <c r="AKA362" s="3"/>
      <c r="AKB362" s="3"/>
      <c r="AKC362" s="3"/>
      <c r="AKD362" s="3"/>
      <c r="AKE362" s="3"/>
      <c r="AKF362" s="3"/>
      <c r="AKG362" s="3"/>
      <c r="AKH362" s="3"/>
      <c r="AKI362" s="3"/>
      <c r="AKJ362" s="3"/>
      <c r="AKK362" s="3"/>
      <c r="AKL362" s="3"/>
      <c r="AKM362" s="3"/>
      <c r="AKN362" s="3"/>
      <c r="AKO362" s="3"/>
      <c r="AKP362" s="3"/>
      <c r="AKQ362" s="3"/>
      <c r="AKR362" s="3"/>
      <c r="AKS362" s="3"/>
      <c r="AKT362" s="3"/>
      <c r="AKU362" s="3"/>
      <c r="AKV362" s="3"/>
      <c r="AKW362" s="3"/>
      <c r="AKX362" s="3"/>
      <c r="AKY362" s="3"/>
      <c r="AKZ362" s="3"/>
      <c r="ALA362" s="3"/>
      <c r="ALB362" s="3"/>
      <c r="ALC362" s="3"/>
      <c r="ALD362" s="3"/>
      <c r="ALE362" s="3"/>
      <c r="ALF362" s="3"/>
      <c r="ALG362" s="3"/>
      <c r="ALH362" s="3"/>
      <c r="ALI362" s="3"/>
      <c r="ALJ362" s="3"/>
      <c r="ALK362" s="3"/>
      <c r="ALL362" s="3"/>
      <c r="ALM362" s="3"/>
      <c r="ALN362" s="3"/>
      <c r="ALO362" s="3"/>
      <c r="ALP362" s="3"/>
      <c r="ALQ362" s="3"/>
      <c r="ALR362" s="3"/>
      <c r="ALS362" s="3"/>
      <c r="ALT362" s="3"/>
      <c r="ALU362" s="3"/>
      <c r="ALV362" s="3"/>
      <c r="ALW362" s="3"/>
      <c r="ALX362" s="3"/>
      <c r="ALY362" s="3"/>
      <c r="ALZ362" s="3"/>
      <c r="AMA362" s="3"/>
      <c r="AMB362" s="3"/>
      <c r="AMC362" s="3"/>
      <c r="AMD362" s="3"/>
      <c r="AME362" s="3"/>
      <c r="AMF362" s="3"/>
      <c r="AMG362" s="3"/>
      <c r="AMH362" s="3"/>
      <c r="AMI362" s="3"/>
      <c r="AMJ362" s="3"/>
      <c r="AMK362" s="3"/>
      <c r="AML362" s="3"/>
      <c r="AMM362" s="3"/>
      <c r="AMN362" s="3"/>
      <c r="AMO362" s="3"/>
      <c r="AMP362" s="1"/>
    </row>
    <row r="363" spans="1:1030" s="6" customFormat="1" x14ac:dyDescent="0.2">
      <c r="A363" s="3" t="str">
        <f t="shared" si="1898"/>
        <v>smo_human_5L7I</v>
      </c>
      <c r="B363" s="3" t="s">
        <v>33</v>
      </c>
      <c r="C363" s="3" t="s">
        <v>1354</v>
      </c>
      <c r="D363" s="3" t="str">
        <f>IFERROR(MID(VLOOKUP($B363,Seqs!$A:$B,2,0),E363,1),"")</f>
        <v>T</v>
      </c>
      <c r="E363" s="105">
        <v>223</v>
      </c>
      <c r="F363" s="3" t="str">
        <f>IFERROR(MID(VLOOKUP($B363,Seqs!$A:$B,2,0),G363,1),"")</f>
        <v>D</v>
      </c>
      <c r="G363" s="3">
        <v>255</v>
      </c>
      <c r="H363" s="3" t="str">
        <f>IFERROR(MID(VLOOKUP($B363,Seqs!$A:$B,2,0),I363,1),"")</f>
        <v>W</v>
      </c>
      <c r="I363" s="23">
        <v>256</v>
      </c>
      <c r="J363" s="3" t="str">
        <f>IFERROR(MID(VLOOKUP($B363,Seqs!$A:$B,2,0),K363,1),"")</f>
        <v>N</v>
      </c>
      <c r="K363" s="23">
        <v>260</v>
      </c>
      <c r="L363" s="3" t="str">
        <f>IFERROR(MID(VLOOKUP($B363,Seqs!$A:$B,2,0),M363,1),"")</f>
        <v>R</v>
      </c>
      <c r="M363" s="3">
        <v>261</v>
      </c>
      <c r="N363" s="3" t="str">
        <f>IFERROR(MID(VLOOKUP($B363,Seqs!$A:$B,2,0),O363,1),"")</f>
        <v>F</v>
      </c>
      <c r="O363" s="3">
        <v>285</v>
      </c>
      <c r="P363" s="3" t="str">
        <f>IFERROR(MID(VLOOKUP($B363,Seqs!$A:$B,2,0),Q363,1),"")</f>
        <v/>
      </c>
      <c r="Q363" s="3" t="s">
        <v>23</v>
      </c>
      <c r="R363" s="3" t="str">
        <f>IFERROR(MID(VLOOKUP($B363,Seqs!$A:$B,2,0),S363,1),"")</f>
        <v/>
      </c>
      <c r="S363" s="3" t="s">
        <v>23</v>
      </c>
      <c r="T363" s="3" t="str">
        <f>IFERROR(MID(VLOOKUP($B363,Seqs!$A:$B,2,0),U363,1),"")</f>
        <v>L</v>
      </c>
      <c r="U363" s="3">
        <v>312</v>
      </c>
      <c r="V363" s="3" t="str">
        <f>IFERROR(MID(VLOOKUP($B363,Seqs!$A:$B,2,0),W363,1),"")</f>
        <v>L</v>
      </c>
      <c r="W363" s="3">
        <v>346</v>
      </c>
      <c r="X363" s="3" t="str">
        <f>IFERROR(MID(VLOOKUP($B363,Seqs!$A:$B,2,0),Y363,1),"")</f>
        <v/>
      </c>
      <c r="Y363" s="3" t="s">
        <v>23</v>
      </c>
      <c r="Z363" s="3" t="str">
        <f>IFERROR(MID(VLOOKUP($B363,Seqs!$A:$B,2,0),AA363,1),"")</f>
        <v/>
      </c>
      <c r="AA363" s="3" t="s">
        <v>23</v>
      </c>
      <c r="AB363" s="3" t="str">
        <f>IFERROR(MID(VLOOKUP($B363,Seqs!$A:$B,2,0),AC363,1),"")</f>
        <v>K</v>
      </c>
      <c r="AC363" s="9">
        <v>356</v>
      </c>
      <c r="AD363" s="3" t="str">
        <f>IFERROR(MID(VLOOKUP($B363,Seqs!$A:$B,2,0),AE363,1),"")</f>
        <v>V</v>
      </c>
      <c r="AE363" s="3">
        <v>378</v>
      </c>
      <c r="AF363" s="3" t="str">
        <f>IFERROR(MID(VLOOKUP($B363,Seqs!$A:$B,2,0),AG363,1),"")</f>
        <v>C</v>
      </c>
      <c r="AG363" s="3">
        <v>390</v>
      </c>
      <c r="AH363" s="3" t="str">
        <f>IFERROR(MID(VLOOKUP($B363,Seqs!$A:$B,2,0),AI363,1),"")</f>
        <v>V</v>
      </c>
      <c r="AI363" s="3">
        <v>392</v>
      </c>
      <c r="AJ363" s="3" t="str">
        <f>IFERROR(MID(VLOOKUP($B363,Seqs!$A:$B,2,0),AK363,1),"")</f>
        <v>N</v>
      </c>
      <c r="AK363" s="105">
        <v>396</v>
      </c>
      <c r="AL363" s="3" t="str">
        <f>IFERROR(MID(VLOOKUP($B363,Seqs!$A:$B,2,0),AM363,1),"")</f>
        <v>S</v>
      </c>
      <c r="AM363" s="3">
        <v>428</v>
      </c>
      <c r="AN363" s="3" t="str">
        <f>IFERROR(MID(VLOOKUP($B363,Seqs!$A:$B,2,0),AO363,1),"")</f>
        <v>E</v>
      </c>
      <c r="AO363" s="3">
        <v>447</v>
      </c>
      <c r="AP363" s="3" t="str">
        <f>IFERROR(MID(VLOOKUP($B363,Seqs!$A:$B,2,0),AQ363,1),"")</f>
        <v>N</v>
      </c>
      <c r="AQ363" s="3">
        <v>493</v>
      </c>
      <c r="AR363" s="3" t="str">
        <f>IFERROR(MID(VLOOKUP($B363,Seqs!$A:$B,2,0),AS363,1),"")</f>
        <v>S</v>
      </c>
      <c r="AS363" s="105">
        <v>514</v>
      </c>
      <c r="AT363" s="3" t="str">
        <f>IFERROR(MID(VLOOKUP($B363,Seqs!$A:$B,2,0),AU363,1),"")</f>
        <v>W</v>
      </c>
      <c r="AU363" s="3">
        <v>537</v>
      </c>
      <c r="AV363" s="3" t="str">
        <f>IFERROR(MID(VLOOKUP($B363,Seqs!$A:$B,2,0),AW363,1),"")</f>
        <v>T</v>
      </c>
      <c r="AW363" s="3">
        <v>538</v>
      </c>
      <c r="AX363" s="3" t="str">
        <f>IFERROR(MID(VLOOKUP($B363,Seqs!$A:$B,2,0),AY363,1),"")</f>
        <v>R</v>
      </c>
      <c r="AY363" s="3">
        <v>551</v>
      </c>
      <c r="AZ363" s="78" t="str">
        <f>VLOOKUP(B363,Classification!A:D,2,0)</f>
        <v>F</v>
      </c>
      <c r="BA363" s="94" t="str">
        <f>VLOOKUP(B363,Classification!A:D,4,0)</f>
        <v>Frizzled</v>
      </c>
      <c r="BB363" s="92" t="b">
        <f t="shared" si="1899"/>
        <v>1</v>
      </c>
      <c r="BC363" s="23">
        <f t="shared" si="1872"/>
        <v>244</v>
      </c>
      <c r="BD363" s="74" t="s">
        <v>23</v>
      </c>
      <c r="BE363" s="3" t="s">
        <v>1375</v>
      </c>
      <c r="BF363" s="119">
        <v>3.3</v>
      </c>
      <c r="BG363" s="49" t="s">
        <v>1282</v>
      </c>
      <c r="BH363" s="49" t="s">
        <v>1378</v>
      </c>
      <c r="BI363" s="3" t="s">
        <v>1362</v>
      </c>
      <c r="BJ363" s="75" t="s">
        <v>1288</v>
      </c>
      <c r="BK363" s="57" t="s">
        <v>1288</v>
      </c>
      <c r="BL363" s="57" t="s">
        <v>1288</v>
      </c>
      <c r="BM363" s="57" t="s">
        <v>1288</v>
      </c>
      <c r="BN363" s="57" t="s">
        <v>1288</v>
      </c>
      <c r="BO363" s="57" t="s">
        <v>1288</v>
      </c>
      <c r="BP363" s="57" t="s">
        <v>1288</v>
      </c>
      <c r="BQ363" s="57" t="s">
        <v>1288</v>
      </c>
      <c r="BR363" s="57" t="s">
        <v>1288</v>
      </c>
      <c r="BS363" s="57" t="s">
        <v>1288</v>
      </c>
      <c r="BT363" s="57" t="s">
        <v>1288</v>
      </c>
      <c r="BU363" s="57" t="s">
        <v>1288</v>
      </c>
      <c r="BV363" s="75">
        <f t="shared" si="1873"/>
        <v>223</v>
      </c>
      <c r="BW363" s="71">
        <f t="shared" si="1874"/>
        <v>256</v>
      </c>
      <c r="BX363" s="72">
        <f t="shared" si="1875"/>
        <v>261</v>
      </c>
      <c r="BY363" s="71" t="str">
        <f t="shared" si="1876"/>
        <v>-</v>
      </c>
      <c r="BZ363" s="72">
        <f t="shared" si="1877"/>
        <v>312</v>
      </c>
      <c r="CA363" s="71" t="str">
        <f t="shared" si="1878"/>
        <v>-</v>
      </c>
      <c r="CB363" s="72">
        <f t="shared" si="1879"/>
        <v>356</v>
      </c>
      <c r="CC363" s="71">
        <f t="shared" si="1880"/>
        <v>390</v>
      </c>
      <c r="CD363" s="72">
        <f t="shared" si="1881"/>
        <v>396</v>
      </c>
      <c r="CE363" s="71">
        <f t="shared" si="1882"/>
        <v>447</v>
      </c>
      <c r="CF363" s="72">
        <f t="shared" si="1883"/>
        <v>514</v>
      </c>
      <c r="CG363" s="71">
        <f t="shared" si="1884"/>
        <v>538</v>
      </c>
      <c r="CH363" s="75">
        <f t="shared" si="1885"/>
        <v>255</v>
      </c>
      <c r="CI363" s="71">
        <f t="shared" si="1886"/>
        <v>260</v>
      </c>
      <c r="CJ363" s="72">
        <f t="shared" si="1887"/>
        <v>285</v>
      </c>
      <c r="CK363" s="72" t="str">
        <f t="shared" si="1888"/>
        <v>-</v>
      </c>
      <c r="CL363" s="72">
        <f t="shared" si="1889"/>
        <v>346</v>
      </c>
      <c r="CM363" s="72" t="str">
        <f t="shared" si="1890"/>
        <v>-</v>
      </c>
      <c r="CN363" s="72">
        <f t="shared" si="1891"/>
        <v>378</v>
      </c>
      <c r="CO363" s="72">
        <f t="shared" si="1892"/>
        <v>392</v>
      </c>
      <c r="CP363" s="72">
        <f t="shared" si="1893"/>
        <v>428</v>
      </c>
      <c r="CQ363" s="72">
        <f t="shared" si="1894"/>
        <v>493</v>
      </c>
      <c r="CR363" s="72">
        <f t="shared" si="1895"/>
        <v>537</v>
      </c>
      <c r="CS363" s="72">
        <f t="shared" si="1896"/>
        <v>551</v>
      </c>
      <c r="CT363" s="23">
        <f t="shared" si="1897"/>
        <v>1</v>
      </c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3"/>
      <c r="KN363" s="3"/>
      <c r="KO363" s="3"/>
      <c r="KP363" s="3"/>
      <c r="KQ363" s="3"/>
      <c r="KR363" s="3"/>
      <c r="KS363" s="3"/>
      <c r="KT363" s="3"/>
      <c r="KU363" s="3"/>
      <c r="KV363" s="3"/>
      <c r="KW363" s="3"/>
      <c r="KX363" s="3"/>
      <c r="KY363" s="3"/>
      <c r="KZ363" s="3"/>
      <c r="LA363" s="3"/>
      <c r="LB363" s="3"/>
      <c r="LC363" s="3"/>
      <c r="LD363" s="3"/>
      <c r="LE363" s="3"/>
      <c r="LF363" s="3"/>
      <c r="LG363" s="3"/>
      <c r="LH363" s="3"/>
      <c r="LI363" s="3"/>
      <c r="LJ363" s="3"/>
      <c r="LK363" s="3"/>
      <c r="LL363" s="3"/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  <c r="MF363" s="3"/>
      <c r="MG363" s="3"/>
      <c r="MH363" s="3"/>
      <c r="MI363" s="3"/>
      <c r="MJ363" s="3"/>
      <c r="MK363" s="3"/>
      <c r="ML363" s="3"/>
      <c r="MM363" s="3"/>
      <c r="MN363" s="3"/>
      <c r="MO363" s="3"/>
      <c r="MP363" s="3"/>
      <c r="MQ363" s="3"/>
      <c r="MR363" s="3"/>
      <c r="MS363" s="3"/>
      <c r="MT363" s="3"/>
      <c r="MU363" s="3"/>
      <c r="MV363" s="3"/>
      <c r="MW363" s="3"/>
      <c r="MX363" s="3"/>
      <c r="MY363" s="3"/>
      <c r="MZ363" s="3"/>
      <c r="NA363" s="3"/>
      <c r="NB363" s="3"/>
      <c r="NC363" s="3"/>
      <c r="ND363" s="3"/>
      <c r="NE363" s="3"/>
      <c r="NF363" s="3"/>
      <c r="NG363" s="3"/>
      <c r="NH363" s="3"/>
      <c r="NI363" s="3"/>
      <c r="NJ363" s="3"/>
      <c r="NK363" s="3"/>
      <c r="NL363" s="3"/>
      <c r="NM363" s="3"/>
      <c r="NN363" s="3"/>
      <c r="NO363" s="3"/>
      <c r="NP363" s="3"/>
      <c r="NQ363" s="3"/>
      <c r="NR363" s="3"/>
      <c r="NS363" s="3"/>
      <c r="NT363" s="3"/>
      <c r="NU363" s="3"/>
      <c r="NV363" s="3"/>
      <c r="NW363" s="3"/>
      <c r="NX363" s="3"/>
      <c r="NY363" s="3"/>
      <c r="NZ363" s="3"/>
      <c r="OA363" s="3"/>
      <c r="OB363" s="3"/>
      <c r="OC363" s="3"/>
      <c r="OD363" s="3"/>
      <c r="OE363" s="3"/>
      <c r="OF363" s="3"/>
      <c r="OG363" s="3"/>
      <c r="OH363" s="3"/>
      <c r="OI363" s="3"/>
      <c r="OJ363" s="3"/>
      <c r="OK363" s="3"/>
      <c r="OL363" s="3"/>
      <c r="OM363" s="3"/>
      <c r="ON363" s="3"/>
      <c r="OO363" s="3"/>
      <c r="OP363" s="3"/>
      <c r="OQ363" s="3"/>
      <c r="OR363" s="3"/>
      <c r="OS363" s="3"/>
      <c r="OT363" s="3"/>
      <c r="OU363" s="3"/>
      <c r="OV363" s="3"/>
      <c r="OW363" s="3"/>
      <c r="OX363" s="3"/>
      <c r="OY363" s="3"/>
      <c r="OZ363" s="3"/>
      <c r="PA363" s="3"/>
      <c r="PB363" s="3"/>
      <c r="PC363" s="3"/>
      <c r="PD363" s="3"/>
      <c r="PE363" s="3"/>
      <c r="PF363" s="3"/>
      <c r="PG363" s="3"/>
      <c r="PH363" s="3"/>
      <c r="PI363" s="3"/>
      <c r="PJ363" s="3"/>
      <c r="PK363" s="3"/>
      <c r="PL363" s="3"/>
      <c r="PM363" s="3"/>
      <c r="PN363" s="3"/>
      <c r="PO363" s="3"/>
      <c r="PP363" s="3"/>
      <c r="PQ363" s="3"/>
      <c r="PR363" s="3"/>
      <c r="PS363" s="3"/>
      <c r="PT363" s="3"/>
      <c r="PU363" s="3"/>
      <c r="PV363" s="3"/>
      <c r="PW363" s="3"/>
      <c r="PX363" s="3"/>
      <c r="PY363" s="3"/>
      <c r="PZ363" s="3"/>
      <c r="QA363" s="3"/>
      <c r="QB363" s="3"/>
      <c r="QC363" s="3"/>
      <c r="QD363" s="3"/>
      <c r="QE363" s="3"/>
      <c r="QF363" s="3"/>
      <c r="QG363" s="3"/>
      <c r="QH363" s="3"/>
      <c r="QI363" s="3"/>
      <c r="QJ363" s="3"/>
      <c r="QK363" s="3"/>
      <c r="QL363" s="3"/>
      <c r="QM363" s="3"/>
      <c r="QN363" s="3"/>
      <c r="QO363" s="3"/>
      <c r="QP363" s="3"/>
      <c r="QQ363" s="3"/>
      <c r="QR363" s="3"/>
      <c r="QS363" s="3"/>
      <c r="QT363" s="3"/>
      <c r="QU363" s="3"/>
      <c r="QV363" s="3"/>
      <c r="QW363" s="3"/>
      <c r="QX363" s="3"/>
      <c r="QY363" s="3"/>
      <c r="QZ363" s="3"/>
      <c r="RA363" s="3"/>
      <c r="RB363" s="3"/>
      <c r="RC363" s="3"/>
      <c r="RD363" s="3"/>
      <c r="RE363" s="3"/>
      <c r="RF363" s="3"/>
      <c r="RG363" s="3"/>
      <c r="RH363" s="3"/>
      <c r="RI363" s="3"/>
      <c r="RJ363" s="3"/>
      <c r="RK363" s="3"/>
      <c r="RL363" s="3"/>
      <c r="RM363" s="3"/>
      <c r="RN363" s="3"/>
      <c r="RO363" s="3"/>
      <c r="RP363" s="3"/>
      <c r="RQ363" s="3"/>
      <c r="RR363" s="3"/>
      <c r="RS363" s="3"/>
      <c r="RT363" s="3"/>
      <c r="RU363" s="3"/>
      <c r="RV363" s="3"/>
      <c r="RW363" s="3"/>
      <c r="RX363" s="3"/>
      <c r="RY363" s="3"/>
      <c r="RZ363" s="3"/>
      <c r="SA363" s="3"/>
      <c r="SB363" s="3"/>
      <c r="SC363" s="3"/>
      <c r="SD363" s="3"/>
      <c r="SE363" s="3"/>
      <c r="SF363" s="3"/>
      <c r="SG363" s="3"/>
      <c r="SH363" s="3"/>
      <c r="SI363" s="3"/>
      <c r="SJ363" s="3"/>
      <c r="SK363" s="3"/>
      <c r="SL363" s="3"/>
      <c r="SM363" s="3"/>
      <c r="SN363" s="3"/>
      <c r="SO363" s="3"/>
      <c r="SP363" s="3"/>
      <c r="SQ363" s="3"/>
      <c r="SR363" s="3"/>
      <c r="SS363" s="3"/>
      <c r="ST363" s="3"/>
      <c r="SU363" s="3"/>
      <c r="SV363" s="3"/>
      <c r="SW363" s="3"/>
      <c r="SX363" s="3"/>
      <c r="SY363" s="3"/>
      <c r="SZ363" s="3"/>
      <c r="TA363" s="3"/>
      <c r="TB363" s="3"/>
      <c r="TC363" s="3"/>
      <c r="TD363" s="3"/>
      <c r="TE363" s="3"/>
      <c r="TF363" s="3"/>
      <c r="TG363" s="3"/>
      <c r="TH363" s="3"/>
      <c r="TI363" s="3"/>
      <c r="TJ363" s="3"/>
      <c r="TK363" s="3"/>
      <c r="TL363" s="3"/>
      <c r="TM363" s="3"/>
      <c r="TN363" s="3"/>
      <c r="TO363" s="3"/>
      <c r="TP363" s="3"/>
      <c r="TQ363" s="3"/>
      <c r="TR363" s="3"/>
      <c r="TS363" s="3"/>
      <c r="TT363" s="3"/>
      <c r="TU363" s="3"/>
      <c r="TV363" s="3"/>
      <c r="TW363" s="3"/>
      <c r="TX363" s="3"/>
      <c r="TY363" s="3"/>
      <c r="TZ363" s="3"/>
      <c r="UA363" s="3"/>
      <c r="UB363" s="3"/>
      <c r="UC363" s="3"/>
      <c r="UD363" s="3"/>
      <c r="UE363" s="3"/>
      <c r="UF363" s="3"/>
      <c r="UG363" s="3"/>
      <c r="UH363" s="3"/>
      <c r="UI363" s="3"/>
      <c r="UJ363" s="3"/>
      <c r="UK363" s="3"/>
      <c r="UL363" s="3"/>
      <c r="UM363" s="3"/>
      <c r="UN363" s="3"/>
      <c r="UO363" s="3"/>
      <c r="UP363" s="3"/>
      <c r="UQ363" s="3"/>
      <c r="UR363" s="3"/>
      <c r="US363" s="3"/>
      <c r="UT363" s="3"/>
      <c r="UU363" s="3"/>
      <c r="UV363" s="3"/>
      <c r="UW363" s="3"/>
      <c r="UX363" s="3"/>
      <c r="UY363" s="3"/>
      <c r="UZ363" s="3"/>
      <c r="VA363" s="3"/>
      <c r="VB363" s="3"/>
      <c r="VC363" s="3"/>
      <c r="VD363" s="3"/>
      <c r="VE363" s="3"/>
      <c r="VF363" s="3"/>
      <c r="VG363" s="3"/>
      <c r="VH363" s="3"/>
      <c r="VI363" s="3"/>
      <c r="VJ363" s="3"/>
      <c r="VK363" s="3"/>
      <c r="VL363" s="3"/>
      <c r="VM363" s="3"/>
      <c r="VN363" s="3"/>
      <c r="VO363" s="3"/>
      <c r="VP363" s="3"/>
      <c r="VQ363" s="3"/>
      <c r="VR363" s="3"/>
      <c r="VS363" s="3"/>
      <c r="VT363" s="3"/>
      <c r="VU363" s="3"/>
      <c r="VV363" s="3"/>
      <c r="VW363" s="3"/>
      <c r="VX363" s="3"/>
      <c r="VY363" s="3"/>
      <c r="VZ363" s="3"/>
      <c r="WA363" s="3"/>
      <c r="WB363" s="3"/>
      <c r="WC363" s="3"/>
      <c r="WD363" s="3"/>
      <c r="WE363" s="3"/>
      <c r="WF363" s="3"/>
      <c r="WG363" s="3"/>
      <c r="WH363" s="3"/>
      <c r="WI363" s="3"/>
      <c r="WJ363" s="3"/>
      <c r="WK363" s="3"/>
      <c r="WL363" s="3"/>
      <c r="WM363" s="3"/>
      <c r="WN363" s="3"/>
      <c r="WO363" s="3"/>
      <c r="WP363" s="3"/>
      <c r="WQ363" s="3"/>
      <c r="WR363" s="3"/>
      <c r="WS363" s="3"/>
      <c r="WT363" s="3"/>
      <c r="WU363" s="3"/>
      <c r="WV363" s="3"/>
      <c r="WW363" s="3"/>
      <c r="WX363" s="3"/>
      <c r="WY363" s="3"/>
      <c r="WZ363" s="3"/>
      <c r="XA363" s="3"/>
      <c r="XB363" s="3"/>
      <c r="XC363" s="3"/>
      <c r="XD363" s="3"/>
      <c r="XE363" s="3"/>
      <c r="XF363" s="3"/>
      <c r="XG363" s="3"/>
      <c r="XH363" s="3"/>
      <c r="XI363" s="3"/>
      <c r="XJ363" s="3"/>
      <c r="XK363" s="3"/>
      <c r="XL363" s="3"/>
      <c r="XM363" s="3"/>
      <c r="XN363" s="3"/>
      <c r="XO363" s="3"/>
      <c r="XP363" s="3"/>
      <c r="XQ363" s="3"/>
      <c r="XR363" s="3"/>
      <c r="XS363" s="3"/>
      <c r="XT363" s="3"/>
      <c r="XU363" s="3"/>
      <c r="XV363" s="3"/>
      <c r="XW363" s="3"/>
      <c r="XX363" s="3"/>
      <c r="XY363" s="3"/>
      <c r="XZ363" s="3"/>
      <c r="YA363" s="3"/>
      <c r="YB363" s="3"/>
      <c r="YC363" s="3"/>
      <c r="YD363" s="3"/>
      <c r="YE363" s="3"/>
      <c r="YF363" s="3"/>
      <c r="YG363" s="3"/>
      <c r="YH363" s="3"/>
      <c r="YI363" s="3"/>
      <c r="YJ363" s="3"/>
      <c r="YK363" s="3"/>
      <c r="YL363" s="3"/>
      <c r="YM363" s="3"/>
      <c r="YN363" s="3"/>
      <c r="YO363" s="3"/>
      <c r="YP363" s="3"/>
      <c r="YQ363" s="3"/>
      <c r="YR363" s="3"/>
      <c r="YS363" s="3"/>
      <c r="YT363" s="3"/>
      <c r="YU363" s="3"/>
      <c r="YV363" s="3"/>
      <c r="YW363" s="3"/>
      <c r="YX363" s="3"/>
      <c r="YY363" s="3"/>
      <c r="YZ363" s="3"/>
      <c r="ZA363" s="3"/>
      <c r="ZB363" s="3"/>
      <c r="ZC363" s="3"/>
      <c r="ZD363" s="3"/>
      <c r="ZE363" s="3"/>
      <c r="ZF363" s="3"/>
      <c r="ZG363" s="3"/>
      <c r="ZH363" s="3"/>
      <c r="ZI363" s="3"/>
      <c r="ZJ363" s="3"/>
      <c r="ZK363" s="3"/>
      <c r="ZL363" s="3"/>
      <c r="ZM363" s="3"/>
      <c r="ZN363" s="3"/>
      <c r="ZO363" s="3"/>
      <c r="ZP363" s="3"/>
      <c r="ZQ363" s="3"/>
      <c r="ZR363" s="3"/>
      <c r="ZS363" s="3"/>
      <c r="ZT363" s="3"/>
      <c r="ZU363" s="3"/>
      <c r="ZV363" s="3"/>
      <c r="ZW363" s="3"/>
      <c r="ZX363" s="3"/>
      <c r="ZY363" s="3"/>
      <c r="ZZ363" s="3"/>
      <c r="AAA363" s="3"/>
      <c r="AAB363" s="3"/>
      <c r="AAC363" s="3"/>
      <c r="AAD363" s="3"/>
      <c r="AAE363" s="3"/>
      <c r="AAF363" s="3"/>
      <c r="AAG363" s="3"/>
      <c r="AAH363" s="3"/>
      <c r="AAI363" s="3"/>
      <c r="AAJ363" s="3"/>
      <c r="AAK363" s="3"/>
      <c r="AAL363" s="3"/>
      <c r="AAM363" s="3"/>
      <c r="AAN363" s="3"/>
      <c r="AAO363" s="3"/>
      <c r="AAP363" s="3"/>
      <c r="AAQ363" s="3"/>
      <c r="AAR363" s="3"/>
      <c r="AAS363" s="3"/>
      <c r="AAT363" s="3"/>
      <c r="AAU363" s="3"/>
      <c r="AAV363" s="3"/>
      <c r="AAW363" s="3"/>
      <c r="AAX363" s="3"/>
      <c r="AAY363" s="3"/>
      <c r="AAZ363" s="3"/>
      <c r="ABA363" s="3"/>
      <c r="ABB363" s="3"/>
      <c r="ABC363" s="3"/>
      <c r="ABD363" s="3"/>
      <c r="ABE363" s="3"/>
      <c r="ABF363" s="3"/>
      <c r="ABG363" s="3"/>
      <c r="ABH363" s="3"/>
      <c r="ABI363" s="3"/>
      <c r="ABJ363" s="3"/>
      <c r="ABK363" s="3"/>
      <c r="ABL363" s="3"/>
      <c r="ABM363" s="3"/>
      <c r="ABN363" s="3"/>
      <c r="ABO363" s="3"/>
      <c r="ABP363" s="3"/>
      <c r="ABQ363" s="3"/>
      <c r="ABR363" s="3"/>
      <c r="ABS363" s="3"/>
      <c r="ABT363" s="3"/>
      <c r="ABU363" s="3"/>
      <c r="ABV363" s="3"/>
      <c r="ABW363" s="3"/>
      <c r="ABX363" s="3"/>
      <c r="ABY363" s="3"/>
      <c r="ABZ363" s="3"/>
      <c r="ACA363" s="3"/>
      <c r="ACB363" s="3"/>
      <c r="ACC363" s="3"/>
      <c r="ACD363" s="3"/>
      <c r="ACE363" s="3"/>
      <c r="ACF363" s="3"/>
      <c r="ACG363" s="3"/>
      <c r="ACH363" s="3"/>
      <c r="ACI363" s="3"/>
      <c r="ACJ363" s="3"/>
      <c r="ACK363" s="3"/>
      <c r="ACL363" s="3"/>
      <c r="ACM363" s="3"/>
      <c r="ACN363" s="3"/>
      <c r="ACO363" s="3"/>
      <c r="ACP363" s="3"/>
      <c r="ACQ363" s="3"/>
      <c r="ACR363" s="3"/>
      <c r="ACS363" s="3"/>
      <c r="ACT363" s="3"/>
      <c r="ACU363" s="3"/>
      <c r="ACV363" s="3"/>
      <c r="ACW363" s="3"/>
      <c r="ACX363" s="3"/>
      <c r="ACY363" s="3"/>
      <c r="ACZ363" s="3"/>
      <c r="ADA363" s="3"/>
      <c r="ADB363" s="3"/>
      <c r="ADC363" s="3"/>
      <c r="ADD363" s="3"/>
      <c r="ADE363" s="3"/>
      <c r="ADF363" s="3"/>
      <c r="ADG363" s="3"/>
      <c r="ADH363" s="3"/>
      <c r="ADI363" s="3"/>
      <c r="ADJ363" s="3"/>
      <c r="ADK363" s="3"/>
      <c r="ADL363" s="3"/>
      <c r="ADM363" s="3"/>
      <c r="ADN363" s="3"/>
      <c r="ADO363" s="3"/>
      <c r="ADP363" s="3"/>
      <c r="ADQ363" s="3"/>
      <c r="ADR363" s="3"/>
      <c r="ADS363" s="3"/>
      <c r="ADT363" s="3"/>
      <c r="ADU363" s="3"/>
      <c r="ADV363" s="3"/>
      <c r="ADW363" s="3"/>
      <c r="ADX363" s="3"/>
      <c r="ADY363" s="3"/>
      <c r="ADZ363" s="3"/>
      <c r="AEA363" s="3"/>
      <c r="AEB363" s="3"/>
      <c r="AEC363" s="3"/>
      <c r="AED363" s="3"/>
      <c r="AEE363" s="3"/>
      <c r="AEF363" s="3"/>
      <c r="AEG363" s="3"/>
      <c r="AEH363" s="3"/>
      <c r="AEI363" s="3"/>
      <c r="AEJ363" s="3"/>
      <c r="AEK363" s="3"/>
      <c r="AEL363" s="3"/>
      <c r="AEM363" s="3"/>
      <c r="AEN363" s="3"/>
      <c r="AEO363" s="3"/>
      <c r="AEP363" s="3"/>
      <c r="AEQ363" s="3"/>
      <c r="AER363" s="3"/>
      <c r="AES363" s="3"/>
      <c r="AET363" s="3"/>
      <c r="AEU363" s="3"/>
      <c r="AEV363" s="3"/>
      <c r="AEW363" s="3"/>
      <c r="AEX363" s="3"/>
      <c r="AEY363" s="3"/>
      <c r="AEZ363" s="3"/>
      <c r="AFA363" s="3"/>
      <c r="AFB363" s="3"/>
      <c r="AFC363" s="3"/>
      <c r="AFD363" s="3"/>
      <c r="AFE363" s="3"/>
      <c r="AFF363" s="3"/>
      <c r="AFG363" s="3"/>
      <c r="AFH363" s="3"/>
      <c r="AFI363" s="3"/>
      <c r="AFJ363" s="3"/>
      <c r="AFK363" s="3"/>
      <c r="AFL363" s="3"/>
      <c r="AFM363" s="3"/>
      <c r="AFN363" s="3"/>
      <c r="AFO363" s="3"/>
      <c r="AFP363" s="3"/>
      <c r="AFQ363" s="3"/>
      <c r="AFR363" s="3"/>
      <c r="AFS363" s="3"/>
      <c r="AFT363" s="3"/>
      <c r="AFU363" s="3"/>
      <c r="AFV363" s="3"/>
      <c r="AFW363" s="3"/>
      <c r="AFX363" s="3"/>
      <c r="AFY363" s="3"/>
      <c r="AFZ363" s="3"/>
      <c r="AGA363" s="3"/>
      <c r="AGB363" s="3"/>
      <c r="AGC363" s="3"/>
      <c r="AGD363" s="3"/>
      <c r="AGE363" s="3"/>
      <c r="AGF363" s="3"/>
      <c r="AGG363" s="3"/>
      <c r="AGH363" s="3"/>
      <c r="AGI363" s="3"/>
      <c r="AGJ363" s="3"/>
      <c r="AGK363" s="3"/>
      <c r="AGL363" s="3"/>
      <c r="AGM363" s="3"/>
      <c r="AGN363" s="3"/>
      <c r="AGO363" s="3"/>
      <c r="AGP363" s="3"/>
      <c r="AGQ363" s="3"/>
      <c r="AGR363" s="3"/>
      <c r="AGS363" s="3"/>
      <c r="AGT363" s="3"/>
      <c r="AGU363" s="3"/>
      <c r="AGV363" s="3"/>
      <c r="AGW363" s="3"/>
      <c r="AGX363" s="3"/>
      <c r="AGY363" s="3"/>
      <c r="AGZ363" s="3"/>
      <c r="AHA363" s="3"/>
      <c r="AHB363" s="3"/>
      <c r="AHC363" s="3"/>
      <c r="AHD363" s="3"/>
      <c r="AHE363" s="3"/>
      <c r="AHF363" s="3"/>
      <c r="AHG363" s="3"/>
      <c r="AHH363" s="3"/>
      <c r="AHI363" s="3"/>
      <c r="AHJ363" s="3"/>
      <c r="AHK363" s="3"/>
      <c r="AHL363" s="3"/>
      <c r="AHM363" s="3"/>
      <c r="AHN363" s="3"/>
      <c r="AHO363" s="3"/>
      <c r="AHP363" s="3"/>
      <c r="AHQ363" s="3"/>
      <c r="AHR363" s="3"/>
      <c r="AHS363" s="3"/>
      <c r="AHT363" s="3"/>
      <c r="AHU363" s="3"/>
      <c r="AHV363" s="3"/>
      <c r="AHW363" s="3"/>
      <c r="AHX363" s="3"/>
      <c r="AHY363" s="3"/>
      <c r="AHZ363" s="3"/>
      <c r="AIA363" s="3"/>
      <c r="AIB363" s="3"/>
      <c r="AIC363" s="3"/>
      <c r="AID363" s="3"/>
      <c r="AIE363" s="3"/>
      <c r="AIF363" s="3"/>
      <c r="AIG363" s="3"/>
      <c r="AIH363" s="3"/>
      <c r="AII363" s="3"/>
      <c r="AIJ363" s="3"/>
      <c r="AIK363" s="3"/>
      <c r="AIL363" s="3"/>
      <c r="AIM363" s="3"/>
      <c r="AIN363" s="3"/>
      <c r="AIO363" s="3"/>
      <c r="AIP363" s="3"/>
      <c r="AIQ363" s="3"/>
      <c r="AIR363" s="3"/>
      <c r="AIS363" s="3"/>
      <c r="AIT363" s="3"/>
      <c r="AIU363" s="3"/>
      <c r="AIV363" s="3"/>
      <c r="AIW363" s="3"/>
      <c r="AIX363" s="3"/>
      <c r="AIY363" s="3"/>
      <c r="AIZ363" s="3"/>
      <c r="AJA363" s="3"/>
      <c r="AJB363" s="3"/>
      <c r="AJC363" s="3"/>
      <c r="AJD363" s="3"/>
      <c r="AJE363" s="3"/>
      <c r="AJF363" s="3"/>
      <c r="AJG363" s="3"/>
      <c r="AJH363" s="3"/>
      <c r="AJI363" s="3"/>
      <c r="AJJ363" s="3"/>
      <c r="AJK363" s="3"/>
      <c r="AJL363" s="3"/>
      <c r="AJM363" s="3"/>
      <c r="AJN363" s="3"/>
      <c r="AJO363" s="3"/>
      <c r="AJP363" s="3"/>
      <c r="AJQ363" s="3"/>
      <c r="AJR363" s="3"/>
      <c r="AJS363" s="3"/>
      <c r="AJT363" s="3"/>
      <c r="AJU363" s="3"/>
      <c r="AJV363" s="3"/>
      <c r="AJW363" s="3"/>
      <c r="AJX363" s="3"/>
      <c r="AJY363" s="3"/>
      <c r="AJZ363" s="3"/>
      <c r="AKA363" s="3"/>
      <c r="AKB363" s="3"/>
      <c r="AKC363" s="3"/>
      <c r="AKD363" s="3"/>
      <c r="AKE363" s="3"/>
      <c r="AKF363" s="3"/>
      <c r="AKG363" s="3"/>
      <c r="AKH363" s="3"/>
      <c r="AKI363" s="3"/>
      <c r="AKJ363" s="3"/>
      <c r="AKK363" s="3"/>
      <c r="AKL363" s="3"/>
      <c r="AKM363" s="3"/>
      <c r="AKN363" s="3"/>
      <c r="AKO363" s="3"/>
      <c r="AKP363" s="3"/>
      <c r="AKQ363" s="3"/>
      <c r="AKR363" s="3"/>
      <c r="AKS363" s="3"/>
      <c r="AKT363" s="3"/>
      <c r="AKU363" s="3"/>
      <c r="AKV363" s="3"/>
      <c r="AKW363" s="3"/>
      <c r="AKX363" s="3"/>
      <c r="AKY363" s="3"/>
      <c r="AKZ363" s="3"/>
      <c r="ALA363" s="3"/>
      <c r="ALB363" s="3"/>
      <c r="ALC363" s="3"/>
      <c r="ALD363" s="3"/>
      <c r="ALE363" s="3"/>
      <c r="ALF363" s="3"/>
      <c r="ALG363" s="3"/>
      <c r="ALH363" s="3"/>
      <c r="ALI363" s="3"/>
      <c r="ALJ363" s="3"/>
      <c r="ALK363" s="3"/>
      <c r="ALL363" s="3"/>
      <c r="ALM363" s="3"/>
      <c r="ALN363" s="3"/>
      <c r="ALO363" s="3"/>
      <c r="ALP363" s="3"/>
      <c r="ALQ363" s="3"/>
      <c r="ALR363" s="3"/>
      <c r="ALS363" s="3"/>
      <c r="ALT363" s="3"/>
      <c r="ALU363" s="3"/>
      <c r="ALV363" s="3"/>
      <c r="ALW363" s="3"/>
      <c r="ALX363" s="3"/>
      <c r="ALY363" s="3"/>
      <c r="ALZ363" s="3"/>
      <c r="AMA363" s="3"/>
      <c r="AMB363" s="3"/>
      <c r="AMC363" s="3"/>
      <c r="AMD363" s="3"/>
      <c r="AME363" s="3"/>
      <c r="AMF363" s="3"/>
      <c r="AMG363" s="3"/>
      <c r="AMH363" s="3"/>
      <c r="AMI363" s="3"/>
      <c r="AMJ363" s="3"/>
      <c r="AMK363" s="3"/>
      <c r="AML363" s="3"/>
      <c r="AMM363" s="3"/>
      <c r="AMN363" s="3"/>
      <c r="AMO363" s="3"/>
      <c r="AMP363" s="1"/>
    </row>
    <row r="364" spans="1:1030" x14ac:dyDescent="0.2">
      <c r="A364" s="3" t="str">
        <f>CONCATENATE(B364,"_",C364)</f>
        <v>smo_human_5V56</v>
      </c>
      <c r="B364" s="3" t="s">
        <v>33</v>
      </c>
      <c r="C364" s="3" t="s">
        <v>1478</v>
      </c>
      <c r="D364" s="3" t="str">
        <f>IFERROR(MID(VLOOKUP($B364,Seqs!$A:$B,2,0),E364,1),"")</f>
        <v>T</v>
      </c>
      <c r="E364" s="3">
        <v>223</v>
      </c>
      <c r="F364" s="3" t="str">
        <f>IFERROR(MID(VLOOKUP($B364,Seqs!$A:$B,2,0),G364,1),"")</f>
        <v>D</v>
      </c>
      <c r="G364" s="3">
        <v>255</v>
      </c>
      <c r="H364" s="3" t="str">
        <f>IFERROR(MID(VLOOKUP($B364,Seqs!$A:$B,2,0),I364,1),"")</f>
        <v>W</v>
      </c>
      <c r="I364" s="23">
        <v>256</v>
      </c>
      <c r="J364" s="3" t="str">
        <f>IFERROR(MID(VLOOKUP($B364,Seqs!$A:$B,2,0),K364,1),"")</f>
        <v>N</v>
      </c>
      <c r="K364" s="23">
        <v>260</v>
      </c>
      <c r="L364" s="3" t="str">
        <f>IFERROR(MID(VLOOKUP($B364,Seqs!$A:$B,2,0),M364,1),"")</f>
        <v>R</v>
      </c>
      <c r="M364" s="3">
        <v>261</v>
      </c>
      <c r="N364" s="3" t="str">
        <f>IFERROR(MID(VLOOKUP($B364,Seqs!$A:$B,2,0),O364,1),"")</f>
        <v>F</v>
      </c>
      <c r="O364" s="3">
        <v>285</v>
      </c>
      <c r="P364" s="3" t="str">
        <f>IFERROR(MID(VLOOKUP($B364,Seqs!$A:$B,2,0),Q364,1),"")</f>
        <v/>
      </c>
      <c r="Q364" s="3" t="s">
        <v>23</v>
      </c>
      <c r="R364" s="3" t="str">
        <f>IFERROR(MID(VLOOKUP($B364,Seqs!$A:$B,2,0),S364,1),"")</f>
        <v/>
      </c>
      <c r="S364" s="3" t="s">
        <v>23</v>
      </c>
      <c r="T364" s="3" t="str">
        <f>IFERROR(MID(VLOOKUP($B364,Seqs!$A:$B,2,0),U364,1),"")</f>
        <v>L</v>
      </c>
      <c r="U364" s="3">
        <v>312</v>
      </c>
      <c r="V364" s="3" t="str">
        <f>IFERROR(MID(VLOOKUP($B364,Seqs!$A:$B,2,0),W364,1),"")</f>
        <v>S</v>
      </c>
      <c r="W364" s="3">
        <v>342</v>
      </c>
      <c r="X364" s="3" t="str">
        <f>IFERROR(MID(VLOOKUP($B364,Seqs!$A:$B,2,0),Y364,1),"")</f>
        <v/>
      </c>
      <c r="Y364" s="3" t="s">
        <v>23</v>
      </c>
      <c r="Z364" s="3" t="str">
        <f>IFERROR(MID(VLOOKUP($B364,Seqs!$A:$B,2,0),AA364,1),"")</f>
        <v/>
      </c>
      <c r="AA364" s="3" t="s">
        <v>23</v>
      </c>
      <c r="AB364" s="3" t="str">
        <f>IFERROR(MID(VLOOKUP($B364,Seqs!$A:$B,2,0),AC364,1),"")</f>
        <v>K</v>
      </c>
      <c r="AC364" s="3">
        <v>356</v>
      </c>
      <c r="AD364" s="3" t="str">
        <f>IFERROR(MID(VLOOKUP($B364,Seqs!$A:$B,2,0),AE364,1),"")</f>
        <v>V</v>
      </c>
      <c r="AE364" s="3">
        <v>378</v>
      </c>
      <c r="AF364" s="3" t="str">
        <f>IFERROR(MID(VLOOKUP($B364,Seqs!$A:$B,2,0),AG364,1),"")</f>
        <v>C</v>
      </c>
      <c r="AG364" s="3">
        <v>390</v>
      </c>
      <c r="AH364" s="3" t="str">
        <f>IFERROR(MID(VLOOKUP($B364,Seqs!$A:$B,2,0),AI364,1),"")</f>
        <v>V</v>
      </c>
      <c r="AI364" s="3">
        <v>392</v>
      </c>
      <c r="AJ364" s="3" t="str">
        <f>IFERROR(MID(VLOOKUP($B364,Seqs!$A:$B,2,0),AK364,1),"")</f>
        <v>N</v>
      </c>
      <c r="AK364" s="3">
        <v>396</v>
      </c>
      <c r="AL364" s="3" t="str">
        <f>IFERROR(MID(VLOOKUP($B364,Seqs!$A:$B,2,0),AM364,1),"")</f>
        <v>I</v>
      </c>
      <c r="AM364" s="3">
        <v>429</v>
      </c>
      <c r="AN364" s="3" t="str">
        <f>IFERROR(MID(VLOOKUP($B364,Seqs!$A:$B,2,0),AO364,1),"")</f>
        <v>N</v>
      </c>
      <c r="AO364" s="3">
        <v>446</v>
      </c>
      <c r="AP364" s="3" t="str">
        <f>IFERROR(MID(VLOOKUP($B364,Seqs!$A:$B,2,0),AQ364,1),"")</f>
        <v>N</v>
      </c>
      <c r="AQ364" s="3">
        <v>493</v>
      </c>
      <c r="AR364" s="3" t="str">
        <f>IFERROR(MID(VLOOKUP($B364,Seqs!$A:$B,2,0),AS364,1),"")</f>
        <v>S</v>
      </c>
      <c r="AS364" s="3">
        <v>514</v>
      </c>
      <c r="AT364" s="3" t="str">
        <f>IFERROR(MID(VLOOKUP($B364,Seqs!$A:$B,2,0),AU364,1),"")</f>
        <v>W</v>
      </c>
      <c r="AU364" s="3">
        <v>537</v>
      </c>
      <c r="AV364" s="3" t="str">
        <f>IFERROR(MID(VLOOKUP($B364,Seqs!$A:$B,2,0),AW364,1),"")</f>
        <v>T</v>
      </c>
      <c r="AW364" s="3">
        <v>538</v>
      </c>
      <c r="AX364" s="3" t="str">
        <f>IFERROR(MID(VLOOKUP($B364,Seqs!$A:$B,2,0),AY364,1),"")</f>
        <v>T</v>
      </c>
      <c r="AY364" s="3">
        <v>553</v>
      </c>
      <c r="AZ364" s="78" t="str">
        <f>VLOOKUP(B364,Classification!A:D,2,0)</f>
        <v>F</v>
      </c>
      <c r="BA364" s="94" t="str">
        <f>VLOOKUP(B364,Classification!A:D,4,0)</f>
        <v>Frizzled</v>
      </c>
      <c r="BB364" s="92" t="b">
        <f>AND(E364&lt;G364,OR(G364&lt;I364,I364="-"),OR(I364&lt;K364,I364="-"),OR(K364&lt;M364,K364="-"),M364&lt;O364,OR(O364&lt;Q364,Q364="-"),OR(Q364&lt;S364,Q364="-"),OR(S364&lt;U364,S364="-"),U364&lt;W364,OR(W364&lt;Y364,Y364="-"),OR(Y364&lt;AA364,Y364="-"),OR(AA364&lt;AC364,AA364="-"),AC364&lt;AE364,OR(AE364&lt;AG364,AG364="-"),OR(AG364&lt;AI364,AG364="-"),OR(AI364&lt;AK364,AI364="-"),AK364&lt;AM364,AM364&lt;AO364,AO364&lt;AQ364,AQ364&lt;AS364,AS364&lt;AU364,OR(AU364&lt;AW364,AW364="-"),OR(AW364&lt;AY364,AW364="-"))</f>
        <v>1</v>
      </c>
      <c r="BC364" s="23">
        <f>_xlfn.AGGREGATE(9,6,CH364:CS364)-_xlfn.AGGREGATE(9,6,BV364:CG364)+12</f>
        <v>244</v>
      </c>
      <c r="BD364" s="74" t="s">
        <v>23</v>
      </c>
      <c r="BE364" s="3" t="s">
        <v>1375</v>
      </c>
      <c r="BF364" s="119">
        <v>2.9</v>
      </c>
      <c r="BG364" s="49" t="s">
        <v>1282</v>
      </c>
      <c r="BH364" s="49" t="s">
        <v>1282</v>
      </c>
      <c r="BJ364" s="75" t="s">
        <v>1288</v>
      </c>
      <c r="BK364" s="57" t="s">
        <v>1288</v>
      </c>
      <c r="BL364" s="57" t="s">
        <v>1288</v>
      </c>
      <c r="BM364" s="57" t="s">
        <v>1288</v>
      </c>
      <c r="BN364" s="57" t="s">
        <v>1288</v>
      </c>
      <c r="BO364" s="57" t="s">
        <v>1288</v>
      </c>
      <c r="BP364" s="57" t="s">
        <v>1288</v>
      </c>
      <c r="BQ364" s="57" t="s">
        <v>1288</v>
      </c>
      <c r="BR364" s="57" t="s">
        <v>1288</v>
      </c>
      <c r="BS364" s="57" t="s">
        <v>1288</v>
      </c>
      <c r="BT364" s="57" t="s">
        <v>1288</v>
      </c>
      <c r="BU364" s="57" t="s">
        <v>1288</v>
      </c>
      <c r="BV364" s="75">
        <f>E364</f>
        <v>223</v>
      </c>
      <c r="BW364" s="71">
        <f>I364</f>
        <v>256</v>
      </c>
      <c r="BX364" s="72">
        <f>M364</f>
        <v>261</v>
      </c>
      <c r="BY364" s="71" t="str">
        <f>Q364</f>
        <v>-</v>
      </c>
      <c r="BZ364" s="72">
        <f>U364</f>
        <v>312</v>
      </c>
      <c r="CA364" s="71" t="str">
        <f>Y364</f>
        <v>-</v>
      </c>
      <c r="CB364" s="72">
        <f>AC364</f>
        <v>356</v>
      </c>
      <c r="CC364" s="71">
        <f>AG364</f>
        <v>390</v>
      </c>
      <c r="CD364" s="72">
        <f>AK364</f>
        <v>396</v>
      </c>
      <c r="CE364" s="71">
        <f>AO364</f>
        <v>446</v>
      </c>
      <c r="CF364" s="72">
        <f>AS364</f>
        <v>514</v>
      </c>
      <c r="CG364" s="71">
        <f>AW364</f>
        <v>538</v>
      </c>
      <c r="CH364" s="75">
        <f>G364</f>
        <v>255</v>
      </c>
      <c r="CI364" s="71">
        <f>K364</f>
        <v>260</v>
      </c>
      <c r="CJ364" s="72">
        <f>O364</f>
        <v>285</v>
      </c>
      <c r="CK364" s="72" t="str">
        <f>S364</f>
        <v>-</v>
      </c>
      <c r="CL364" s="72">
        <f>W364</f>
        <v>342</v>
      </c>
      <c r="CM364" s="72" t="str">
        <f>AA364</f>
        <v>-</v>
      </c>
      <c r="CN364" s="72">
        <f>AE364</f>
        <v>378</v>
      </c>
      <c r="CO364" s="72">
        <f>AI364</f>
        <v>392</v>
      </c>
      <c r="CP364" s="72">
        <f>AM364</f>
        <v>429</v>
      </c>
      <c r="CQ364" s="72">
        <f>AQ364</f>
        <v>493</v>
      </c>
      <c r="CR364" s="72">
        <f>AU364</f>
        <v>537</v>
      </c>
      <c r="CS364" s="72">
        <f>AY364</f>
        <v>553</v>
      </c>
      <c r="CT364" s="23">
        <f>M364-K364</f>
        <v>1</v>
      </c>
    </row>
    <row r="365" spans="1:1030" x14ac:dyDescent="0.2">
      <c r="A365" s="3" t="str">
        <f>CONCATENATE(B365,"_",C365)</f>
        <v>smo_human_5V57</v>
      </c>
      <c r="B365" s="3" t="s">
        <v>33</v>
      </c>
      <c r="C365" s="3" t="s">
        <v>1479</v>
      </c>
      <c r="D365" s="3" t="str">
        <f>IFERROR(MID(VLOOKUP($B365,Seqs!$A:$B,2,0),E365,1),"")</f>
        <v>T</v>
      </c>
      <c r="E365" s="3">
        <v>223</v>
      </c>
      <c r="F365" s="3" t="str">
        <f>IFERROR(MID(VLOOKUP($B365,Seqs!$A:$B,2,0),G365,1),"")</f>
        <v>D</v>
      </c>
      <c r="G365" s="3">
        <v>255</v>
      </c>
      <c r="H365" s="3" t="str">
        <f>IFERROR(MID(VLOOKUP($B365,Seqs!$A:$B,2,0),I365,1),"")</f>
        <v>W</v>
      </c>
      <c r="I365" s="23">
        <v>256</v>
      </c>
      <c r="J365" s="3" t="str">
        <f>IFERROR(MID(VLOOKUP($B365,Seqs!$A:$B,2,0),K365,1),"")</f>
        <v>N</v>
      </c>
      <c r="K365" s="23">
        <v>260</v>
      </c>
      <c r="L365" s="3" t="str">
        <f>IFERROR(MID(VLOOKUP($B365,Seqs!$A:$B,2,0),M365,1),"")</f>
        <v>R</v>
      </c>
      <c r="M365" s="3">
        <v>261</v>
      </c>
      <c r="N365" s="3" t="str">
        <f>IFERROR(MID(VLOOKUP($B365,Seqs!$A:$B,2,0),O365,1),"")</f>
        <v>F</v>
      </c>
      <c r="O365" s="3">
        <v>285</v>
      </c>
      <c r="P365" s="3" t="str">
        <f>IFERROR(MID(VLOOKUP($B365,Seqs!$A:$B,2,0),Q365,1),"")</f>
        <v/>
      </c>
      <c r="Q365" s="3" t="s">
        <v>23</v>
      </c>
      <c r="R365" s="3" t="str">
        <f>IFERROR(MID(VLOOKUP($B365,Seqs!$A:$B,2,0),S365,1),"")</f>
        <v/>
      </c>
      <c r="S365" s="3" t="s">
        <v>23</v>
      </c>
      <c r="T365" s="3" t="str">
        <f>IFERROR(MID(VLOOKUP($B365,Seqs!$A:$B,2,0),U365,1),"")</f>
        <v>L</v>
      </c>
      <c r="U365" s="3">
        <v>312</v>
      </c>
      <c r="V365" s="3" t="str">
        <f>IFERROR(MID(VLOOKUP($B365,Seqs!$A:$B,2,0),W365,1),"")</f>
        <v>S</v>
      </c>
      <c r="W365" s="3">
        <v>342</v>
      </c>
      <c r="X365" s="3" t="str">
        <f>IFERROR(MID(VLOOKUP($B365,Seqs!$A:$B,2,0),Y365,1),"")</f>
        <v/>
      </c>
      <c r="Y365" s="3" t="s">
        <v>23</v>
      </c>
      <c r="Z365" s="3" t="str">
        <f>IFERROR(MID(VLOOKUP($B365,Seqs!$A:$B,2,0),AA365,1),"")</f>
        <v/>
      </c>
      <c r="AA365" s="3" t="s">
        <v>23</v>
      </c>
      <c r="AB365" s="3" t="str">
        <f>IFERROR(MID(VLOOKUP($B365,Seqs!$A:$B,2,0),AC365,1),"")</f>
        <v>T</v>
      </c>
      <c r="AC365" s="3">
        <v>357</v>
      </c>
      <c r="AD365" s="3" t="str">
        <f>IFERROR(MID(VLOOKUP($B365,Seqs!$A:$B,2,0),AE365,1),"")</f>
        <v>V</v>
      </c>
      <c r="AE365" s="3">
        <v>378</v>
      </c>
      <c r="AF365" s="3" t="str">
        <f>IFERROR(MID(VLOOKUP($B365,Seqs!$A:$B,2,0),AG365,1),"")</f>
        <v>C</v>
      </c>
      <c r="AG365" s="3">
        <v>390</v>
      </c>
      <c r="AH365" s="3" t="str">
        <f>IFERROR(MID(VLOOKUP($B365,Seqs!$A:$B,2,0),AI365,1),"")</f>
        <v>V</v>
      </c>
      <c r="AI365" s="3">
        <v>392</v>
      </c>
      <c r="AJ365" s="3" t="str">
        <f>IFERROR(MID(VLOOKUP($B365,Seqs!$A:$B,2,0),AK365,1),"")</f>
        <v>N</v>
      </c>
      <c r="AK365" s="3">
        <v>396</v>
      </c>
      <c r="AL365" s="3" t="str">
        <f>IFERROR(MID(VLOOKUP($B365,Seqs!$A:$B,2,0),AM365,1),"")</f>
        <v>N</v>
      </c>
      <c r="AM365" s="3">
        <v>432</v>
      </c>
      <c r="AN365" s="3" t="str">
        <f>IFERROR(MID(VLOOKUP($B365,Seqs!$A:$B,2,0),AO365,1),"")</f>
        <v>E</v>
      </c>
      <c r="AO365" s="3">
        <v>447</v>
      </c>
      <c r="AP365" s="3" t="str">
        <f>IFERROR(MID(VLOOKUP($B365,Seqs!$A:$B,2,0),AQ365,1),"")</f>
        <v>N</v>
      </c>
      <c r="AQ365" s="3">
        <v>493</v>
      </c>
      <c r="AR365" s="3" t="str">
        <f>IFERROR(MID(VLOOKUP($B365,Seqs!$A:$B,2,0),AS365,1),"")</f>
        <v>S</v>
      </c>
      <c r="AS365" s="3">
        <v>514</v>
      </c>
      <c r="AT365" s="3" t="str">
        <f>IFERROR(MID(VLOOKUP($B365,Seqs!$A:$B,2,0),AU365,1),"")</f>
        <v>W</v>
      </c>
      <c r="AU365" s="3">
        <v>537</v>
      </c>
      <c r="AV365" s="3" t="str">
        <f>IFERROR(MID(VLOOKUP($B365,Seqs!$A:$B,2,0),AW365,1),"")</f>
        <v>T</v>
      </c>
      <c r="AW365" s="3">
        <v>538</v>
      </c>
      <c r="AX365" s="3" t="str">
        <f>IFERROR(MID(VLOOKUP($B365,Seqs!$A:$B,2,0),AY365,1),"")</f>
        <v>G</v>
      </c>
      <c r="AY365" s="3">
        <v>554</v>
      </c>
      <c r="AZ365" s="78" t="str">
        <f>VLOOKUP(B365,Classification!A:D,2,0)</f>
        <v>F</v>
      </c>
      <c r="BA365" s="94" t="str">
        <f>VLOOKUP(B365,Classification!A:D,4,0)</f>
        <v>Frizzled</v>
      </c>
      <c r="BB365" s="92" t="b">
        <f>AND(E365&lt;G365,OR(G365&lt;I365,I365="-"),OR(I365&lt;K365,I365="-"),OR(K365&lt;M365,K365="-"),M365&lt;O365,OR(O365&lt;Q365,Q365="-"),OR(Q365&lt;S365,Q365="-"),OR(S365&lt;U365,S365="-"),U365&lt;W365,OR(W365&lt;Y365,Y365="-"),OR(Y365&lt;AA365,Y365="-"),OR(AA365&lt;AC365,AA365="-"),AC365&lt;AE365,OR(AE365&lt;AG365,AG365="-"),OR(AG365&lt;AI365,AG365="-"),OR(AI365&lt;AK365,AI365="-"),AK365&lt;AM365,AM365&lt;AO365,AO365&lt;AQ365,AQ365&lt;AS365,AS365&lt;AU365,OR(AU365&lt;AW365,AW365="-"),OR(AW365&lt;AY365,AW365="-"))</f>
        <v>1</v>
      </c>
      <c r="BC365" s="23">
        <f>_xlfn.AGGREGATE(9,6,CH365:CS365)-_xlfn.AGGREGATE(9,6,BV365:CG365)+12</f>
        <v>246</v>
      </c>
      <c r="BD365" s="74" t="s">
        <v>23</v>
      </c>
      <c r="BE365" s="3" t="s">
        <v>1375</v>
      </c>
      <c r="BF365" s="119">
        <v>3</v>
      </c>
      <c r="BG365" s="49" t="s">
        <v>1</v>
      </c>
      <c r="BH365" s="49" t="s">
        <v>1</v>
      </c>
      <c r="BJ365" s="75" t="s">
        <v>1288</v>
      </c>
      <c r="BK365" s="57" t="s">
        <v>1288</v>
      </c>
      <c r="BL365" s="57" t="s">
        <v>1288</v>
      </c>
      <c r="BM365" s="57" t="s">
        <v>1288</v>
      </c>
      <c r="BN365" s="57" t="s">
        <v>1288</v>
      </c>
      <c r="BO365" s="57" t="s">
        <v>1288</v>
      </c>
      <c r="BP365" s="57" t="s">
        <v>1288</v>
      </c>
      <c r="BQ365" s="57" t="s">
        <v>1288</v>
      </c>
      <c r="BR365" s="57" t="s">
        <v>1288</v>
      </c>
      <c r="BS365" s="57" t="s">
        <v>1288</v>
      </c>
      <c r="BT365" s="57" t="s">
        <v>1288</v>
      </c>
      <c r="BU365" s="57" t="s">
        <v>1288</v>
      </c>
      <c r="BV365" s="75">
        <f>E365</f>
        <v>223</v>
      </c>
      <c r="BW365" s="71">
        <f>I365</f>
        <v>256</v>
      </c>
      <c r="BX365" s="72">
        <f>M365</f>
        <v>261</v>
      </c>
      <c r="BY365" s="71" t="str">
        <f>Q365</f>
        <v>-</v>
      </c>
      <c r="BZ365" s="72">
        <f>U365</f>
        <v>312</v>
      </c>
      <c r="CA365" s="71" t="str">
        <f>Y365</f>
        <v>-</v>
      </c>
      <c r="CB365" s="72">
        <f>AC365</f>
        <v>357</v>
      </c>
      <c r="CC365" s="71">
        <f>AG365</f>
        <v>390</v>
      </c>
      <c r="CD365" s="72">
        <f>AK365</f>
        <v>396</v>
      </c>
      <c r="CE365" s="71">
        <f>AO365</f>
        <v>447</v>
      </c>
      <c r="CF365" s="72">
        <f>AS365</f>
        <v>514</v>
      </c>
      <c r="CG365" s="71">
        <f>AW365</f>
        <v>538</v>
      </c>
      <c r="CH365" s="75">
        <f>G365</f>
        <v>255</v>
      </c>
      <c r="CI365" s="71">
        <f>K365</f>
        <v>260</v>
      </c>
      <c r="CJ365" s="72">
        <f>O365</f>
        <v>285</v>
      </c>
      <c r="CK365" s="72" t="str">
        <f>S365</f>
        <v>-</v>
      </c>
      <c r="CL365" s="72">
        <f>W365</f>
        <v>342</v>
      </c>
      <c r="CM365" s="72" t="str">
        <f>AA365</f>
        <v>-</v>
      </c>
      <c r="CN365" s="72">
        <f>AE365</f>
        <v>378</v>
      </c>
      <c r="CO365" s="72">
        <f>AI365</f>
        <v>392</v>
      </c>
      <c r="CP365" s="72">
        <f>AM365</f>
        <v>432</v>
      </c>
      <c r="CQ365" s="72">
        <f>AQ365</f>
        <v>493</v>
      </c>
      <c r="CR365" s="72">
        <f>AU365</f>
        <v>537</v>
      </c>
      <c r="CS365" s="72">
        <f>AY365</f>
        <v>554</v>
      </c>
      <c r="CT365" s="23">
        <f>M365-K365</f>
        <v>1</v>
      </c>
    </row>
    <row r="366" spans="1:1030" s="12" customFormat="1" x14ac:dyDescent="0.2">
      <c r="A366" s="9" t="str">
        <f>CONCATENATE(B366,"_",C366)</f>
        <v>smo_human_6OT0</v>
      </c>
      <c r="B366" s="9" t="s">
        <v>33</v>
      </c>
      <c r="C366" s="9" t="s">
        <v>1581</v>
      </c>
      <c r="D366" s="9" t="str">
        <f>IFERROR(MID(VLOOKUP($B366,Seqs!$A:$B,2,0),E366,1),"")</f>
        <v>T</v>
      </c>
      <c r="E366" s="9">
        <v>223</v>
      </c>
      <c r="F366" s="9" t="str">
        <f>IFERROR(MID(VLOOKUP($B366,Seqs!$A:$B,2,0),G366,1),"")</f>
        <v>D</v>
      </c>
      <c r="G366" s="9">
        <v>255</v>
      </c>
      <c r="H366" s="9" t="str">
        <f>IFERROR(MID(VLOOKUP($B366,Seqs!$A:$B,2,0),I366,1),"")</f>
        <v>W</v>
      </c>
      <c r="I366" s="109">
        <v>256</v>
      </c>
      <c r="J366" s="9" t="str">
        <f>IFERROR(MID(VLOOKUP($B366,Seqs!$A:$B,2,0),K366,1),"")</f>
        <v>N</v>
      </c>
      <c r="K366" s="109">
        <v>260</v>
      </c>
      <c r="L366" s="9" t="str">
        <f>IFERROR(MID(VLOOKUP($B366,Seqs!$A:$B,2,0),M366,1),"")</f>
        <v>P</v>
      </c>
      <c r="M366" s="9">
        <v>263</v>
      </c>
      <c r="N366" s="9" t="str">
        <f>IFERROR(MID(VLOOKUP($B366,Seqs!$A:$B,2,0),O366,1),"")</f>
        <v>A</v>
      </c>
      <c r="O366" s="9">
        <v>283</v>
      </c>
      <c r="P366" s="9" t="str">
        <f>IFERROR(MID(VLOOKUP($B366,Seqs!$A:$B,2,0),Q366,1),"")</f>
        <v/>
      </c>
      <c r="Q366" s="9" t="s">
        <v>23</v>
      </c>
      <c r="R366" s="9" t="str">
        <f>IFERROR(MID(VLOOKUP($B366,Seqs!$A:$B,2,0),S366,1),"")</f>
        <v/>
      </c>
      <c r="S366" s="9" t="s">
        <v>23</v>
      </c>
      <c r="T366" s="9" t="str">
        <f>IFERROR(MID(VLOOKUP($B366,Seqs!$A:$B,2,0),U366,1),"")</f>
        <v>C</v>
      </c>
      <c r="U366" s="9">
        <v>314</v>
      </c>
      <c r="V366" s="9" t="str">
        <f>IFERROR(MID(VLOOKUP($B366,Seqs!$A:$B,2,0),W366,1),"")</f>
        <v>A</v>
      </c>
      <c r="W366" s="9">
        <v>345</v>
      </c>
      <c r="X366" s="9" t="str">
        <f>IFERROR(MID(VLOOKUP($B366,Seqs!$A:$B,2,0),Y366,1),"")</f>
        <v/>
      </c>
      <c r="Y366" s="9" t="s">
        <v>23</v>
      </c>
      <c r="Z366" s="9" t="str">
        <f>IFERROR(MID(VLOOKUP($B366,Seqs!$A:$B,2,0),AA366,1),"")</f>
        <v/>
      </c>
      <c r="AA366" s="9" t="s">
        <v>23</v>
      </c>
      <c r="AB366" s="9" t="str">
        <f>IFERROR(MID(VLOOKUP($B366,Seqs!$A:$B,2,0),AC366,1),"")</f>
        <v>K</v>
      </c>
      <c r="AC366" s="9">
        <v>356</v>
      </c>
      <c r="AD366" s="9" t="str">
        <f>IFERROR(MID(VLOOKUP($B366,Seqs!$A:$B,2,0),AE366,1),"")</f>
        <v>L</v>
      </c>
      <c r="AE366" s="9">
        <v>376</v>
      </c>
      <c r="AF366" s="9" t="str">
        <f>IFERROR(MID(VLOOKUP($B366,Seqs!$A:$B,2,0),AG366,1),"")</f>
        <v>C</v>
      </c>
      <c r="AG366" s="9">
        <v>390</v>
      </c>
      <c r="AH366" s="9" t="str">
        <f>IFERROR(MID(VLOOKUP($B366,Seqs!$A:$B,2,0),AI366,1),"")</f>
        <v>V</v>
      </c>
      <c r="AI366" s="9">
        <v>392</v>
      </c>
      <c r="AJ366" s="9" t="str">
        <f>IFERROR(MID(VLOOKUP($B366,Seqs!$A:$B,2,0),AK366,1),"")</f>
        <v>A</v>
      </c>
      <c r="AK366" s="9">
        <v>406</v>
      </c>
      <c r="AL366" s="9" t="str">
        <f>IFERROR(MID(VLOOKUP($B366,Seqs!$A:$B,2,0),AM366,1),"")</f>
        <v>S</v>
      </c>
      <c r="AM366" s="9">
        <v>428</v>
      </c>
      <c r="AN366" s="9" t="str">
        <f>IFERROR(MID(VLOOKUP($B366,Seqs!$A:$B,2,0),AO366,1),"")</f>
        <v>S</v>
      </c>
      <c r="AO366" s="9">
        <v>438</v>
      </c>
      <c r="AP366" s="9" t="str">
        <f>IFERROR(MID(VLOOKUP($B366,Seqs!$A:$B,2,0),AQ366,1),"")</f>
        <v>V</v>
      </c>
      <c r="AQ366" s="9">
        <v>494</v>
      </c>
      <c r="AR366" s="9" t="str">
        <f>IFERROR(MID(VLOOKUP($B366,Seqs!$A:$B,2,0),AS366,1),"")</f>
        <v>L</v>
      </c>
      <c r="AS366" s="9">
        <v>516</v>
      </c>
      <c r="AT366" s="9" t="str">
        <f>IFERROR(MID(VLOOKUP($B366,Seqs!$A:$B,2,0),AU366,1),"")</f>
        <v>W</v>
      </c>
      <c r="AU366" s="9">
        <v>537</v>
      </c>
      <c r="AV366" s="9" t="str">
        <f>IFERROR(MID(VLOOKUP($B366,Seqs!$A:$B,2,0),AW366,1),"")</f>
        <v>A</v>
      </c>
      <c r="AW366" s="9">
        <v>540</v>
      </c>
      <c r="AX366" s="9" t="str">
        <f>IFERROR(MID(VLOOKUP($B366,Seqs!$A:$B,2,0),AY366,1),"")</f>
        <v>L</v>
      </c>
      <c r="AY366" s="9">
        <v>552</v>
      </c>
      <c r="AZ366" s="135" t="str">
        <f>VLOOKUP(B366,Classification!A:D,2,0)</f>
        <v>F</v>
      </c>
      <c r="BA366" s="98" t="str">
        <f>VLOOKUP(B366,Classification!A:D,4,0)</f>
        <v>Frizzled</v>
      </c>
      <c r="BB366" s="136" t="b">
        <f>AND(E366&lt;G366,OR(G366&lt;I366,I366="-"),OR(I366&lt;K366,I366="-"),OR(K366&lt;M366,K366="-"),M366&lt;O366,OR(O366&lt;Q366,Q366="-"),OR(Q366&lt;S366,Q366="-"),OR(S366&lt;U366,S366="-"),U366&lt;W366,OR(W366&lt;Y366,Y366="-"),OR(Y366&lt;AA366,Y366="-"),OR(AA366&lt;AC366,AA366="-"),AC366&lt;AE366,OR(AE366&lt;AG366,AG366="-"),OR(AG366&lt;AI366,AG366="-"),OR(AI366&lt;AK366,AI366="-"),AK366&lt;AM366,AM366&lt;AO366,AO366&lt;AQ366,AQ366&lt;AS366,AS366&lt;AU366,OR(AU366&lt;AW366,AW366="-"),OR(AW366&lt;AY366,AW366="-"))</f>
        <v>1</v>
      </c>
      <c r="BC366" s="109">
        <f>_xlfn.AGGREGATE(9,6,CH366:CS366)-_xlfn.AGGREGATE(9,6,BV366:CG366)+12</f>
        <v>232</v>
      </c>
      <c r="BD366" s="124" t="s">
        <v>1376</v>
      </c>
      <c r="BE366" s="9" t="s">
        <v>1292</v>
      </c>
      <c r="BF366" s="120">
        <v>3.84</v>
      </c>
      <c r="BG366" s="51" t="s">
        <v>1423</v>
      </c>
      <c r="BH366" s="51" t="s">
        <v>1423</v>
      </c>
      <c r="BI366" s="9"/>
      <c r="BJ366" s="137" t="s">
        <v>1288</v>
      </c>
      <c r="BK366" s="112" t="s">
        <v>1288</v>
      </c>
      <c r="BL366" s="112" t="s">
        <v>1288</v>
      </c>
      <c r="BM366" s="112" t="s">
        <v>1288</v>
      </c>
      <c r="BN366" s="112" t="s">
        <v>1288</v>
      </c>
      <c r="BO366" s="112" t="s">
        <v>1288</v>
      </c>
      <c r="BP366" s="112" t="s">
        <v>1288</v>
      </c>
      <c r="BQ366" s="112" t="s">
        <v>1288</v>
      </c>
      <c r="BR366" s="112" t="s">
        <v>1288</v>
      </c>
      <c r="BS366" s="112" t="s">
        <v>1288</v>
      </c>
      <c r="BT366" s="112" t="s">
        <v>1288</v>
      </c>
      <c r="BU366" s="112" t="s">
        <v>1288</v>
      </c>
      <c r="BV366" s="137">
        <f>E366</f>
        <v>223</v>
      </c>
      <c r="BW366" s="113">
        <f>I366</f>
        <v>256</v>
      </c>
      <c r="BX366" s="114">
        <f>M366</f>
        <v>263</v>
      </c>
      <c r="BY366" s="113" t="str">
        <f>Q366</f>
        <v>-</v>
      </c>
      <c r="BZ366" s="114">
        <f>U366</f>
        <v>314</v>
      </c>
      <c r="CA366" s="113" t="str">
        <f>Y366</f>
        <v>-</v>
      </c>
      <c r="CB366" s="114">
        <f>AC366</f>
        <v>356</v>
      </c>
      <c r="CC366" s="113">
        <f>AG366</f>
        <v>390</v>
      </c>
      <c r="CD366" s="114">
        <f>AK366</f>
        <v>406</v>
      </c>
      <c r="CE366" s="113">
        <f>AO366</f>
        <v>438</v>
      </c>
      <c r="CF366" s="114">
        <f>AS366</f>
        <v>516</v>
      </c>
      <c r="CG366" s="113">
        <f>AW366</f>
        <v>540</v>
      </c>
      <c r="CH366" s="137">
        <f>G366</f>
        <v>255</v>
      </c>
      <c r="CI366" s="113">
        <f>K366</f>
        <v>260</v>
      </c>
      <c r="CJ366" s="114">
        <f>O366</f>
        <v>283</v>
      </c>
      <c r="CK366" s="114" t="str">
        <f>S366</f>
        <v>-</v>
      </c>
      <c r="CL366" s="114">
        <f>W366</f>
        <v>345</v>
      </c>
      <c r="CM366" s="114" t="str">
        <f>AA366</f>
        <v>-</v>
      </c>
      <c r="CN366" s="114">
        <f>AE366</f>
        <v>376</v>
      </c>
      <c r="CO366" s="114">
        <f>AI366</f>
        <v>392</v>
      </c>
      <c r="CP366" s="114">
        <f>AM366</f>
        <v>428</v>
      </c>
      <c r="CQ366" s="114">
        <f>AQ366</f>
        <v>494</v>
      </c>
      <c r="CR366" s="114">
        <f>AU366</f>
        <v>537</v>
      </c>
      <c r="CS366" s="114">
        <f>AY366</f>
        <v>552</v>
      </c>
      <c r="CT366" s="109">
        <f>M366-K366</f>
        <v>3</v>
      </c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/>
      <c r="DR366" s="9"/>
      <c r="DS366" s="9"/>
      <c r="DT366" s="9"/>
      <c r="DU366" s="9"/>
      <c r="DV366" s="9"/>
      <c r="DW366" s="9"/>
      <c r="DX366" s="9"/>
      <c r="DY366" s="9"/>
      <c r="DZ366" s="9"/>
      <c r="EA366" s="9"/>
      <c r="EB366" s="9"/>
      <c r="EC366" s="9"/>
      <c r="ED366" s="9"/>
      <c r="EE366" s="9"/>
      <c r="EF366" s="9"/>
      <c r="EG366" s="9"/>
      <c r="EH366" s="9"/>
      <c r="EI366" s="9"/>
      <c r="EJ366" s="9"/>
      <c r="EK366" s="9"/>
      <c r="EL366" s="9"/>
      <c r="EM366" s="9"/>
      <c r="EN366" s="9"/>
      <c r="EO366" s="9"/>
      <c r="EP366" s="9"/>
      <c r="EQ366" s="9"/>
      <c r="ER366" s="9"/>
      <c r="ES366" s="9"/>
      <c r="ET366" s="9"/>
      <c r="EU366" s="9"/>
      <c r="EV366" s="9"/>
      <c r="EW366" s="9"/>
      <c r="EX366" s="9"/>
      <c r="EY366" s="9"/>
      <c r="EZ366" s="9"/>
      <c r="FA366" s="9"/>
      <c r="FB366" s="9"/>
      <c r="FC366" s="9"/>
      <c r="FD366" s="9"/>
      <c r="FE366" s="9"/>
      <c r="FF366" s="9"/>
      <c r="FG366" s="9"/>
      <c r="FH366" s="9"/>
      <c r="FI366" s="9"/>
      <c r="FJ366" s="9"/>
      <c r="FK366" s="9"/>
      <c r="FL366" s="9"/>
      <c r="FM366" s="9"/>
      <c r="FN366" s="9"/>
      <c r="FO366" s="9"/>
      <c r="FP366" s="9"/>
      <c r="FQ366" s="9"/>
      <c r="FR366" s="9"/>
      <c r="FS366" s="9"/>
      <c r="FT366" s="9"/>
      <c r="FU366" s="9"/>
      <c r="FV366" s="9"/>
      <c r="FW366" s="9"/>
      <c r="FX366" s="9"/>
      <c r="FY366" s="9"/>
      <c r="FZ366" s="9"/>
      <c r="GA366" s="9"/>
      <c r="GB366" s="9"/>
      <c r="GC366" s="9"/>
      <c r="GD366" s="9"/>
      <c r="GE366" s="9"/>
      <c r="GF366" s="9"/>
      <c r="GG366" s="9"/>
      <c r="GH366" s="9"/>
      <c r="GI366" s="9"/>
      <c r="GJ366" s="9"/>
      <c r="GK366" s="9"/>
      <c r="GL366" s="9"/>
      <c r="GM366" s="9"/>
      <c r="GN366" s="9"/>
      <c r="GO366" s="9"/>
      <c r="GP366" s="9"/>
      <c r="GQ366" s="9"/>
      <c r="GR366" s="9"/>
      <c r="GS366" s="9"/>
      <c r="GT366" s="9"/>
      <c r="GU366" s="9"/>
      <c r="GV366" s="9"/>
      <c r="GW366" s="9"/>
      <c r="GX366" s="9"/>
      <c r="GY366" s="9"/>
      <c r="GZ366" s="9"/>
      <c r="HA366" s="9"/>
      <c r="HB366" s="9"/>
      <c r="HC366" s="9"/>
      <c r="HD366" s="9"/>
      <c r="HE366" s="9"/>
      <c r="HF366" s="9"/>
      <c r="HG366" s="9"/>
      <c r="HH366" s="9"/>
      <c r="HI366" s="9"/>
      <c r="HJ366" s="9"/>
      <c r="HK366" s="9"/>
      <c r="HL366" s="9"/>
      <c r="HM366" s="9"/>
      <c r="HN366" s="9"/>
      <c r="HO366" s="9"/>
      <c r="HP366" s="9"/>
      <c r="HQ366" s="9"/>
      <c r="HR366" s="9"/>
      <c r="HS366" s="9"/>
      <c r="HT366" s="9"/>
      <c r="HU366" s="9"/>
      <c r="HV366" s="9"/>
      <c r="HW366" s="9"/>
      <c r="HX366" s="9"/>
      <c r="HY366" s="9"/>
      <c r="HZ366" s="9"/>
      <c r="IA366" s="9"/>
      <c r="IB366" s="9"/>
      <c r="IC366" s="9"/>
      <c r="ID366" s="9"/>
      <c r="IE366" s="9"/>
      <c r="IF366" s="9"/>
      <c r="IG366" s="9"/>
      <c r="IH366" s="9"/>
      <c r="II366" s="9"/>
      <c r="IJ366" s="9"/>
      <c r="IK366" s="9"/>
      <c r="IL366" s="9"/>
      <c r="IM366" s="9"/>
      <c r="IN366" s="9"/>
      <c r="IO366" s="9"/>
      <c r="IP366" s="9"/>
      <c r="IQ366" s="9"/>
      <c r="IR366" s="9"/>
      <c r="IS366" s="9"/>
      <c r="IT366" s="9"/>
      <c r="IU366" s="9"/>
      <c r="IV366" s="9"/>
      <c r="IW366" s="9"/>
      <c r="IX366" s="9"/>
      <c r="IY366" s="9"/>
      <c r="IZ366" s="9"/>
      <c r="JA366" s="9"/>
      <c r="JB366" s="9"/>
      <c r="JC366" s="9"/>
      <c r="JD366" s="9"/>
      <c r="JE366" s="9"/>
      <c r="JF366" s="9"/>
      <c r="JG366" s="9"/>
      <c r="JH366" s="9"/>
      <c r="JI366" s="9"/>
      <c r="JJ366" s="9"/>
      <c r="JK366" s="9"/>
      <c r="JL366" s="9"/>
      <c r="JM366" s="9"/>
      <c r="JN366" s="9"/>
      <c r="JO366" s="9"/>
      <c r="JP366" s="9"/>
      <c r="JQ366" s="9"/>
      <c r="JR366" s="9"/>
      <c r="JS366" s="9"/>
      <c r="JT366" s="9"/>
      <c r="JU366" s="9"/>
      <c r="JV366" s="9"/>
      <c r="JW366" s="9"/>
      <c r="JX366" s="9"/>
      <c r="JY366" s="9"/>
      <c r="JZ366" s="9"/>
      <c r="KA366" s="9"/>
      <c r="KB366" s="9"/>
      <c r="KC366" s="9"/>
      <c r="KD366" s="9"/>
      <c r="KE366" s="9"/>
      <c r="KF366" s="9"/>
      <c r="KG366" s="9"/>
      <c r="KH366" s="9"/>
      <c r="KI366" s="9"/>
      <c r="KJ366" s="9"/>
      <c r="KK366" s="9"/>
      <c r="KL366" s="9"/>
      <c r="KM366" s="9"/>
      <c r="KN366" s="9"/>
      <c r="KO366" s="9"/>
      <c r="KP366" s="9"/>
      <c r="KQ366" s="9"/>
      <c r="KR366" s="9"/>
      <c r="KS366" s="9"/>
      <c r="KT366" s="9"/>
      <c r="KU366" s="9"/>
      <c r="KV366" s="9"/>
      <c r="KW366" s="9"/>
      <c r="KX366" s="9"/>
      <c r="KY366" s="9"/>
      <c r="KZ366" s="9"/>
      <c r="LA366" s="9"/>
      <c r="LB366" s="9"/>
      <c r="LC366" s="9"/>
      <c r="LD366" s="9"/>
      <c r="LE366" s="9"/>
      <c r="LF366" s="9"/>
      <c r="LG366" s="9"/>
      <c r="LH366" s="9"/>
      <c r="LI366" s="9"/>
      <c r="LJ366" s="9"/>
      <c r="LK366" s="9"/>
      <c r="LL366" s="9"/>
      <c r="LM366" s="9"/>
      <c r="LN366" s="9"/>
      <c r="LO366" s="9"/>
      <c r="LP366" s="9"/>
      <c r="LQ366" s="9"/>
      <c r="LR366" s="9"/>
      <c r="LS366" s="9"/>
      <c r="LT366" s="9"/>
      <c r="LU366" s="9"/>
      <c r="LV366" s="9"/>
      <c r="LW366" s="9"/>
      <c r="LX366" s="9"/>
      <c r="LY366" s="9"/>
      <c r="LZ366" s="9"/>
      <c r="MA366" s="9"/>
      <c r="MB366" s="9"/>
      <c r="MC366" s="9"/>
      <c r="MD366" s="9"/>
      <c r="ME366" s="9"/>
      <c r="MF366" s="9"/>
      <c r="MG366" s="9"/>
      <c r="MH366" s="9"/>
      <c r="MI366" s="9"/>
      <c r="MJ366" s="9"/>
      <c r="MK366" s="9"/>
      <c r="ML366" s="9"/>
      <c r="MM366" s="9"/>
      <c r="MN366" s="9"/>
      <c r="MO366" s="9"/>
      <c r="MP366" s="9"/>
      <c r="MQ366" s="9"/>
      <c r="MR366" s="9"/>
      <c r="MS366" s="9"/>
      <c r="MT366" s="9"/>
      <c r="MU366" s="9"/>
      <c r="MV366" s="9"/>
      <c r="MW366" s="9"/>
      <c r="MX366" s="9"/>
      <c r="MY366" s="9"/>
      <c r="MZ366" s="9"/>
      <c r="NA366" s="9"/>
      <c r="NB366" s="9"/>
      <c r="NC366" s="9"/>
      <c r="ND366" s="9"/>
      <c r="NE366" s="9"/>
      <c r="NF366" s="9"/>
      <c r="NG366" s="9"/>
      <c r="NH366" s="9"/>
      <c r="NI366" s="9"/>
      <c r="NJ366" s="9"/>
      <c r="NK366" s="9"/>
      <c r="NL366" s="9"/>
      <c r="NM366" s="9"/>
      <c r="NN366" s="9"/>
      <c r="NO366" s="9"/>
      <c r="NP366" s="9"/>
      <c r="NQ366" s="9"/>
      <c r="NR366" s="9"/>
      <c r="NS366" s="9"/>
      <c r="NT366" s="9"/>
      <c r="NU366" s="9"/>
      <c r="NV366" s="9"/>
      <c r="NW366" s="9"/>
      <c r="NX366" s="9"/>
      <c r="NY366" s="9"/>
      <c r="NZ366" s="9"/>
      <c r="OA366" s="9"/>
      <c r="OB366" s="9"/>
      <c r="OC366" s="9"/>
      <c r="OD366" s="9"/>
      <c r="OE366" s="9"/>
      <c r="OF366" s="9"/>
      <c r="OG366" s="9"/>
      <c r="OH366" s="9"/>
      <c r="OI366" s="9"/>
      <c r="OJ366" s="9"/>
      <c r="OK366" s="9"/>
      <c r="OL366" s="9"/>
      <c r="OM366" s="9"/>
      <c r="ON366" s="9"/>
      <c r="OO366" s="9"/>
      <c r="OP366" s="9"/>
      <c r="OQ366" s="9"/>
      <c r="OR366" s="9"/>
      <c r="OS366" s="9"/>
      <c r="OT366" s="9"/>
      <c r="OU366" s="9"/>
      <c r="OV366" s="9"/>
      <c r="OW366" s="9"/>
      <c r="OX366" s="9"/>
      <c r="OY366" s="9"/>
      <c r="OZ366" s="9"/>
      <c r="PA366" s="9"/>
      <c r="PB366" s="9"/>
      <c r="PC366" s="9"/>
      <c r="PD366" s="9"/>
      <c r="PE366" s="9"/>
      <c r="PF366" s="9"/>
      <c r="PG366" s="9"/>
      <c r="PH366" s="9"/>
      <c r="PI366" s="9"/>
      <c r="PJ366" s="9"/>
      <c r="PK366" s="9"/>
      <c r="PL366" s="9"/>
      <c r="PM366" s="9"/>
      <c r="PN366" s="9"/>
      <c r="PO366" s="9"/>
      <c r="PP366" s="9"/>
      <c r="PQ366" s="9"/>
      <c r="PR366" s="9"/>
      <c r="PS366" s="9"/>
      <c r="PT366" s="9"/>
      <c r="PU366" s="9"/>
      <c r="PV366" s="9"/>
      <c r="PW366" s="9"/>
      <c r="PX366" s="9"/>
      <c r="PY366" s="9"/>
      <c r="PZ366" s="9"/>
      <c r="QA366" s="9"/>
      <c r="QB366" s="9"/>
      <c r="QC366" s="9"/>
      <c r="QD366" s="9"/>
      <c r="QE366" s="9"/>
      <c r="QF366" s="9"/>
      <c r="QG366" s="9"/>
      <c r="QH366" s="9"/>
      <c r="QI366" s="9"/>
      <c r="QJ366" s="9"/>
      <c r="QK366" s="9"/>
      <c r="QL366" s="9"/>
      <c r="QM366" s="9"/>
      <c r="QN366" s="9"/>
      <c r="QO366" s="9"/>
      <c r="QP366" s="9"/>
      <c r="QQ366" s="9"/>
      <c r="QR366" s="9"/>
      <c r="QS366" s="9"/>
      <c r="QT366" s="9"/>
      <c r="QU366" s="9"/>
      <c r="QV366" s="9"/>
      <c r="QW366" s="9"/>
      <c r="QX366" s="9"/>
      <c r="QY366" s="9"/>
      <c r="QZ366" s="9"/>
      <c r="RA366" s="9"/>
      <c r="RB366" s="9"/>
      <c r="RC366" s="9"/>
      <c r="RD366" s="9"/>
      <c r="RE366" s="9"/>
      <c r="RF366" s="9"/>
      <c r="RG366" s="9"/>
      <c r="RH366" s="9"/>
      <c r="RI366" s="9"/>
      <c r="RJ366" s="9"/>
      <c r="RK366" s="9"/>
      <c r="RL366" s="9"/>
      <c r="RM366" s="9"/>
      <c r="RN366" s="9"/>
      <c r="RO366" s="9"/>
      <c r="RP366" s="9"/>
      <c r="RQ366" s="9"/>
      <c r="RR366" s="9"/>
      <c r="RS366" s="9"/>
      <c r="RT366" s="9"/>
      <c r="RU366" s="9"/>
      <c r="RV366" s="9"/>
      <c r="RW366" s="9"/>
      <c r="RX366" s="9"/>
      <c r="RY366" s="9"/>
      <c r="RZ366" s="9"/>
      <c r="SA366" s="9"/>
      <c r="SB366" s="9"/>
      <c r="SC366" s="9"/>
      <c r="SD366" s="9"/>
      <c r="SE366" s="9"/>
      <c r="SF366" s="9"/>
      <c r="SG366" s="9"/>
      <c r="SH366" s="9"/>
      <c r="SI366" s="9"/>
      <c r="SJ366" s="9"/>
      <c r="SK366" s="9"/>
      <c r="SL366" s="9"/>
      <c r="SM366" s="9"/>
      <c r="SN366" s="9"/>
      <c r="SO366" s="9"/>
      <c r="SP366" s="9"/>
      <c r="SQ366" s="9"/>
      <c r="SR366" s="9"/>
      <c r="SS366" s="9"/>
      <c r="ST366" s="9"/>
      <c r="SU366" s="9"/>
      <c r="SV366" s="9"/>
      <c r="SW366" s="9"/>
      <c r="SX366" s="9"/>
      <c r="SY366" s="9"/>
      <c r="SZ366" s="9"/>
      <c r="TA366" s="9"/>
      <c r="TB366" s="9"/>
      <c r="TC366" s="9"/>
      <c r="TD366" s="9"/>
      <c r="TE366" s="9"/>
      <c r="TF366" s="9"/>
      <c r="TG366" s="9"/>
      <c r="TH366" s="9"/>
      <c r="TI366" s="9"/>
      <c r="TJ366" s="9"/>
      <c r="TK366" s="9"/>
      <c r="TL366" s="9"/>
      <c r="TM366" s="9"/>
      <c r="TN366" s="9"/>
      <c r="TO366" s="9"/>
      <c r="TP366" s="9"/>
      <c r="TQ366" s="9"/>
      <c r="TR366" s="9"/>
      <c r="TS366" s="9"/>
      <c r="TT366" s="9"/>
      <c r="TU366" s="9"/>
      <c r="TV366" s="9"/>
      <c r="TW366" s="9"/>
      <c r="TX366" s="9"/>
      <c r="TY366" s="9"/>
      <c r="TZ366" s="9"/>
      <c r="UA366" s="9"/>
      <c r="UB366" s="9"/>
      <c r="UC366" s="9"/>
      <c r="UD366" s="9"/>
      <c r="UE366" s="9"/>
      <c r="UF366" s="9"/>
      <c r="UG366" s="9"/>
      <c r="UH366" s="9"/>
      <c r="UI366" s="9"/>
      <c r="UJ366" s="9"/>
      <c r="UK366" s="9"/>
      <c r="UL366" s="9"/>
      <c r="UM366" s="9"/>
      <c r="UN366" s="9"/>
      <c r="UO366" s="9"/>
      <c r="UP366" s="9"/>
      <c r="UQ366" s="9"/>
      <c r="UR366" s="9"/>
      <c r="US366" s="9"/>
      <c r="UT366" s="9"/>
      <c r="UU366" s="9"/>
      <c r="UV366" s="9"/>
      <c r="UW366" s="9"/>
      <c r="UX366" s="9"/>
      <c r="UY366" s="9"/>
      <c r="UZ366" s="9"/>
      <c r="VA366" s="9"/>
      <c r="VB366" s="9"/>
      <c r="VC366" s="9"/>
      <c r="VD366" s="9"/>
      <c r="VE366" s="9"/>
      <c r="VF366" s="9"/>
      <c r="VG366" s="9"/>
      <c r="VH366" s="9"/>
      <c r="VI366" s="9"/>
      <c r="VJ366" s="9"/>
      <c r="VK366" s="9"/>
      <c r="VL366" s="9"/>
      <c r="VM366" s="9"/>
      <c r="VN366" s="9"/>
      <c r="VO366" s="9"/>
      <c r="VP366" s="9"/>
      <c r="VQ366" s="9"/>
      <c r="VR366" s="9"/>
      <c r="VS366" s="9"/>
      <c r="VT366" s="9"/>
      <c r="VU366" s="9"/>
      <c r="VV366" s="9"/>
      <c r="VW366" s="9"/>
      <c r="VX366" s="9"/>
      <c r="VY366" s="9"/>
      <c r="VZ366" s="9"/>
      <c r="WA366" s="9"/>
      <c r="WB366" s="9"/>
      <c r="WC366" s="9"/>
      <c r="WD366" s="9"/>
      <c r="WE366" s="9"/>
      <c r="WF366" s="9"/>
      <c r="WG366" s="9"/>
      <c r="WH366" s="9"/>
      <c r="WI366" s="9"/>
      <c r="WJ366" s="9"/>
      <c r="WK366" s="9"/>
      <c r="WL366" s="9"/>
      <c r="WM366" s="9"/>
      <c r="WN366" s="9"/>
      <c r="WO366" s="9"/>
      <c r="WP366" s="9"/>
      <c r="WQ366" s="9"/>
      <c r="WR366" s="9"/>
      <c r="WS366" s="9"/>
      <c r="WT366" s="9"/>
      <c r="WU366" s="9"/>
      <c r="WV366" s="9"/>
      <c r="WW366" s="9"/>
      <c r="WX366" s="9"/>
      <c r="WY366" s="9"/>
      <c r="WZ366" s="9"/>
      <c r="XA366" s="9"/>
      <c r="XB366" s="9"/>
      <c r="XC366" s="9"/>
      <c r="XD366" s="9"/>
      <c r="XE366" s="9"/>
      <c r="XF366" s="9"/>
      <c r="XG366" s="9"/>
      <c r="XH366" s="9"/>
      <c r="XI366" s="9"/>
      <c r="XJ366" s="9"/>
      <c r="XK366" s="9"/>
      <c r="XL366" s="9"/>
      <c r="XM366" s="9"/>
      <c r="XN366" s="9"/>
      <c r="XO366" s="9"/>
      <c r="XP366" s="9"/>
      <c r="XQ366" s="9"/>
      <c r="XR366" s="9"/>
      <c r="XS366" s="9"/>
      <c r="XT366" s="9"/>
      <c r="XU366" s="9"/>
      <c r="XV366" s="9"/>
      <c r="XW366" s="9"/>
      <c r="XX366" s="9"/>
      <c r="XY366" s="9"/>
      <c r="XZ366" s="9"/>
      <c r="YA366" s="9"/>
      <c r="YB366" s="9"/>
      <c r="YC366" s="9"/>
      <c r="YD366" s="9"/>
      <c r="YE366" s="9"/>
      <c r="YF366" s="9"/>
      <c r="YG366" s="9"/>
      <c r="YH366" s="9"/>
      <c r="YI366" s="9"/>
      <c r="YJ366" s="9"/>
      <c r="YK366" s="9"/>
      <c r="YL366" s="9"/>
      <c r="YM366" s="9"/>
      <c r="YN366" s="9"/>
      <c r="YO366" s="9"/>
      <c r="YP366" s="9"/>
      <c r="YQ366" s="9"/>
      <c r="YR366" s="9"/>
      <c r="YS366" s="9"/>
      <c r="YT366" s="9"/>
      <c r="YU366" s="9"/>
      <c r="YV366" s="9"/>
      <c r="YW366" s="9"/>
      <c r="YX366" s="9"/>
      <c r="YY366" s="9"/>
      <c r="YZ366" s="9"/>
      <c r="ZA366" s="9"/>
      <c r="ZB366" s="9"/>
      <c r="ZC366" s="9"/>
      <c r="ZD366" s="9"/>
      <c r="ZE366" s="9"/>
      <c r="ZF366" s="9"/>
      <c r="ZG366" s="9"/>
      <c r="ZH366" s="9"/>
      <c r="ZI366" s="9"/>
      <c r="ZJ366" s="9"/>
      <c r="ZK366" s="9"/>
      <c r="ZL366" s="9"/>
      <c r="ZM366" s="9"/>
      <c r="ZN366" s="9"/>
      <c r="ZO366" s="9"/>
      <c r="ZP366" s="9"/>
      <c r="ZQ366" s="9"/>
      <c r="ZR366" s="9"/>
      <c r="ZS366" s="9"/>
      <c r="ZT366" s="9"/>
      <c r="ZU366" s="9"/>
      <c r="ZV366" s="9"/>
      <c r="ZW366" s="9"/>
      <c r="ZX366" s="9"/>
      <c r="ZY366" s="9"/>
      <c r="ZZ366" s="9"/>
      <c r="AAA366" s="9"/>
      <c r="AAB366" s="9"/>
      <c r="AAC366" s="9"/>
      <c r="AAD366" s="9"/>
      <c r="AAE366" s="9"/>
      <c r="AAF366" s="9"/>
      <c r="AAG366" s="9"/>
      <c r="AAH366" s="9"/>
      <c r="AAI366" s="9"/>
      <c r="AAJ366" s="9"/>
      <c r="AAK366" s="9"/>
      <c r="AAL366" s="9"/>
      <c r="AAM366" s="9"/>
      <c r="AAN366" s="9"/>
      <c r="AAO366" s="9"/>
      <c r="AAP366" s="9"/>
      <c r="AAQ366" s="9"/>
      <c r="AAR366" s="9"/>
      <c r="AAS366" s="9"/>
      <c r="AAT366" s="9"/>
      <c r="AAU366" s="9"/>
      <c r="AAV366" s="9"/>
      <c r="AAW366" s="9"/>
      <c r="AAX366" s="9"/>
      <c r="AAY366" s="9"/>
      <c r="AAZ366" s="9"/>
      <c r="ABA366" s="9"/>
      <c r="ABB366" s="9"/>
      <c r="ABC366" s="9"/>
      <c r="ABD366" s="9"/>
      <c r="ABE366" s="9"/>
      <c r="ABF366" s="9"/>
      <c r="ABG366" s="9"/>
      <c r="ABH366" s="9"/>
      <c r="ABI366" s="9"/>
      <c r="ABJ366" s="9"/>
      <c r="ABK366" s="9"/>
      <c r="ABL366" s="9"/>
      <c r="ABM366" s="9"/>
      <c r="ABN366" s="9"/>
      <c r="ABO366" s="9"/>
      <c r="ABP366" s="9"/>
      <c r="ABQ366" s="9"/>
      <c r="ABR366" s="9"/>
      <c r="ABS366" s="9"/>
      <c r="ABT366" s="9"/>
      <c r="ABU366" s="9"/>
      <c r="ABV366" s="9"/>
      <c r="ABW366" s="9"/>
      <c r="ABX366" s="9"/>
      <c r="ABY366" s="9"/>
      <c r="ABZ366" s="9"/>
      <c r="ACA366" s="9"/>
      <c r="ACB366" s="9"/>
      <c r="ACC366" s="9"/>
      <c r="ACD366" s="9"/>
      <c r="ACE366" s="9"/>
      <c r="ACF366" s="9"/>
      <c r="ACG366" s="9"/>
      <c r="ACH366" s="9"/>
      <c r="ACI366" s="9"/>
      <c r="ACJ366" s="9"/>
      <c r="ACK366" s="9"/>
      <c r="ACL366" s="9"/>
      <c r="ACM366" s="9"/>
      <c r="ACN366" s="9"/>
      <c r="ACO366" s="9"/>
      <c r="ACP366" s="9"/>
      <c r="ACQ366" s="9"/>
      <c r="ACR366" s="9"/>
      <c r="ACS366" s="9"/>
      <c r="ACT366" s="9"/>
      <c r="ACU366" s="9"/>
      <c r="ACV366" s="9"/>
      <c r="ACW366" s="9"/>
      <c r="ACX366" s="9"/>
      <c r="ACY366" s="9"/>
      <c r="ACZ366" s="9"/>
      <c r="ADA366" s="9"/>
      <c r="ADB366" s="9"/>
      <c r="ADC366" s="9"/>
      <c r="ADD366" s="9"/>
      <c r="ADE366" s="9"/>
      <c r="ADF366" s="9"/>
      <c r="ADG366" s="9"/>
      <c r="ADH366" s="9"/>
      <c r="ADI366" s="9"/>
      <c r="ADJ366" s="9"/>
      <c r="ADK366" s="9"/>
      <c r="ADL366" s="9"/>
      <c r="ADM366" s="9"/>
      <c r="ADN366" s="9"/>
      <c r="ADO366" s="9"/>
      <c r="ADP366" s="9"/>
      <c r="ADQ366" s="9"/>
      <c r="ADR366" s="9"/>
      <c r="ADS366" s="9"/>
      <c r="ADT366" s="9"/>
      <c r="ADU366" s="9"/>
      <c r="ADV366" s="9"/>
      <c r="ADW366" s="9"/>
      <c r="ADX366" s="9"/>
      <c r="ADY366" s="9"/>
      <c r="ADZ366" s="9"/>
      <c r="AEA366" s="9"/>
      <c r="AEB366" s="9"/>
      <c r="AEC366" s="9"/>
      <c r="AED366" s="9"/>
      <c r="AEE366" s="9"/>
      <c r="AEF366" s="9"/>
      <c r="AEG366" s="9"/>
      <c r="AEH366" s="9"/>
      <c r="AEI366" s="9"/>
      <c r="AEJ366" s="9"/>
      <c r="AEK366" s="9"/>
      <c r="AEL366" s="9"/>
      <c r="AEM366" s="9"/>
      <c r="AEN366" s="9"/>
      <c r="AEO366" s="9"/>
      <c r="AEP366" s="9"/>
      <c r="AEQ366" s="9"/>
      <c r="AER366" s="9"/>
      <c r="AES366" s="9"/>
      <c r="AET366" s="9"/>
      <c r="AEU366" s="9"/>
      <c r="AEV366" s="9"/>
      <c r="AEW366" s="9"/>
      <c r="AEX366" s="9"/>
      <c r="AEY366" s="9"/>
      <c r="AEZ366" s="9"/>
      <c r="AFA366" s="9"/>
      <c r="AFB366" s="9"/>
      <c r="AFC366" s="9"/>
      <c r="AFD366" s="9"/>
      <c r="AFE366" s="9"/>
      <c r="AFF366" s="9"/>
      <c r="AFG366" s="9"/>
      <c r="AFH366" s="9"/>
      <c r="AFI366" s="9"/>
      <c r="AFJ366" s="9"/>
      <c r="AFK366" s="9"/>
      <c r="AFL366" s="9"/>
      <c r="AFM366" s="9"/>
      <c r="AFN366" s="9"/>
      <c r="AFO366" s="9"/>
      <c r="AFP366" s="9"/>
      <c r="AFQ366" s="9"/>
      <c r="AFR366" s="9"/>
      <c r="AFS366" s="9"/>
      <c r="AFT366" s="9"/>
      <c r="AFU366" s="9"/>
      <c r="AFV366" s="9"/>
      <c r="AFW366" s="9"/>
      <c r="AFX366" s="9"/>
      <c r="AFY366" s="9"/>
      <c r="AFZ366" s="9"/>
      <c r="AGA366" s="9"/>
      <c r="AGB366" s="9"/>
      <c r="AGC366" s="9"/>
      <c r="AGD366" s="9"/>
      <c r="AGE366" s="9"/>
      <c r="AGF366" s="9"/>
      <c r="AGG366" s="9"/>
      <c r="AGH366" s="9"/>
      <c r="AGI366" s="9"/>
      <c r="AGJ366" s="9"/>
      <c r="AGK366" s="9"/>
      <c r="AGL366" s="9"/>
      <c r="AGM366" s="9"/>
      <c r="AGN366" s="9"/>
      <c r="AGO366" s="9"/>
      <c r="AGP366" s="9"/>
      <c r="AGQ366" s="9"/>
      <c r="AGR366" s="9"/>
      <c r="AGS366" s="9"/>
      <c r="AGT366" s="9"/>
      <c r="AGU366" s="9"/>
      <c r="AGV366" s="9"/>
      <c r="AGW366" s="9"/>
      <c r="AGX366" s="9"/>
      <c r="AGY366" s="9"/>
      <c r="AGZ366" s="9"/>
      <c r="AHA366" s="9"/>
      <c r="AHB366" s="9"/>
      <c r="AHC366" s="9"/>
      <c r="AHD366" s="9"/>
      <c r="AHE366" s="9"/>
      <c r="AHF366" s="9"/>
      <c r="AHG366" s="9"/>
      <c r="AHH366" s="9"/>
      <c r="AHI366" s="9"/>
      <c r="AHJ366" s="9"/>
      <c r="AHK366" s="9"/>
      <c r="AHL366" s="9"/>
      <c r="AHM366" s="9"/>
      <c r="AHN366" s="9"/>
      <c r="AHO366" s="9"/>
      <c r="AHP366" s="9"/>
      <c r="AHQ366" s="9"/>
      <c r="AHR366" s="9"/>
      <c r="AHS366" s="9"/>
      <c r="AHT366" s="9"/>
      <c r="AHU366" s="9"/>
      <c r="AHV366" s="9"/>
      <c r="AHW366" s="9"/>
      <c r="AHX366" s="9"/>
      <c r="AHY366" s="9"/>
      <c r="AHZ366" s="9"/>
      <c r="AIA366" s="9"/>
      <c r="AIB366" s="9"/>
      <c r="AIC366" s="9"/>
      <c r="AID366" s="9"/>
      <c r="AIE366" s="9"/>
      <c r="AIF366" s="9"/>
      <c r="AIG366" s="9"/>
      <c r="AIH366" s="9"/>
      <c r="AII366" s="9"/>
      <c r="AIJ366" s="9"/>
      <c r="AIK366" s="9"/>
      <c r="AIL366" s="9"/>
      <c r="AIM366" s="9"/>
      <c r="AIN366" s="9"/>
      <c r="AIO366" s="9"/>
      <c r="AIP366" s="9"/>
      <c r="AIQ366" s="9"/>
      <c r="AIR366" s="9"/>
      <c r="AIS366" s="9"/>
      <c r="AIT366" s="9"/>
      <c r="AIU366" s="9"/>
      <c r="AIV366" s="9"/>
      <c r="AIW366" s="9"/>
      <c r="AIX366" s="9"/>
      <c r="AIY366" s="9"/>
      <c r="AIZ366" s="9"/>
      <c r="AJA366" s="9"/>
      <c r="AJB366" s="9"/>
      <c r="AJC366" s="9"/>
      <c r="AJD366" s="9"/>
      <c r="AJE366" s="9"/>
      <c r="AJF366" s="9"/>
      <c r="AJG366" s="9"/>
      <c r="AJH366" s="9"/>
      <c r="AJI366" s="9"/>
      <c r="AJJ366" s="9"/>
      <c r="AJK366" s="9"/>
      <c r="AJL366" s="9"/>
      <c r="AJM366" s="9"/>
      <c r="AJN366" s="9"/>
      <c r="AJO366" s="9"/>
      <c r="AJP366" s="9"/>
      <c r="AJQ366" s="9"/>
      <c r="AJR366" s="9"/>
      <c r="AJS366" s="9"/>
      <c r="AJT366" s="9"/>
      <c r="AJU366" s="9"/>
      <c r="AJV366" s="9"/>
      <c r="AJW366" s="9"/>
      <c r="AJX366" s="9"/>
      <c r="AJY366" s="9"/>
      <c r="AJZ366" s="9"/>
      <c r="AKA366" s="9"/>
      <c r="AKB366" s="9"/>
      <c r="AKC366" s="9"/>
      <c r="AKD366" s="9"/>
      <c r="AKE366" s="9"/>
      <c r="AKF366" s="9"/>
      <c r="AKG366" s="9"/>
      <c r="AKH366" s="9"/>
      <c r="AKI366" s="9"/>
      <c r="AKJ366" s="9"/>
      <c r="AKK366" s="9"/>
      <c r="AKL366" s="9"/>
      <c r="AKM366" s="9"/>
      <c r="AKN366" s="9"/>
      <c r="AKO366" s="9"/>
      <c r="AKP366" s="9"/>
      <c r="AKQ366" s="9"/>
      <c r="AKR366" s="9"/>
      <c r="AKS366" s="9"/>
      <c r="AKT366" s="9"/>
      <c r="AKU366" s="9"/>
      <c r="AKV366" s="9"/>
      <c r="AKW366" s="9"/>
      <c r="AKX366" s="9"/>
      <c r="AKY366" s="9"/>
      <c r="AKZ366" s="9"/>
      <c r="ALA366" s="9"/>
      <c r="ALB366" s="9"/>
      <c r="ALC366" s="9"/>
      <c r="ALD366" s="9"/>
      <c r="ALE366" s="9"/>
      <c r="ALF366" s="9"/>
      <c r="ALG366" s="9"/>
      <c r="ALH366" s="9"/>
      <c r="ALI366" s="9"/>
      <c r="ALJ366" s="9"/>
      <c r="ALK366" s="9"/>
      <c r="ALL366" s="9"/>
      <c r="ALM366" s="9"/>
      <c r="ALN366" s="9"/>
      <c r="ALO366" s="9"/>
      <c r="ALP366" s="9"/>
      <c r="ALQ366" s="9"/>
      <c r="ALR366" s="9"/>
      <c r="ALS366" s="9"/>
      <c r="ALT366" s="9"/>
      <c r="ALU366" s="9"/>
      <c r="ALV366" s="9"/>
      <c r="ALW366" s="9"/>
      <c r="ALX366" s="9"/>
      <c r="ALY366" s="9"/>
      <c r="ALZ366" s="9"/>
      <c r="AMA366" s="9"/>
      <c r="AMB366" s="9"/>
      <c r="AMC366" s="9"/>
      <c r="AMD366" s="9"/>
      <c r="AME366" s="9"/>
      <c r="AMF366" s="9"/>
      <c r="AMG366" s="9"/>
      <c r="AMH366" s="9"/>
      <c r="AMI366" s="9"/>
      <c r="AMJ366" s="9"/>
      <c r="AMK366" s="9"/>
      <c r="AML366" s="9"/>
      <c r="AMM366" s="9"/>
      <c r="AMN366" s="9"/>
      <c r="AMO366" s="9"/>
    </row>
    <row r="367" spans="1:1030" x14ac:dyDescent="0.2">
      <c r="A367" s="3" t="str">
        <f>CONCATENATE(B367,"_",C367)</f>
        <v>q98sw5_xenla__wt</v>
      </c>
      <c r="B367" s="3" t="s">
        <v>1496</v>
      </c>
      <c r="C367" s="3" t="s">
        <v>100</v>
      </c>
      <c r="D367" s="3" t="str">
        <f>IFERROR(MID(VLOOKUP($B367,Seqs!$A:$B,2,0),E367,1),"")</f>
        <v>T</v>
      </c>
      <c r="E367" s="3">
        <v>196</v>
      </c>
      <c r="F367" s="3" t="str">
        <f>IFERROR(MID(VLOOKUP($B367,Seqs!$A:$B,2,0),G367,1),"")</f>
        <v>D</v>
      </c>
      <c r="G367" s="3">
        <v>228</v>
      </c>
      <c r="H367" s="3" t="str">
        <f>IFERROR(MID(VLOOKUP($B367,Seqs!$A:$B,2,0),I367,1),"")</f>
        <v>W</v>
      </c>
      <c r="I367" s="23">
        <v>229</v>
      </c>
      <c r="J367" s="3" t="str">
        <f>IFERROR(MID(VLOOKUP($B367,Seqs!$A:$B,2,0),K367,1),"")</f>
        <v>N</v>
      </c>
      <c r="K367" s="23">
        <v>233</v>
      </c>
      <c r="L367" s="3" t="str">
        <f>IFERROR(MID(VLOOKUP($B367,Seqs!$A:$B,2,0),M367,1),"")</f>
        <v>R</v>
      </c>
      <c r="M367" s="3">
        <v>234</v>
      </c>
      <c r="N367" s="3" t="str">
        <f>IFERROR(MID(VLOOKUP($B367,Seqs!$A:$B,2,0),O367,1),"")</f>
        <v>A</v>
      </c>
      <c r="O367" s="3">
        <v>256</v>
      </c>
      <c r="P367" s="3" t="str">
        <f>IFERROR(MID(VLOOKUP($B367,Seqs!$A:$B,2,0),Q367,1),"")</f>
        <v/>
      </c>
      <c r="Q367" s="3" t="s">
        <v>23</v>
      </c>
      <c r="R367" s="3" t="str">
        <f>IFERROR(MID(VLOOKUP($B367,Seqs!$A:$B,2,0),S367,1),"")</f>
        <v/>
      </c>
      <c r="S367" s="3" t="s">
        <v>23</v>
      </c>
      <c r="T367" s="3" t="str">
        <f>IFERROR(MID(VLOOKUP($B367,Seqs!$A:$B,2,0),U367,1),"")</f>
        <v>L</v>
      </c>
      <c r="U367" s="3">
        <v>285</v>
      </c>
      <c r="V367" s="3" t="str">
        <f>IFERROR(MID(VLOOKUP($B367,Seqs!$A:$B,2,0),W367,1),"")</f>
        <v>T</v>
      </c>
      <c r="W367" s="3">
        <v>321</v>
      </c>
      <c r="X367" s="3" t="str">
        <f>IFERROR(MID(VLOOKUP($B367,Seqs!$A:$B,2,0),Y367,1),"")</f>
        <v/>
      </c>
      <c r="Y367" s="3" t="s">
        <v>23</v>
      </c>
      <c r="Z367" s="3" t="str">
        <f>IFERROR(MID(VLOOKUP($B367,Seqs!$A:$B,2,0),AA367,1),"")</f>
        <v/>
      </c>
      <c r="AA367" s="3" t="s">
        <v>23</v>
      </c>
      <c r="AB367" s="3" t="str">
        <f>IFERROR(MID(VLOOKUP($B367,Seqs!$A:$B,2,0),AC367,1),"")</f>
        <v>L</v>
      </c>
      <c r="AC367" s="3">
        <v>326</v>
      </c>
      <c r="AD367" s="3" t="str">
        <f>IFERROR(MID(VLOOKUP($B367,Seqs!$A:$B,2,0),AE367,1),"")</f>
        <v>V</v>
      </c>
      <c r="AE367" s="3">
        <v>351</v>
      </c>
      <c r="AF367" s="3" t="str">
        <f>IFERROR(MID(VLOOKUP($B367,Seqs!$A:$B,2,0),AG367,1),"")</f>
        <v>C</v>
      </c>
      <c r="AG367" s="3">
        <v>363</v>
      </c>
      <c r="AH367" s="3" t="str">
        <f>IFERROR(MID(VLOOKUP($B367,Seqs!$A:$B,2,0),AI367,1),"")</f>
        <v>V</v>
      </c>
      <c r="AI367" s="3">
        <v>365</v>
      </c>
      <c r="AJ367" s="3" t="str">
        <f>IFERROR(MID(VLOOKUP($B367,Seqs!$A:$B,2,0),AK367,1),"")</f>
        <v>N</v>
      </c>
      <c r="AK367" s="3">
        <v>369</v>
      </c>
      <c r="AL367" s="3" t="str">
        <f>IFERROR(MID(VLOOKUP($B367,Seqs!$A:$B,2,0),AM367,1),"")</f>
        <v>H</v>
      </c>
      <c r="AM367" s="3">
        <v>406</v>
      </c>
      <c r="AN367" s="3" t="str">
        <f>IFERROR(MID(VLOOKUP($B367,Seqs!$A:$B,2,0),AO367,1),"")</f>
        <v>A</v>
      </c>
      <c r="AO367" s="3">
        <v>415</v>
      </c>
      <c r="AP367" s="3" t="str">
        <f>IFERROR(MID(VLOOKUP($B367,Seqs!$A:$B,2,0),AQ367,1),"")</f>
        <v>Q</v>
      </c>
      <c r="AQ367" s="3">
        <v>472</v>
      </c>
      <c r="AR367" s="3" t="str">
        <f>IFERROR(MID(VLOOKUP($B367,Seqs!$A:$B,2,0),AS367,1),"")</f>
        <v>S</v>
      </c>
      <c r="AS367" s="3">
        <v>487</v>
      </c>
      <c r="AT367" s="3" t="str">
        <f>IFERROR(MID(VLOOKUP($B367,Seqs!$A:$B,2,0),AU367,1),"")</f>
        <v>W</v>
      </c>
      <c r="AU367" s="3">
        <v>510</v>
      </c>
      <c r="AV367" s="3" t="str">
        <f>IFERROR(MID(VLOOKUP($B367,Seqs!$A:$B,2,0),AW367,1),"")</f>
        <v>T</v>
      </c>
      <c r="AW367" s="3">
        <v>511</v>
      </c>
      <c r="AX367" s="3" t="str">
        <f>IFERROR(MID(VLOOKUP($B367,Seqs!$A:$B,2,0),AY367,1),"")</f>
        <v>L</v>
      </c>
      <c r="AY367" s="3">
        <v>526</v>
      </c>
      <c r="AZ367" s="78" t="str">
        <f>VLOOKUP(B367,Classification!A:D,2,0)</f>
        <v>F</v>
      </c>
      <c r="BA367" s="94" t="str">
        <f>VLOOKUP(B367,Classification!A:D,4,0)</f>
        <v>Frizzled</v>
      </c>
      <c r="BB367" s="92" t="b">
        <f>AND(E367&lt;G367,OR(G367&lt;I367,I367="-"),OR(I367&lt;K367,I367="-"),OR(K367&lt;M367,K367="-"),M367&lt;O367,OR(O367&lt;Q367,Q367="-"),OR(Q367&lt;S367,Q367="-"),OR(S367&lt;U367,S367="-"),U367&lt;W367,OR(W367&lt;Y367,Y367="-"),OR(Y367&lt;AA367,Y367="-"),OR(AA367&lt;AC367,AA367="-"),AC367&lt;AE367,OR(AE367&lt;AG367,AG367="-"),OR(AG367&lt;AI367,AG367="-"),OR(AI367&lt;AK367,AI367="-"),AK367&lt;AM367,AM367&lt;AO367,AO367&lt;AQ367,AQ367&lt;AS367,AS367&lt;AU367,OR(AU367&lt;AW367,AW367="-"),OR(AW367&lt;AY367,AW367="-"))</f>
        <v>1</v>
      </c>
      <c r="BC367" s="23">
        <f>_xlfn.AGGREGATE(9,6,CH367:CS367)-_xlfn.AGGREGATE(9,6,BV367:CG367)+12</f>
        <v>265</v>
      </c>
      <c r="BD367" s="74" t="s">
        <v>23</v>
      </c>
      <c r="BE367" s="3" t="s">
        <v>1375</v>
      </c>
      <c r="BF367" s="119" t="s">
        <v>23</v>
      </c>
      <c r="BG367" s="49" t="s">
        <v>1</v>
      </c>
      <c r="BH367" s="49" t="s">
        <v>1</v>
      </c>
      <c r="BJ367" s="75" t="s">
        <v>1288</v>
      </c>
      <c r="BK367" s="57" t="s">
        <v>1288</v>
      </c>
      <c r="BL367" s="57" t="s">
        <v>1288</v>
      </c>
      <c r="BM367" s="57" t="s">
        <v>1288</v>
      </c>
      <c r="BN367" s="57" t="s">
        <v>1288</v>
      </c>
      <c r="BO367" s="57" t="s">
        <v>1288</v>
      </c>
      <c r="BP367" s="57" t="s">
        <v>1288</v>
      </c>
      <c r="BQ367" s="57" t="s">
        <v>1288</v>
      </c>
      <c r="BR367" s="57" t="s">
        <v>1288</v>
      </c>
      <c r="BS367" s="57" t="s">
        <v>1288</v>
      </c>
      <c r="BT367" s="57" t="s">
        <v>1288</v>
      </c>
      <c r="BU367" s="57" t="s">
        <v>1288</v>
      </c>
      <c r="BV367" s="75">
        <f>E367</f>
        <v>196</v>
      </c>
      <c r="BW367" s="71">
        <f>I367</f>
        <v>229</v>
      </c>
      <c r="BX367" s="72">
        <f>M367</f>
        <v>234</v>
      </c>
      <c r="BY367" s="71" t="str">
        <f>Q367</f>
        <v>-</v>
      </c>
      <c r="BZ367" s="72">
        <f>U367</f>
        <v>285</v>
      </c>
      <c r="CA367" s="71" t="str">
        <f>Y367</f>
        <v>-</v>
      </c>
      <c r="CB367" s="72">
        <f>AC367</f>
        <v>326</v>
      </c>
      <c r="CC367" s="71">
        <f>AG367</f>
        <v>363</v>
      </c>
      <c r="CD367" s="72">
        <f>AK367</f>
        <v>369</v>
      </c>
      <c r="CE367" s="71">
        <f>AO367</f>
        <v>415</v>
      </c>
      <c r="CF367" s="72">
        <f>AS367</f>
        <v>487</v>
      </c>
      <c r="CG367" s="71">
        <f>AW367</f>
        <v>511</v>
      </c>
      <c r="CH367" s="75">
        <f>G367</f>
        <v>228</v>
      </c>
      <c r="CI367" s="71">
        <f>K367</f>
        <v>233</v>
      </c>
      <c r="CJ367" s="72">
        <f>O367</f>
        <v>256</v>
      </c>
      <c r="CK367" s="72" t="str">
        <f>S367</f>
        <v>-</v>
      </c>
      <c r="CL367" s="72">
        <f>W367</f>
        <v>321</v>
      </c>
      <c r="CM367" s="72" t="str">
        <f>AA367</f>
        <v>-</v>
      </c>
      <c r="CN367" s="72">
        <f>AE367</f>
        <v>351</v>
      </c>
      <c r="CO367" s="72">
        <f>AI367</f>
        <v>365</v>
      </c>
      <c r="CP367" s="72">
        <f>AM367</f>
        <v>406</v>
      </c>
      <c r="CQ367" s="72">
        <f>AQ367</f>
        <v>472</v>
      </c>
      <c r="CR367" s="72">
        <f>AU367</f>
        <v>510</v>
      </c>
      <c r="CS367" s="72">
        <f>AY367</f>
        <v>526</v>
      </c>
      <c r="CT367" s="23">
        <f>M367-K367</f>
        <v>1</v>
      </c>
    </row>
    <row r="368" spans="1:1030" x14ac:dyDescent="0.2">
      <c r="A368" s="3" t="str">
        <f>CONCATENATE(B368,"_",C368)</f>
        <v>q98sw5_xenla_6D32</v>
      </c>
      <c r="B368" s="3" t="s">
        <v>1496</v>
      </c>
      <c r="C368" s="3" t="s">
        <v>1495</v>
      </c>
      <c r="D368" s="3" t="str">
        <f>IFERROR(MID(VLOOKUP($B368,Seqs!$A:$B,2,0),E368,1),"")</f>
        <v>T</v>
      </c>
      <c r="E368" s="3">
        <v>196</v>
      </c>
      <c r="F368" s="3" t="str">
        <f>IFERROR(MID(VLOOKUP($B368,Seqs!$A:$B,2,0),G368,1),"")</f>
        <v>D</v>
      </c>
      <c r="G368" s="3">
        <v>228</v>
      </c>
      <c r="H368" s="3" t="str">
        <f>IFERROR(MID(VLOOKUP($B368,Seqs!$A:$B,2,0),I368,1),"")</f>
        <v>W</v>
      </c>
      <c r="I368" s="23">
        <v>229</v>
      </c>
      <c r="J368" s="3" t="str">
        <f>IFERROR(MID(VLOOKUP($B368,Seqs!$A:$B,2,0),K368,1),"")</f>
        <v>N</v>
      </c>
      <c r="K368" s="23">
        <v>233</v>
      </c>
      <c r="L368" s="3" t="str">
        <f>IFERROR(MID(VLOOKUP($B368,Seqs!$A:$B,2,0),M368,1),"")</f>
        <v>R</v>
      </c>
      <c r="M368" s="3">
        <v>234</v>
      </c>
      <c r="N368" s="3" t="str">
        <f>IFERROR(MID(VLOOKUP($B368,Seqs!$A:$B,2,0),O368,1),"")</f>
        <v>A</v>
      </c>
      <c r="O368" s="3">
        <v>256</v>
      </c>
      <c r="P368" s="3" t="str">
        <f>IFERROR(MID(VLOOKUP($B368,Seqs!$A:$B,2,0),Q368,1),"")</f>
        <v/>
      </c>
      <c r="Q368" s="3" t="s">
        <v>23</v>
      </c>
      <c r="R368" s="3" t="str">
        <f>IFERROR(MID(VLOOKUP($B368,Seqs!$A:$B,2,0),S368,1),"")</f>
        <v/>
      </c>
      <c r="S368" s="3" t="s">
        <v>23</v>
      </c>
      <c r="T368" s="3" t="str">
        <f>IFERROR(MID(VLOOKUP($B368,Seqs!$A:$B,2,0),U368,1),"")</f>
        <v>L</v>
      </c>
      <c r="U368" s="3">
        <v>285</v>
      </c>
      <c r="V368" s="3" t="str">
        <f>IFERROR(MID(VLOOKUP($B368,Seqs!$A:$B,2,0),W368,1),"")</f>
        <v>K</v>
      </c>
      <c r="W368" s="3">
        <v>317</v>
      </c>
      <c r="X368" s="3" t="str">
        <f>IFERROR(MID(VLOOKUP($B368,Seqs!$A:$B,2,0),Y368,1),"")</f>
        <v/>
      </c>
      <c r="Y368" s="3" t="s">
        <v>23</v>
      </c>
      <c r="Z368" s="3" t="str">
        <f>IFERROR(MID(VLOOKUP($B368,Seqs!$A:$B,2,0),AA368,1),"")</f>
        <v/>
      </c>
      <c r="AA368" s="3" t="s">
        <v>23</v>
      </c>
      <c r="AB368" s="3" t="str">
        <f>IFERROR(MID(VLOOKUP($B368,Seqs!$A:$B,2,0),AC368,1),"")</f>
        <v>K</v>
      </c>
      <c r="AC368" s="3">
        <v>329</v>
      </c>
      <c r="AD368" s="3" t="str">
        <f>IFERROR(MID(VLOOKUP($B368,Seqs!$A:$B,2,0),AE368,1),"")</f>
        <v>V</v>
      </c>
      <c r="AE368" s="3">
        <v>351</v>
      </c>
      <c r="AF368" s="3" t="str">
        <f>IFERROR(MID(VLOOKUP($B368,Seqs!$A:$B,2,0),AG368,1),"")</f>
        <v>C</v>
      </c>
      <c r="AG368" s="3">
        <v>363</v>
      </c>
      <c r="AH368" s="3" t="str">
        <f>IFERROR(MID(VLOOKUP($B368,Seqs!$A:$B,2,0),AI368,1),"")</f>
        <v>V</v>
      </c>
      <c r="AI368" s="3">
        <v>365</v>
      </c>
      <c r="AJ368" s="3" t="str">
        <f>IFERROR(MID(VLOOKUP($B368,Seqs!$A:$B,2,0),AK368,1),"")</f>
        <v>N</v>
      </c>
      <c r="AK368" s="3">
        <v>369</v>
      </c>
      <c r="AL368" s="3" t="str">
        <f>IFERROR(MID(VLOOKUP($B368,Seqs!$A:$B,2,0),AM368,1),"")</f>
        <v>S</v>
      </c>
      <c r="AM368" s="3">
        <v>401</v>
      </c>
      <c r="AN368" s="3" t="str">
        <f>IFERROR(MID(VLOOKUP($B368,Seqs!$A:$B,2,0),AO368,1),"")</f>
        <v>S</v>
      </c>
      <c r="AO368" s="3">
        <v>416</v>
      </c>
      <c r="AP368" s="3" t="str">
        <f>IFERROR(MID(VLOOKUP($B368,Seqs!$A:$B,2,0),AQ368,1),"")</f>
        <v>Q</v>
      </c>
      <c r="AQ368" s="3">
        <v>472</v>
      </c>
      <c r="AR368" s="3" t="str">
        <f>IFERROR(MID(VLOOKUP($B368,Seqs!$A:$B,2,0),AS368,1),"")</f>
        <v>S</v>
      </c>
      <c r="AS368" s="3">
        <v>487</v>
      </c>
      <c r="AT368" s="3" t="str">
        <f>IFERROR(MID(VLOOKUP($B368,Seqs!$A:$B,2,0),AU368,1),"")</f>
        <v>W</v>
      </c>
      <c r="AU368" s="3">
        <v>510</v>
      </c>
      <c r="AV368" s="3" t="str">
        <f>IFERROR(MID(VLOOKUP($B368,Seqs!$A:$B,2,0),AW368,1),"")</f>
        <v>T</v>
      </c>
      <c r="AW368" s="3">
        <v>511</v>
      </c>
      <c r="AX368" s="3" t="str">
        <f>IFERROR(MID(VLOOKUP($B368,Seqs!$A:$B,2,0),AY368,1),"")</f>
        <v>R</v>
      </c>
      <c r="AY368" s="3">
        <v>520</v>
      </c>
      <c r="AZ368" s="78" t="str">
        <f>VLOOKUP(B368,Classification!A:D,2,0)</f>
        <v>F</v>
      </c>
      <c r="BA368" s="94" t="str">
        <f>VLOOKUP(B368,Classification!A:D,4,0)</f>
        <v>Frizzled</v>
      </c>
      <c r="BB368" s="92" t="b">
        <f>AND(E368&lt;G368,OR(G368&lt;I368,I368="-"),OR(I368&lt;K368,I368="-"),OR(K368&lt;M368,K368="-"),M368&lt;O368,OR(O368&lt;Q368,Q368="-"),OR(Q368&lt;S368,Q368="-"),OR(S368&lt;U368,S368="-"),U368&lt;W368,OR(W368&lt;Y368,Y368="-"),OR(Y368&lt;AA368,Y368="-"),OR(AA368&lt;AC368,AA368="-"),AC368&lt;AE368,OR(AE368&lt;AG368,AG368="-"),OR(AG368&lt;AI368,AG368="-"),OR(AI368&lt;AK368,AI368="-"),AK368&lt;AM368,AM368&lt;AO368,AO368&lt;AQ368,AQ368&lt;AS368,AS368&lt;AU368,OR(AU368&lt;AW368,AW368="-"),OR(AW368&lt;AY368,AW368="-"))</f>
        <v>1</v>
      </c>
      <c r="BC368" s="23">
        <f>_xlfn.AGGREGATE(9,6,CH368:CS368)-_xlfn.AGGREGATE(9,6,BV368:CG368)+12</f>
        <v>246</v>
      </c>
      <c r="BD368" s="74" t="s">
        <v>1377</v>
      </c>
      <c r="BE368" s="3" t="s">
        <v>1375</v>
      </c>
      <c r="BF368" s="119">
        <v>3.7509999999999999</v>
      </c>
      <c r="BG368" s="49" t="s">
        <v>1</v>
      </c>
      <c r="BH368" s="49" t="s">
        <v>1</v>
      </c>
      <c r="BJ368" s="75" t="s">
        <v>1288</v>
      </c>
      <c r="BK368" s="57" t="s">
        <v>1288</v>
      </c>
      <c r="BL368" s="57" t="s">
        <v>1288</v>
      </c>
      <c r="BM368" s="57" t="s">
        <v>1288</v>
      </c>
      <c r="BN368" s="57" t="s">
        <v>1288</v>
      </c>
      <c r="BO368" s="57" t="s">
        <v>1288</v>
      </c>
      <c r="BP368" s="57" t="s">
        <v>1288</v>
      </c>
      <c r="BQ368" s="57" t="s">
        <v>1288</v>
      </c>
      <c r="BR368" s="57" t="s">
        <v>1288</v>
      </c>
      <c r="BS368" s="57" t="s">
        <v>1288</v>
      </c>
      <c r="BT368" s="57" t="s">
        <v>1288</v>
      </c>
      <c r="BU368" s="57" t="s">
        <v>1288</v>
      </c>
      <c r="BV368" s="75">
        <f>E368</f>
        <v>196</v>
      </c>
      <c r="BW368" s="71">
        <f>I368</f>
        <v>229</v>
      </c>
      <c r="BX368" s="72">
        <f>M368</f>
        <v>234</v>
      </c>
      <c r="BY368" s="71" t="str">
        <f>Q368</f>
        <v>-</v>
      </c>
      <c r="BZ368" s="72">
        <f>U368</f>
        <v>285</v>
      </c>
      <c r="CA368" s="71" t="str">
        <f>Y368</f>
        <v>-</v>
      </c>
      <c r="CB368" s="72">
        <f>AC368</f>
        <v>329</v>
      </c>
      <c r="CC368" s="71">
        <f>AG368</f>
        <v>363</v>
      </c>
      <c r="CD368" s="72">
        <f>AK368</f>
        <v>369</v>
      </c>
      <c r="CE368" s="71">
        <f>AO368</f>
        <v>416</v>
      </c>
      <c r="CF368" s="72">
        <f>AS368</f>
        <v>487</v>
      </c>
      <c r="CG368" s="71">
        <f>AW368</f>
        <v>511</v>
      </c>
      <c r="CH368" s="75">
        <f>G368</f>
        <v>228</v>
      </c>
      <c r="CI368" s="71">
        <f>K368</f>
        <v>233</v>
      </c>
      <c r="CJ368" s="72">
        <f>O368</f>
        <v>256</v>
      </c>
      <c r="CK368" s="72" t="str">
        <f>S368</f>
        <v>-</v>
      </c>
      <c r="CL368" s="72">
        <f>W368</f>
        <v>317</v>
      </c>
      <c r="CM368" s="72" t="str">
        <f>AA368</f>
        <v>-</v>
      </c>
      <c r="CN368" s="72">
        <f>AE368</f>
        <v>351</v>
      </c>
      <c r="CO368" s="72">
        <f>AI368</f>
        <v>365</v>
      </c>
      <c r="CP368" s="72">
        <f>AM368</f>
        <v>401</v>
      </c>
      <c r="CQ368" s="72">
        <f>AQ368</f>
        <v>472</v>
      </c>
      <c r="CR368" s="72">
        <f>AU368</f>
        <v>510</v>
      </c>
      <c r="CS368" s="72">
        <f>AY368</f>
        <v>520</v>
      </c>
      <c r="CT368" s="23">
        <f>M368-K368</f>
        <v>1</v>
      </c>
    </row>
    <row r="369" spans="1:98" x14ac:dyDescent="0.2">
      <c r="A369" s="3" t="str">
        <f>CONCATENATE(B369,"_",C369)</f>
        <v>q98sw5_xenla_6D35</v>
      </c>
      <c r="B369" s="3" t="s">
        <v>1496</v>
      </c>
      <c r="C369" s="3" t="s">
        <v>1498</v>
      </c>
      <c r="D369" s="3" t="str">
        <f>IFERROR(MID(VLOOKUP($B369,Seqs!$A:$B,2,0),E369,1),"")</f>
        <v>T</v>
      </c>
      <c r="E369" s="3">
        <v>196</v>
      </c>
      <c r="F369" s="3" t="str">
        <f>IFERROR(MID(VLOOKUP($B369,Seqs!$A:$B,2,0),G369,1),"")</f>
        <v>D</v>
      </c>
      <c r="G369" s="3">
        <v>228</v>
      </c>
      <c r="H369" s="3" t="str">
        <f>IFERROR(MID(VLOOKUP($B369,Seqs!$A:$B,2,0),I369,1),"")</f>
        <v>W</v>
      </c>
      <c r="I369" s="23">
        <v>229</v>
      </c>
      <c r="J369" s="3" t="str">
        <f>IFERROR(MID(VLOOKUP($B369,Seqs!$A:$B,2,0),K369,1),"")</f>
        <v>N</v>
      </c>
      <c r="K369" s="23">
        <v>233</v>
      </c>
      <c r="L369" s="3" t="str">
        <f>IFERROR(MID(VLOOKUP($B369,Seqs!$A:$B,2,0),M369,1),"")</f>
        <v>R</v>
      </c>
      <c r="M369" s="3">
        <v>234</v>
      </c>
      <c r="N369" s="3" t="str">
        <f>IFERROR(MID(VLOOKUP($B369,Seqs!$A:$B,2,0),O369,1),"")</f>
        <v>A</v>
      </c>
      <c r="O369" s="3">
        <v>256</v>
      </c>
      <c r="P369" s="3" t="str">
        <f>IFERROR(MID(VLOOKUP($B369,Seqs!$A:$B,2,0),Q369,1),"")</f>
        <v/>
      </c>
      <c r="Q369" s="3" t="s">
        <v>23</v>
      </c>
      <c r="R369" s="3" t="str">
        <f>IFERROR(MID(VLOOKUP($B369,Seqs!$A:$B,2,0),S369,1),"")</f>
        <v/>
      </c>
      <c r="S369" s="3" t="s">
        <v>23</v>
      </c>
      <c r="T369" s="3" t="str">
        <f>IFERROR(MID(VLOOKUP($B369,Seqs!$A:$B,2,0),U369,1),"")</f>
        <v>L</v>
      </c>
      <c r="U369" s="3">
        <v>285</v>
      </c>
      <c r="V369" s="3" t="str">
        <f>IFERROR(MID(VLOOKUP($B369,Seqs!$A:$B,2,0),W369,1),"")</f>
        <v>K</v>
      </c>
      <c r="W369" s="3">
        <v>317</v>
      </c>
      <c r="X369" s="3" t="str">
        <f>IFERROR(MID(VLOOKUP($B369,Seqs!$A:$B,2,0),Y369,1),"")</f>
        <v/>
      </c>
      <c r="Y369" s="3" t="s">
        <v>23</v>
      </c>
      <c r="Z369" s="3" t="str">
        <f>IFERROR(MID(VLOOKUP($B369,Seqs!$A:$B,2,0),AA369,1),"")</f>
        <v/>
      </c>
      <c r="AA369" s="3" t="s">
        <v>23</v>
      </c>
      <c r="AB369" s="3" t="str">
        <f>IFERROR(MID(VLOOKUP($B369,Seqs!$A:$B,2,0),AC369,1),"")</f>
        <v>K</v>
      </c>
      <c r="AC369" s="3">
        <v>329</v>
      </c>
      <c r="AD369" s="3" t="str">
        <f>IFERROR(MID(VLOOKUP($B369,Seqs!$A:$B,2,0),AE369,1),"")</f>
        <v>V</v>
      </c>
      <c r="AE369" s="3">
        <v>351</v>
      </c>
      <c r="AF369" s="3" t="str">
        <f>IFERROR(MID(VLOOKUP($B369,Seqs!$A:$B,2,0),AG369,1),"")</f>
        <v>C</v>
      </c>
      <c r="AG369" s="3">
        <v>363</v>
      </c>
      <c r="AH369" s="3" t="str">
        <f>IFERROR(MID(VLOOKUP($B369,Seqs!$A:$B,2,0),AI369,1),"")</f>
        <v>V</v>
      </c>
      <c r="AI369" s="3">
        <v>365</v>
      </c>
      <c r="AJ369" s="3" t="str">
        <f>IFERROR(MID(VLOOKUP($B369,Seqs!$A:$B,2,0),AK369,1),"")</f>
        <v>N</v>
      </c>
      <c r="AK369" s="3">
        <v>369</v>
      </c>
      <c r="AL369" s="3" t="str">
        <f>IFERROR(MID(VLOOKUP($B369,Seqs!$A:$B,2,0),AM369,1),"")</f>
        <v>S</v>
      </c>
      <c r="AM369" s="3">
        <v>401</v>
      </c>
      <c r="AN369" s="3" t="str">
        <f>IFERROR(MID(VLOOKUP($B369,Seqs!$A:$B,2,0),AO369,1),"")</f>
        <v>S</v>
      </c>
      <c r="AO369" s="3">
        <v>416</v>
      </c>
      <c r="AP369" s="3" t="str">
        <f>IFERROR(MID(VLOOKUP($B369,Seqs!$A:$B,2,0),AQ369,1),"")</f>
        <v>Q</v>
      </c>
      <c r="AQ369" s="3">
        <v>472</v>
      </c>
      <c r="AR369" s="3" t="str">
        <f>IFERROR(MID(VLOOKUP($B369,Seqs!$A:$B,2,0),AS369,1),"")</f>
        <v>S</v>
      </c>
      <c r="AS369" s="3">
        <v>487</v>
      </c>
      <c r="AT369" s="3" t="str">
        <f>IFERROR(MID(VLOOKUP($B369,Seqs!$A:$B,2,0),AU369,1),"")</f>
        <v>W</v>
      </c>
      <c r="AU369" s="3">
        <v>510</v>
      </c>
      <c r="AV369" s="3" t="str">
        <f>IFERROR(MID(VLOOKUP($B369,Seqs!$A:$B,2,0),AW369,1),"")</f>
        <v>T</v>
      </c>
      <c r="AW369" s="3">
        <v>511</v>
      </c>
      <c r="AX369" s="3" t="str">
        <f>IFERROR(MID(VLOOKUP($B369,Seqs!$A:$B,2,0),AY369,1),"")</f>
        <v>R</v>
      </c>
      <c r="AY369" s="3">
        <v>520</v>
      </c>
      <c r="AZ369" s="78" t="str">
        <f>VLOOKUP(B369,Classification!A:D,2,0)</f>
        <v>F</v>
      </c>
      <c r="BA369" s="94" t="str">
        <f>VLOOKUP(B369,Classification!A:D,4,0)</f>
        <v>Frizzled</v>
      </c>
      <c r="BB369" s="92" t="b">
        <f>AND(E369&lt;G369,OR(G369&lt;I369,I369="-"),OR(I369&lt;K369,I369="-"),OR(K369&lt;M369,K369="-"),M369&lt;O369,OR(O369&lt;Q369,Q369="-"),OR(Q369&lt;S369,Q369="-"),OR(S369&lt;U369,S369="-"),U369&lt;W369,OR(W369&lt;Y369,Y369="-"),OR(Y369&lt;AA369,Y369="-"),OR(AA369&lt;AC369,AA369="-"),AC369&lt;AE369,OR(AE369&lt;AG369,AG369="-"),OR(AG369&lt;AI369,AG369="-"),OR(AI369&lt;AK369,AI369="-"),AK369&lt;AM369,AM369&lt;AO369,AO369&lt;AQ369,AQ369&lt;AS369,AS369&lt;AU369,OR(AU369&lt;AW369,AW369="-"),OR(AW369&lt;AY369,AW369="-"))</f>
        <v>1</v>
      </c>
      <c r="BC369" s="23">
        <f>_xlfn.AGGREGATE(9,6,CH369:CS369)-_xlfn.AGGREGATE(9,6,BV369:CG369)+12</f>
        <v>246</v>
      </c>
      <c r="BD369" s="74" t="s">
        <v>23</v>
      </c>
      <c r="BE369" s="3" t="s">
        <v>1375</v>
      </c>
      <c r="BF369" s="119">
        <v>3.9</v>
      </c>
      <c r="BG369" s="49" t="s">
        <v>1</v>
      </c>
      <c r="BH369" s="49" t="s">
        <v>1</v>
      </c>
      <c r="BJ369" s="75" t="s">
        <v>1288</v>
      </c>
      <c r="BK369" s="57" t="s">
        <v>1288</v>
      </c>
      <c r="BL369" s="57" t="s">
        <v>1288</v>
      </c>
      <c r="BM369" s="57" t="s">
        <v>1288</v>
      </c>
      <c r="BN369" s="57" t="s">
        <v>1288</v>
      </c>
      <c r="BO369" s="57" t="s">
        <v>1288</v>
      </c>
      <c r="BP369" s="57" t="s">
        <v>1288</v>
      </c>
      <c r="BQ369" s="57" t="s">
        <v>1288</v>
      </c>
      <c r="BR369" s="57" t="s">
        <v>1288</v>
      </c>
      <c r="BS369" s="57" t="s">
        <v>1288</v>
      </c>
      <c r="BT369" s="57" t="s">
        <v>1288</v>
      </c>
      <c r="BU369" s="57" t="s">
        <v>1288</v>
      </c>
      <c r="BV369" s="75">
        <f>E369</f>
        <v>196</v>
      </c>
      <c r="BW369" s="71">
        <f>I369</f>
        <v>229</v>
      </c>
      <c r="BX369" s="72">
        <f>M369</f>
        <v>234</v>
      </c>
      <c r="BY369" s="71" t="str">
        <f>Q369</f>
        <v>-</v>
      </c>
      <c r="BZ369" s="72">
        <f>U369</f>
        <v>285</v>
      </c>
      <c r="CA369" s="71" t="str">
        <f>Y369</f>
        <v>-</v>
      </c>
      <c r="CB369" s="72">
        <f>AC369</f>
        <v>329</v>
      </c>
      <c r="CC369" s="71">
        <f>AG369</f>
        <v>363</v>
      </c>
      <c r="CD369" s="72">
        <f>AK369</f>
        <v>369</v>
      </c>
      <c r="CE369" s="71">
        <f>AO369</f>
        <v>416</v>
      </c>
      <c r="CF369" s="72">
        <f>AS369</f>
        <v>487</v>
      </c>
      <c r="CG369" s="71">
        <f>AW369</f>
        <v>511</v>
      </c>
      <c r="CH369" s="75">
        <f>G369</f>
        <v>228</v>
      </c>
      <c r="CI369" s="71">
        <f>K369</f>
        <v>233</v>
      </c>
      <c r="CJ369" s="72">
        <f>O369</f>
        <v>256</v>
      </c>
      <c r="CK369" s="72" t="str">
        <f>S369</f>
        <v>-</v>
      </c>
      <c r="CL369" s="72">
        <f>W369</f>
        <v>317</v>
      </c>
      <c r="CM369" s="72" t="str">
        <f>AA369</f>
        <v>-</v>
      </c>
      <c r="CN369" s="72">
        <f>AE369</f>
        <v>351</v>
      </c>
      <c r="CO369" s="72">
        <f>AI369</f>
        <v>365</v>
      </c>
      <c r="CP369" s="72">
        <f>AM369</f>
        <v>401</v>
      </c>
      <c r="CQ369" s="72">
        <f>AQ369</f>
        <v>472</v>
      </c>
      <c r="CR369" s="72">
        <f>AU369</f>
        <v>510</v>
      </c>
      <c r="CS369" s="72">
        <f>AY369</f>
        <v>520</v>
      </c>
      <c r="CT369" s="23">
        <f>M369-K369</f>
        <v>1</v>
      </c>
    </row>
    <row r="443" spans="52:86" x14ac:dyDescent="0.2">
      <c r="AZ443" s="77"/>
      <c r="BA443" s="28"/>
      <c r="BB443" s="16"/>
      <c r="BD443" s="2"/>
      <c r="BJ443" s="70"/>
      <c r="BV443" s="70"/>
      <c r="CH443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29 BB70 BB29:BB33 BB36:BB40">
    <cfRule type="cellIs" dxfId="76" priority="10" operator="equal">
      <formula>0</formula>
    </cfRule>
  </conditionalFormatting>
  <conditionalFormatting sqref="BB279:BB280">
    <cfRule type="cellIs" dxfId="75" priority="11" operator="equal">
      <formula>0</formula>
    </cfRule>
  </conditionalFormatting>
  <conditionalFormatting sqref="BB12">
    <cfRule type="cellIs" dxfId="74" priority="12" operator="equal">
      <formula>0</formula>
    </cfRule>
  </conditionalFormatting>
  <conditionalFormatting sqref="BB304">
    <cfRule type="cellIs" dxfId="73" priority="13" operator="equal">
      <formula>0</formula>
    </cfRule>
  </conditionalFormatting>
  <conditionalFormatting sqref="E304 AW304 AU304 AS304 AQ304 AO304 AM304 AK304 AI304 AG304 AE304 AC304 AA304 Y304 W304 U304 S304 Q304 O304 M304 K304 I304 G304">
    <cfRule type="cellIs" dxfId="72" priority="14" operator="equal">
      <formula>"G"</formula>
    </cfRule>
    <cfRule type="cellIs" dxfId="71" priority="15" operator="equal">
      <formula>"P"</formula>
    </cfRule>
  </conditionalFormatting>
  <conditionalFormatting sqref="BB28">
    <cfRule type="cellIs" dxfId="70" priority="16" operator="equal">
      <formula>0</formula>
    </cfRule>
  </conditionalFormatting>
  <conditionalFormatting sqref="BB11">
    <cfRule type="cellIs" dxfId="69" priority="20" operator="equal">
      <formula>0</formula>
    </cfRule>
  </conditionalFormatting>
  <conditionalFormatting sqref="E11 AW11 AU11 AS11 AQ11 AO11 AM11 AK11 AI11 AG11 AE11 AC11 AA11 Y11 W11 U11 S11 Q11 O11 M11 K11 I11 G11">
    <cfRule type="cellIs" dxfId="68" priority="22" operator="equal">
      <formula>"G"</formula>
    </cfRule>
    <cfRule type="cellIs" dxfId="67" priority="23" operator="equal">
      <formula>"P"</formula>
    </cfRule>
  </conditionalFormatting>
  <conditionalFormatting sqref="BB1:BB33 BB36:BB1048576">
    <cfRule type="cellIs" dxfId="66" priority="8" operator="equal">
      <formula>FALSE</formula>
    </cfRule>
  </conditionalFormatting>
  <conditionalFormatting sqref="BG36:BG47 BG27:BG33 BH27:BH47 BG1:BH26 BG48:BH1048576">
    <cfRule type="cellIs" dxfId="65" priority="7" operator="equal">
      <formula>"?"</formula>
    </cfRule>
  </conditionalFormatting>
  <conditionalFormatting sqref="BB34:BB35">
    <cfRule type="cellIs" dxfId="64" priority="6" operator="equal">
      <formula>FALSE</formula>
    </cfRule>
  </conditionalFormatting>
  <conditionalFormatting sqref="BG34:BG35">
    <cfRule type="cellIs" dxfId="63" priority="5" operator="equal">
      <formula>"?"</formula>
    </cfRule>
  </conditionalFormatting>
  <conditionalFormatting sqref="BE2:BE1048576">
    <cfRule type="notContainsText" dxfId="62" priority="2" operator="notContains" text="In">
      <formula>ISERROR(SEARCH("In",BE2))</formula>
    </cfRule>
    <cfRule type="containsText" dxfId="61" priority="3" operator="containsText" text="Inter">
      <formula>NOT(ISERROR(SEARCH("Inter",BE2)))</formula>
    </cfRule>
    <cfRule type="containsText" dxfId="60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207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BE2:BE443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62"/>
  <sheetViews>
    <sheetView workbookViewId="0">
      <pane ySplit="1" topLeftCell="A36" activePane="bottomLeft" state="frozenSplit"/>
      <selection pane="bottomLeft" activeCell="N74" sqref="N74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5" t="s">
        <v>1381</v>
      </c>
      <c r="AC1" s="30" t="s">
        <v>1290</v>
      </c>
      <c r="AD1" s="30" t="s">
        <v>1289</v>
      </c>
      <c r="AE1" s="30" t="s">
        <v>1283</v>
      </c>
      <c r="AF1" s="30" t="s">
        <v>1231</v>
      </c>
      <c r="AG1" s="30" t="s">
        <v>1284</v>
      </c>
      <c r="AH1" s="30" t="s">
        <v>1242</v>
      </c>
      <c r="AI1" s="30" t="s">
        <v>1286</v>
      </c>
      <c r="AJ1" s="30" t="s">
        <v>1276</v>
      </c>
      <c r="AK1" s="30" t="s">
        <v>1285</v>
      </c>
      <c r="AL1" s="30" t="s">
        <v>1291</v>
      </c>
      <c r="AM1" s="30" t="s">
        <v>1240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1368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1380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1465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1256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1446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1244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1245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1469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1250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1247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1249</v>
      </c>
      <c r="B12" s="2" t="s">
        <v>910</v>
      </c>
      <c r="C12" s="2">
        <f>IFERROR(50+VLOOKUP($A12,'SegEnds_Xtal_Prot#'!$A:$AY,5,FALSE)-VLOOKUP($B12,'SegEnds_NonXtal_Prot#'!$A:$AL,4,FALSE),"-")</f>
        <v>28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60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1248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1391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1246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1278</v>
      </c>
    </row>
    <row r="16" spans="1:64" s="2" customFormat="1" x14ac:dyDescent="0.2">
      <c r="A16" s="2" t="s">
        <v>1252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1251</v>
      </c>
      <c r="B17" s="2" t="s">
        <v>912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1253</v>
      </c>
      <c r="B18" s="2" t="s">
        <v>158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1394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1416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1363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1255</v>
      </c>
      <c r="B22" s="2" t="s">
        <v>1172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1275</v>
      </c>
      <c r="B23" s="2" t="s">
        <v>924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1254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1330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1257</v>
      </c>
      <c r="B26" s="2" t="s">
        <v>1173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1258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1259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1274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1260</v>
      </c>
      <c r="B30" s="2" t="s">
        <v>914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58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>
        <f>VLOOKUP(B30,'SegEnds_NonXtal_Prot#'!A:AL,6,FALSE)-VLOOKUP(B30,'SegEnds_NonXtal_Prot#'!A:AL,5,FALSE)</f>
        <v>1</v>
      </c>
      <c r="AD30" s="49">
        <f>VLOOKUP(B30,'SegEnds_NonXtal_Prot#'!A:AL,9,FALSE)-VLOOKUP(B30,'SegEnds_NonXtal_Prot#'!A:AL,8,FALSE)</f>
        <v>1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1262</v>
      </c>
      <c r="B31" s="2" t="s">
        <v>916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1263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1265</v>
      </c>
      <c r="B33" s="2" t="s">
        <v>1174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1264</v>
      </c>
      <c r="B34" s="2" t="s">
        <v>918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1261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1266</v>
      </c>
      <c r="B36" s="2" t="s">
        <v>920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1279</v>
      </c>
      <c r="AP36" s="2" t="s">
        <v>1281</v>
      </c>
    </row>
    <row r="37" spans="1:64" s="2" customFormat="1" x14ac:dyDescent="0.2">
      <c r="A37" s="2" t="s">
        <v>1268</v>
      </c>
      <c r="B37" s="2" t="s">
        <v>922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1267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1270</v>
      </c>
      <c r="B39" s="2" t="s">
        <v>1176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1269</v>
      </c>
      <c r="B40" s="2" t="s">
        <v>1175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2</v>
      </c>
      <c r="AG40" s="49">
        <f>VLOOKUP(B40,'SegEnds_NonXtal_Prot#'!A:AL,13,FALSE)-VLOOKUP(B40,'SegEnds_NonXtal_Prot#'!A:AL,11,FALSE)</f>
        <v>3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35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1271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1272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1273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tr">
        <f t="shared" ref="A44:A69" si="0">CONCATENATE(B44,"__wt",)</f>
        <v>par2_human__wt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tr">
        <f t="shared" si="0"/>
        <v>calcr_human__wt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tr">
        <f t="shared" si="0"/>
        <v>crfr1_human__wt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tr">
        <f t="shared" si="0"/>
        <v>glr_human__wt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tr">
        <f t="shared" si="0"/>
        <v>glp1r_human__wt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tr">
        <f t="shared" si="0"/>
        <v>g1sgd4_rabit__wt</v>
      </c>
      <c r="B49" s="2" t="s">
        <v>1421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tr">
        <f t="shared" si="0"/>
        <v>grm5_human__wt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21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tr">
        <f t="shared" si="0"/>
        <v>grm1_human__wt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tr">
        <f t="shared" si="0"/>
        <v>smo_human__wt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56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41</v>
      </c>
      <c r="P52" s="2">
        <f>IFERROR(50+VLOOKUP($A52,'SegEnds_Xtal_Prot#'!$A:$AY,31,FALSE)-VLOOKUP($B52,'SegEnds_NonXtal_Prot#'!$A:$AL,22,FALSE),"-")</f>
        <v>63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24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40" x14ac:dyDescent="0.2">
      <c r="A53" s="2" t="str">
        <f t="shared" si="0"/>
        <v>q98sw5_xenla__wt</v>
      </c>
      <c r="B53" s="123" t="s">
        <v>1496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40" x14ac:dyDescent="0.2">
      <c r="A54" s="2" t="str">
        <f t="shared" si="0"/>
        <v>q08bg4_danre__wt</v>
      </c>
      <c r="B54" s="2" t="s">
        <v>1441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tr">
        <f t="shared" si="0"/>
        <v>q9wtk1_cavpo__wt</v>
      </c>
      <c r="B55" s="2" t="s">
        <v>1452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tr">
        <f t="shared" si="0"/>
        <v>c5ar1_human__wt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tr">
        <f t="shared" si="0"/>
        <v>npy1r_human__wt</v>
      </c>
      <c r="B57" s="2" t="s">
        <v>325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tr">
        <f t="shared" si="0"/>
        <v>ptafr_human__wt</v>
      </c>
      <c r="B58" s="2" t="s">
        <v>371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tr">
        <f t="shared" si="0"/>
        <v>q80km9_hcmv__wt</v>
      </c>
      <c r="B59" s="2" t="s">
        <v>1508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tr">
        <f t="shared" si="0"/>
        <v>calrl_human__wt</v>
      </c>
      <c r="B60" s="2" t="s">
        <v>402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tr">
        <f t="shared" si="0"/>
        <v>pd2r2_human__wt</v>
      </c>
      <c r="B61" s="2" t="s">
        <v>360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tr">
        <f t="shared" si="0"/>
        <v>pth1r_human__wt</v>
      </c>
      <c r="B62" s="2" t="s">
        <v>409</v>
      </c>
      <c r="C62" s="2">
        <f>IFERROR(50+VLOOKUP($A62,'SegEnds_Xtal_Prot#'!$A:$AY,5,FALSE)-VLOOKUP($B62,'SegEnds_NonXtal_Prot#'!$A:$AL,4,FALSE),"-")</f>
        <v>21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37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tr">
        <f t="shared" si="0"/>
        <v>nk1r_human__wt</v>
      </c>
      <c r="B63" s="2" t="s">
        <v>314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68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30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1</v>
      </c>
      <c r="AG63" s="49">
        <f>VLOOKUP(B63,'SegEnds_NonXtal_Prot#'!A:AL,13,FALSE)-VLOOKUP(B63,'SegEnds_NonXtal_Prot#'!A:AL,11,FALSE)</f>
        <v>2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34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tr">
        <f t="shared" si="0"/>
        <v>pe2r3_human__wt</v>
      </c>
      <c r="B64" s="2" t="s">
        <v>363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34</v>
      </c>
      <c r="T64" s="2">
        <f>IFERROR(50+VLOOKUP($A64,'SegEnds_Xtal_Prot#'!$A:$AY,39,FALSE)-VLOOKUP($B64,'SegEnds_NonXtal_Prot#'!$A:$AL,28,FALSE),"-")</f>
        <v>74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64" x14ac:dyDescent="0.2">
      <c r="A65" s="2" t="str">
        <f t="shared" si="0"/>
        <v>pe2r4_human__wt</v>
      </c>
      <c r="B65" s="2" t="s">
        <v>364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>
        <f>IFERROR(50+VLOOKUP($A65,'SegEnds_Xtal_Prot#'!$A:$AY,17,FALSE)-VLOOKUP($B65,'SegEnds_NonXtal_Prot#'!$A:$AL,13,FALSE),"-")</f>
        <v>49</v>
      </c>
      <c r="J65" s="2">
        <f>IFERROR(50+VLOOKUP($A65,'SegEnds_Xtal_Prot#'!$A:$AY,19,FALSE)-VLOOKUP($B65,'SegEnds_NonXtal_Prot#'!$A:$AL,13,FALSE),"-")</f>
        <v>52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33</v>
      </c>
      <c r="T65" s="2">
        <f>IFERROR(50+VLOOKUP($A65,'SegEnds_Xtal_Prot#'!$A:$AY,39,FALSE)-VLOOKUP($B65,'SegEnds_NonXtal_Prot#'!$A:$AL,28,FALSE),"-")</f>
        <v>78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>
        <f>VLOOKUP(B65,'SegEnds_NonXtal_Prot#'!A:AL,13,FALSE)-VLOOKUP(B65,'SegEnds_NonXtal_Prot#'!A:AL,10,FALSE)</f>
        <v>20</v>
      </c>
      <c r="AF65" s="49">
        <f>VLOOKUP(B65,'SegEnds_NonXtal_Prot#'!A:AL,12,FALSE)-VLOOKUP(B65,'SegEnds_NonXtal_Prot#'!A:AL,11,FALSE)</f>
        <v>2</v>
      </c>
      <c r="AG65" s="49">
        <f>VLOOKUP(B65,'SegEnds_NonXtal_Prot#'!A:AL,13,FALSE)-VLOOKUP(B65,'SegEnds_NonXtal_Prot#'!A:AL,11,FALSE)</f>
        <v>3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>
        <f>VLOOKUP(B65,'SegEnds_NonXtal_Prot#'!A:AL,15,FALSE)-VLOOKUP(B65,'SegEnds_NonXtal_Prot#'!A:AL,14,FALSE)</f>
        <v>1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64" x14ac:dyDescent="0.2">
      <c r="A66" s="2" t="str">
        <f t="shared" si="0"/>
        <v>ta2r_human__wt</v>
      </c>
      <c r="B66" s="2" t="s">
        <v>473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53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33</v>
      </c>
      <c r="T66" s="2">
        <f>IFERROR(50+VLOOKUP($A66,'SegEnds_Xtal_Prot#'!$A:$AY,39,FALSE)-VLOOKUP($B66,'SegEnds_NonXtal_Prot#'!$A:$AL,28,FALSE),"-")</f>
        <v>79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4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64" x14ac:dyDescent="0.2">
      <c r="A67" s="2" t="str">
        <f t="shared" si="0"/>
        <v>fzd4_human__wt</v>
      </c>
      <c r="B67" s="2" t="s">
        <v>450</v>
      </c>
      <c r="C67" s="2">
        <f>IFERROR(50+VLOOKUP($A67,'SegEnds_Xtal_Prot#'!$A:$AY,5,FALSE)-VLOOKUP($B67,'SegEnds_NonXtal_Prot#'!$A:$AL,4,FALSE),"-")</f>
        <v>28</v>
      </c>
      <c r="D67" s="2">
        <f>IFERROR(50+VLOOKUP($A67,'SegEnds_Xtal_Prot#'!$A:$AY,7,FALSE)-VLOOKUP($B67,'SegEnds_NonXtal_Prot#'!$A:$AL,4,FALSE),"-")</f>
        <v>60</v>
      </c>
      <c r="E67" s="2">
        <f>IFERROR(50+VLOOKUP($A67,'SegEnds_Xtal_Prot#'!$A:$AY,9,FALSE)-VLOOKUP($B67,'SegEnds_NonXtal_Prot#'!$A:$AL,7,FALSE),"-")</f>
        <v>47</v>
      </c>
      <c r="F67" s="2">
        <f>IFERROR(50+VLOOKUP($A67,'SegEnds_Xtal_Prot#'!$A:$AY,11,FALSE)-VLOOKUP($B67,'SegEnds_NonXtal_Prot#'!$A:$AL,7,FALSE),"-")</f>
        <v>51</v>
      </c>
      <c r="G67" s="2">
        <f>IFERROR(50+VLOOKUP($A67,'SegEnds_Xtal_Prot#'!$A:$AY,13,FALSE)-VLOOKUP($B67,'SegEnds_NonXtal_Prot#'!$A:$AL,10,FALSE),"-")</f>
        <v>40</v>
      </c>
      <c r="H67" s="2">
        <f>IFERROR(50+VLOOKUP($A67,'SegEnds_Xtal_Prot#'!$A:$AY,15,FALSE)-VLOOKUP($B67,'SegEnds_NonXtal_Prot#'!$A:$AL,10,FALSE),"-")</f>
        <v>66</v>
      </c>
      <c r="I67" s="2" t="str">
        <f>IFERROR(50+VLOOKUP($A67,'SegEnds_Xtal_Prot#'!$A:$AY,17,FALSE)-VLOOKUP($B67,'SegEnds_NonXtal_Prot#'!$A:$AL,13,FALSE),"-")</f>
        <v>-</v>
      </c>
      <c r="J67" s="2" t="str">
        <f>IFERROR(50+VLOOKUP($A67,'SegEnds_Xtal_Prot#'!$A:$AY,19,FALSE)-VLOOKUP($B67,'SegEnds_NonXtal_Prot#'!$A:$AL,13,FALSE),"-")</f>
        <v>-</v>
      </c>
      <c r="K67" s="2">
        <f>IFERROR(50+VLOOKUP($A67,'SegEnds_Xtal_Prot#'!$A:$AY,21,FALSE)-VLOOKUP($B67,'SegEnds_NonXtal_Prot#'!$A:$AL,16,FALSE),"-")</f>
        <v>22</v>
      </c>
      <c r="L67" s="2">
        <f>IFERROR(50+VLOOKUP($A67,'SegEnds_Xtal_Prot#'!$A:$AY,23,FALSE)-VLOOKUP($B67,'SegEnds_NonXtal_Prot#'!$A:$AL,16,FALSE),"-")</f>
        <v>55</v>
      </c>
      <c r="M67" s="2" t="str">
        <f>IFERROR(50+VLOOKUP($A67,'SegEnds_Xtal_Prot#'!$A:$AY,25,FALSE)-VLOOKUP($B67,'SegEnds_NonXtal_Prot#'!$A:$AL,19,FALSE),"-")</f>
        <v>-</v>
      </c>
      <c r="N67" s="2" t="str">
        <f>IFERROR(50+VLOOKUP($A67,'SegEnds_Xtal_Prot#'!$A:$AY,27,FALSE)-VLOOKUP($B67,'SegEnds_NonXtal_Prot#'!$A:$AL,19,FALSE),"-")</f>
        <v>-</v>
      </c>
      <c r="O67" s="2">
        <f>IFERROR(50+VLOOKUP($A67,'SegEnds_Xtal_Prot#'!$A:$AY,29,FALSE)-VLOOKUP($B67,'SegEnds_NonXtal_Prot#'!$A:$AL,22,FALSE),"-")</f>
        <v>41</v>
      </c>
      <c r="P67" s="2">
        <f>IFERROR(50+VLOOKUP($A67,'SegEnds_Xtal_Prot#'!$A:$AY,31,FALSE)-VLOOKUP($B67,'SegEnds_NonXtal_Prot#'!$A:$AL,22,FALSE),"-")</f>
        <v>64</v>
      </c>
      <c r="Q67" s="2">
        <f>IFERROR(50+VLOOKUP($A67,'SegEnds_Xtal_Prot#'!$A:$AY,33,FALSE)-VLOOKUP($B67,'SegEnds_NonXtal_Prot#'!$A:$AL,25,FALSE),"-")</f>
        <v>50</v>
      </c>
      <c r="R67" s="2">
        <f>IFERROR(50+VLOOKUP($A67,'SegEnds_Xtal_Prot#'!$A:$AY,35,FALSE)-VLOOKUP($B67,'SegEnds_NonXtal_Prot#'!$A:$AL,25,FALSE),"-")</f>
        <v>52</v>
      </c>
      <c r="S67" s="2">
        <f>IFERROR(50+VLOOKUP($A67,'SegEnds_Xtal_Prot#'!$A:$AY,37,FALSE)-VLOOKUP($B67,'SegEnds_NonXtal_Prot#'!$A:$AL,28,FALSE),"-")</f>
        <v>35</v>
      </c>
      <c r="T67" s="2">
        <f>IFERROR(50+VLOOKUP($A67,'SegEnds_Xtal_Prot#'!$A:$AY,39,FALSE)-VLOOKUP($B67,'SegEnds_NonXtal_Prot#'!$A:$AL,28,FALSE),"-")</f>
        <v>72</v>
      </c>
      <c r="U67" s="2">
        <f>IFERROR(50+VLOOKUP($A67,'SegEnds_Xtal_Prot#'!$A:$AY,41,FALSE)-VLOOKUP($B67,'SegEnds_NonXtal_Prot#'!$A:$AL,31,FALSE),"-")</f>
        <v>28</v>
      </c>
      <c r="V67" s="2">
        <f>IFERROR(50+VLOOKUP($A67,'SegEnds_Xtal_Prot#'!$A:$AY,43,FALSE)-VLOOKUP($B67,'SegEnds_NonXtal_Prot#'!$A:$AL,31,FALSE),"-")</f>
        <v>58</v>
      </c>
      <c r="W67" s="2">
        <f>IFERROR(50+VLOOKUP($A67,'SegEnds_Xtal_Prot#'!$A:$AY,45,FALSE)-VLOOKUP($B67,'SegEnds_NonXtal_Prot#'!$A:$AL,34,FALSE),"-")</f>
        <v>34</v>
      </c>
      <c r="X67" s="2">
        <f>IFERROR(50+VLOOKUP($A67,'SegEnds_Xtal_Prot#'!$A:$AY,47,FALSE)-VLOOKUP($B67,'SegEnds_NonXtal_Prot#'!$A:$AL,34,FALSE),"-")</f>
        <v>57</v>
      </c>
      <c r="Y67" s="2">
        <f>IFERROR(50+VLOOKUP($A67,'SegEnds_Xtal_Prot#'!$A:$AY,49,FALSE)-VLOOKUP($B67,'SegEnds_NonXtal_Prot#'!$A:$AL,37,FALSE),"-")</f>
        <v>47</v>
      </c>
      <c r="Z67" s="2">
        <f>IFERROR(50+VLOOKUP($A67,'SegEnds_Xtal_Prot#'!$A:$AY,51,FALSE)-VLOOKUP($B67,'SegEnds_NonXtal_Prot#'!$A:$AL,37,FALSE),"-")</f>
        <v>62</v>
      </c>
      <c r="AA67" s="49" t="str">
        <f>VLOOKUP(B67,Classification!A:D,2,FALSE)</f>
        <v>F</v>
      </c>
      <c r="AB67" s="94" t="str">
        <f>VLOOKUP(B67,Classification!A:D,4,0)</f>
        <v>Frizzled</v>
      </c>
      <c r="AC67" s="49">
        <f>VLOOKUP(B67,'SegEnds_NonXtal_Prot#'!A:AL,6,FALSE)-VLOOKUP(B67,'SegEnds_NonXtal_Prot#'!A:AL,5,FALSE)</f>
        <v>1</v>
      </c>
      <c r="AD67" s="49">
        <f>VLOOKUP(B67,'SegEnds_NonXtal_Prot#'!A:AL,9,FALSE)-VLOOKUP(B67,'SegEnds_NonXtal_Prot#'!A:AL,8,FALSE)</f>
        <v>1</v>
      </c>
      <c r="AE67" s="49" t="e">
        <f>VLOOKUP(B67,'SegEnds_NonXtal_Prot#'!A:AL,13,FALSE)-VLOOKUP(B67,'SegEnds_NonXtal_Prot#'!A:AL,10,FALSE)</f>
        <v>#VALUE!</v>
      </c>
      <c r="AF67" s="49" t="e">
        <f>VLOOKUP(B67,'SegEnds_NonXtal_Prot#'!A:AL,12,FALSE)-VLOOKUP(B67,'SegEnds_NonXtal_Prot#'!A:AL,11,FALSE)</f>
        <v>#VALUE!</v>
      </c>
      <c r="AG67" s="49" t="e">
        <f>VLOOKUP(B67,'SegEnds_NonXtal_Prot#'!A:AL,13,FALSE)-VLOOKUP(B67,'SegEnds_NonXtal_Prot#'!A:AL,11,FALSE)</f>
        <v>#VALUE!</v>
      </c>
      <c r="AH67" s="49">
        <f>VLOOKUP(B67,'SegEnds_NonXtal_Prot#'!A:AL,16,FALSE)-VLOOKUP(B67,'SegEnds_NonXtal_Prot#'!A:AL,10,FALSE)</f>
        <v>67</v>
      </c>
      <c r="AI67" s="49">
        <f>VLOOKUP(B67,'SegEnds_NonXtal_Prot#'!A:AL,16,FALSE)-VLOOKUP(B67,'SegEnds_NonXtal_Prot#'!A:AL,11,FALSE)</f>
        <v>51</v>
      </c>
      <c r="AJ67" s="49" t="e">
        <f>VLOOKUP(B67,'SegEnds_NonXtal_Prot#'!A:AL,22,FALSE)-VLOOKUP(B67,'SegEnds_NonXtal_Prot#'!A:AL,19,FALSE)</f>
        <v>#VALUE!</v>
      </c>
      <c r="AK67" s="49" t="e">
        <f>VLOOKUP(B67,'SegEnds_NonXtal_Prot#'!A:AL,15,FALSE)-VLOOKUP(B67,'SegEnds_NonXtal_Prot#'!A:AL,14,FALSE)</f>
        <v>#VALUE!</v>
      </c>
      <c r="AL67" s="49" t="e">
        <f>VLOOKUP(B67,'SegEnds_NonXtal_Prot#'!A:AL,18,FALSE)-VLOOKUP(B67,'SegEnds_NonXtal_Prot#'!A:AL,17,FALSE)</f>
        <v>#VALUE!</v>
      </c>
      <c r="AM67" s="2">
        <f>VLOOKUP(B67,'SegEnds_NonXtal_Prot#'!A:AL,34,FALSE)-VLOOKUP(B67,'SegEnds_NonXtal_Prot#'!A:AL,31,FALSE)</f>
        <v>36</v>
      </c>
    </row>
    <row r="68" spans="1:64" x14ac:dyDescent="0.2">
      <c r="A68" s="2" t="str">
        <f t="shared" si="0"/>
        <v>cnr2_human__wt</v>
      </c>
      <c r="B68" s="2" t="s">
        <v>183</v>
      </c>
      <c r="C68" s="2">
        <f>IFERROR(50+VLOOKUP($A68,'SegEnds_Xtal_Prot#'!$A:$AY,5,FALSE)-VLOOKUP($B68,'SegEnds_NonXtal_Prot#'!$A:$AL,4,FALSE),"-")</f>
        <v>28</v>
      </c>
      <c r="D68" s="2">
        <f>IFERROR(50+VLOOKUP($A68,'SegEnds_Xtal_Prot#'!$A:$AY,7,FALSE)-VLOOKUP($B68,'SegEnds_NonXtal_Prot#'!$A:$AL,4,FALSE),"-")</f>
        <v>60</v>
      </c>
      <c r="E68" s="2">
        <f>IFERROR(50+VLOOKUP($A68,'SegEnds_Xtal_Prot#'!$A:$AY,9,FALSE)-VLOOKUP($B68,'SegEnds_NonXtal_Prot#'!$A:$AL,7,FALSE),"-")</f>
        <v>48</v>
      </c>
      <c r="F68" s="2">
        <f>IFERROR(50+VLOOKUP($A68,'SegEnds_Xtal_Prot#'!$A:$AY,11,FALSE)-VLOOKUP($B68,'SegEnds_NonXtal_Prot#'!$A:$AL,7,FALSE),"-")</f>
        <v>51</v>
      </c>
      <c r="G68" s="2">
        <f>IFERROR(50+VLOOKUP($A68,'SegEnds_Xtal_Prot#'!$A:$AY,13,FALSE)-VLOOKUP($B68,'SegEnds_NonXtal_Prot#'!$A:$AL,10,FALSE),"-")</f>
        <v>37</v>
      </c>
      <c r="H68" s="2">
        <f>IFERROR(50+VLOOKUP($A68,'SegEnds_Xtal_Prot#'!$A:$AY,15,FALSE)-VLOOKUP($B68,'SegEnds_NonXtal_Prot#'!$A:$AL,10,FALSE),"-")</f>
        <v>66</v>
      </c>
      <c r="I68" s="2" t="str">
        <f>IFERROR(50+VLOOKUP($A68,'SegEnds_Xtal_Prot#'!$A:$AY,17,FALSE)-VLOOKUP($B68,'SegEnds_NonXtal_Prot#'!$A:$AL,13,FALSE),"-")</f>
        <v>-</v>
      </c>
      <c r="J68" s="2" t="str">
        <f>IFERROR(50+VLOOKUP($A68,'SegEnds_Xtal_Prot#'!$A:$AY,19,FALSE)-VLOOKUP($B68,'SegEnds_NonXtal_Prot#'!$A:$AL,13,FALSE),"-")</f>
        <v>-</v>
      </c>
      <c r="K68" s="2">
        <f>IFERROR(50+VLOOKUP($A68,'SegEnds_Xtal_Prot#'!$A:$AY,21,FALSE)-VLOOKUP($B68,'SegEnds_NonXtal_Prot#'!$A:$AL,16,FALSE),"-")</f>
        <v>21</v>
      </c>
      <c r="L68" s="2">
        <f>IFERROR(50+VLOOKUP($A68,'SegEnds_Xtal_Prot#'!$A:$AY,23,FALSE)-VLOOKUP($B68,'SegEnds_NonXtal_Prot#'!$A:$AL,16,FALSE),"-")</f>
        <v>56</v>
      </c>
      <c r="M68" s="2">
        <f>IFERROR(50+VLOOKUP($A68,'SegEnds_Xtal_Prot#'!$A:$AY,25,FALSE)-VLOOKUP($B68,'SegEnds_NonXtal_Prot#'!$A:$AL,19,FALSE),"-")</f>
        <v>50</v>
      </c>
      <c r="N68" s="2">
        <f>IFERROR(50+VLOOKUP($A68,'SegEnds_Xtal_Prot#'!$A:$AY,27,FALSE)-VLOOKUP($B68,'SegEnds_NonXtal_Prot#'!$A:$AL,19,FALSE),"-")</f>
        <v>57</v>
      </c>
      <c r="O68" s="2">
        <f>IFERROR(50+VLOOKUP($A68,'SegEnds_Xtal_Prot#'!$A:$AY,29,FALSE)-VLOOKUP($B68,'SegEnds_NonXtal_Prot#'!$A:$AL,22,FALSE),"-")</f>
        <v>38</v>
      </c>
      <c r="P68" s="2">
        <f>IFERROR(50+VLOOKUP($A68,'SegEnds_Xtal_Prot#'!$A:$AY,31,FALSE)-VLOOKUP($B68,'SegEnds_NonXtal_Prot#'!$A:$AL,22,FALSE),"-")</f>
        <v>63</v>
      </c>
      <c r="Q68" s="2" t="str">
        <f>IFERROR(50+VLOOKUP($A68,'SegEnds_Xtal_Prot#'!$A:$AY,33,FALSE)-VLOOKUP($B68,'SegEnds_NonXtal_Prot#'!$A:$AL,25,FALSE),"-")</f>
        <v>-</v>
      </c>
      <c r="R68" s="2" t="str">
        <f>IFERROR(50+VLOOKUP($A68,'SegEnds_Xtal_Prot#'!$A:$AY,35,FALSE)-VLOOKUP($B68,'SegEnds_NonXtal_Prot#'!$A:$AL,25,FALSE),"-")</f>
        <v>-</v>
      </c>
      <c r="S68" s="2">
        <f>IFERROR(50+VLOOKUP($A68,'SegEnds_Xtal_Prot#'!$A:$AY,37,FALSE)-VLOOKUP($B68,'SegEnds_NonXtal_Prot#'!$A:$AL,28,FALSE),"-")</f>
        <v>36</v>
      </c>
      <c r="T68" s="2">
        <f>IFERROR(50+VLOOKUP($A68,'SegEnds_Xtal_Prot#'!$A:$AY,39,FALSE)-VLOOKUP($B68,'SegEnds_NonXtal_Prot#'!$A:$AL,28,FALSE),"-")</f>
        <v>74</v>
      </c>
      <c r="U68" s="2">
        <f>IFERROR(50+VLOOKUP($A68,'SegEnds_Xtal_Prot#'!$A:$AY,41,FALSE)-VLOOKUP($B68,'SegEnds_NonXtal_Prot#'!$A:$AL,31,FALSE),"-")</f>
        <v>21</v>
      </c>
      <c r="V68" s="2">
        <f>IFERROR(50+VLOOKUP($A68,'SegEnds_Xtal_Prot#'!$A:$AY,43,FALSE)-VLOOKUP($B68,'SegEnds_NonXtal_Prot#'!$A:$AL,31,FALSE),"-")</f>
        <v>61</v>
      </c>
      <c r="W68" s="2">
        <f>IFERROR(50+VLOOKUP($A68,'SegEnds_Xtal_Prot#'!$A:$AY,45,FALSE)-VLOOKUP($B68,'SegEnds_NonXtal_Prot#'!$A:$AL,34,FALSE),"-")</f>
        <v>28</v>
      </c>
      <c r="X68" s="2">
        <f>IFERROR(50+VLOOKUP($A68,'SegEnds_Xtal_Prot#'!$A:$AY,47,FALSE)-VLOOKUP($B68,'SegEnds_NonXtal_Prot#'!$A:$AL,34,FALSE),"-")</f>
        <v>56</v>
      </c>
      <c r="Y68" s="2">
        <f>IFERROR(50+VLOOKUP($A68,'SegEnds_Xtal_Prot#'!$A:$AY,49,FALSE)-VLOOKUP($B68,'SegEnds_NonXtal_Prot#'!$A:$AL,37,FALSE),"-")</f>
        <v>47</v>
      </c>
      <c r="Z68" s="2">
        <f>IFERROR(50+VLOOKUP($A68,'SegEnds_Xtal_Prot#'!$A:$AY,51,FALSE)-VLOOKUP($B68,'SegEnds_NonXtal_Prot#'!$A:$AL,37,FALSE),"-")</f>
        <v>63</v>
      </c>
      <c r="AA68" s="49" t="str">
        <f>VLOOKUP(B68,Classification!A:D,2,FALSE)</f>
        <v>A</v>
      </c>
      <c r="AB68" s="94" t="str">
        <f>VLOOKUP(B68,Classification!A:D,4,0)</f>
        <v>Cannabinoid</v>
      </c>
      <c r="AC68" s="49">
        <f>VLOOKUP(B68,'SegEnds_NonXtal_Prot#'!A:AL,6,FALSE)-VLOOKUP(B68,'SegEnds_NonXtal_Prot#'!A:AL,5,FALSE)</f>
        <v>1</v>
      </c>
      <c r="AD68" s="49">
        <f>VLOOKUP(B68,'SegEnds_NonXtal_Prot#'!A:AL,9,FALSE)-VLOOKUP(B68,'SegEnds_NonXtal_Prot#'!A:AL,8,FALSE)</f>
        <v>2</v>
      </c>
      <c r="AE68" s="49" t="e">
        <f>VLOOKUP(B68,'SegEnds_NonXtal_Prot#'!A:AL,13,FALSE)-VLOOKUP(B68,'SegEnds_NonXtal_Prot#'!A:AL,10,FALSE)</f>
        <v>#VALUE!</v>
      </c>
      <c r="AF68" s="49" t="e">
        <f>VLOOKUP(B68,'SegEnds_NonXtal_Prot#'!A:AL,12,FALSE)-VLOOKUP(B68,'SegEnds_NonXtal_Prot#'!A:AL,11,FALSE)</f>
        <v>#VALUE!</v>
      </c>
      <c r="AG68" s="49" t="e">
        <f>VLOOKUP(B68,'SegEnds_NonXtal_Prot#'!A:AL,13,FALSE)-VLOOKUP(B68,'SegEnds_NonXtal_Prot#'!A:AL,11,FALSE)</f>
        <v>#VALUE!</v>
      </c>
      <c r="AH68" s="49">
        <f>VLOOKUP(B68,'SegEnds_NonXtal_Prot#'!A:AL,16,FALSE)-VLOOKUP(B68,'SegEnds_NonXtal_Prot#'!A:AL,10,FALSE)</f>
        <v>51</v>
      </c>
      <c r="AI68" s="49">
        <f>VLOOKUP(B68,'SegEnds_NonXtal_Prot#'!A:AL,16,FALSE)-VLOOKUP(B68,'SegEnds_NonXtal_Prot#'!A:AL,11,FALSE)</f>
        <v>35</v>
      </c>
      <c r="AJ68" s="49">
        <f>VLOOKUP(B68,'SegEnds_NonXtal_Prot#'!A:AL,22,FALSE)-VLOOKUP(B68,'SegEnds_NonXtal_Prot#'!A:AL,19,FALSE)</f>
        <v>20</v>
      </c>
      <c r="AK68" s="49" t="e">
        <f>VLOOKUP(B68,'SegEnds_NonXtal_Prot#'!A:AL,15,FALSE)-VLOOKUP(B68,'SegEnds_NonXtal_Prot#'!A:AL,14,FALSE)</f>
        <v>#VALUE!</v>
      </c>
      <c r="AL68" s="49">
        <f>VLOOKUP(B68,'SegEnds_NonXtal_Prot#'!A:AL,18,FALSE)-VLOOKUP(B68,'SegEnds_NonXtal_Prot#'!A:AL,17,FALSE)</f>
        <v>1</v>
      </c>
      <c r="AM68" s="2">
        <f>VLOOKUP(B68,'SegEnds_NonXtal_Prot#'!A:AL,34,FALSE)-VLOOKUP(B68,'SegEnds_NonXtal_Prot#'!A:AL,31,FALSE)</f>
        <v>36</v>
      </c>
    </row>
    <row r="69" spans="1:64" x14ac:dyDescent="0.2">
      <c r="A69" s="2" t="str">
        <f t="shared" si="0"/>
        <v>5ht2a_human__wt</v>
      </c>
      <c r="B69" s="2" t="s">
        <v>132</v>
      </c>
      <c r="C69" s="2">
        <f>IFERROR(50+VLOOKUP($A69,'SegEnds_Xtal_Prot#'!$A:$AY,5,FALSE)-VLOOKUP($B69,'SegEnds_NonXtal_Prot#'!$A:$AL,4,FALSE),"-")</f>
        <v>27</v>
      </c>
      <c r="D69" s="2">
        <f>IFERROR(50+VLOOKUP($A69,'SegEnds_Xtal_Prot#'!$A:$AY,7,FALSE)-VLOOKUP($B69,'SegEnds_NonXtal_Prot#'!$A:$AL,4,FALSE),"-")</f>
        <v>60</v>
      </c>
      <c r="E69" s="2">
        <f>IFERROR(50+VLOOKUP($A69,'SegEnds_Xtal_Prot#'!$A:$AY,9,FALSE)-VLOOKUP($B69,'SegEnds_NonXtal_Prot#'!$A:$AL,7,FALSE),"-")</f>
        <v>48</v>
      </c>
      <c r="F69" s="2">
        <f>IFERROR(50+VLOOKUP($A69,'SegEnds_Xtal_Prot#'!$A:$AY,11,FALSE)-VLOOKUP($B69,'SegEnds_NonXtal_Prot#'!$A:$AL,7,FALSE),"-")</f>
        <v>51</v>
      </c>
      <c r="G69" s="2">
        <f>IFERROR(50+VLOOKUP($A69,'SegEnds_Xtal_Prot#'!$A:$AY,13,FALSE)-VLOOKUP($B69,'SegEnds_NonXtal_Prot#'!$A:$AL,10,FALSE),"-")</f>
        <v>37</v>
      </c>
      <c r="H69" s="2">
        <f>IFERROR(50+VLOOKUP($A69,'SegEnds_Xtal_Prot#'!$A:$AY,15,FALSE)-VLOOKUP($B69,'SegEnds_NonXtal_Prot#'!$A:$AL,10,FALSE),"-")</f>
        <v>68</v>
      </c>
      <c r="I69" s="2">
        <f>IFERROR(50+VLOOKUP($A69,'SegEnds_Xtal_Prot#'!$A:$AY,17,FALSE)-VLOOKUP($B69,'SegEnds_NonXtal_Prot#'!$A:$AL,13,FALSE),"-")</f>
        <v>49</v>
      </c>
      <c r="J69" s="2">
        <f>IFERROR(50+VLOOKUP($A69,'SegEnds_Xtal_Prot#'!$A:$AY,19,FALSE)-VLOOKUP($B69,'SegEnds_NonXtal_Prot#'!$A:$AL,13,FALSE),"-")</f>
        <v>52</v>
      </c>
      <c r="K69" s="2">
        <f>IFERROR(50+VLOOKUP($A69,'SegEnds_Xtal_Prot#'!$A:$AY,21,FALSE)-VLOOKUP($B69,'SegEnds_NonXtal_Prot#'!$A:$AL,16,FALSE),"-")</f>
        <v>21</v>
      </c>
      <c r="L69" s="2">
        <f>IFERROR(50+VLOOKUP($A69,'SegEnds_Xtal_Prot#'!$A:$AY,23,FALSE)-VLOOKUP($B69,'SegEnds_NonXtal_Prot#'!$A:$AL,16,FALSE),"-")</f>
        <v>56</v>
      </c>
      <c r="M69" s="2">
        <f>IFERROR(50+VLOOKUP($A69,'SegEnds_Xtal_Prot#'!$A:$AY,25,FALSE)-VLOOKUP($B69,'SegEnds_NonXtal_Prot#'!$A:$AL,19,FALSE),"-")</f>
        <v>50</v>
      </c>
      <c r="N69" s="2">
        <f>IFERROR(50+VLOOKUP($A69,'SegEnds_Xtal_Prot#'!$A:$AY,27,FALSE)-VLOOKUP($B69,'SegEnds_NonXtal_Prot#'!$A:$AL,19,FALSE),"-")</f>
        <v>57</v>
      </c>
      <c r="O69" s="2">
        <f>IFERROR(50+VLOOKUP($A69,'SegEnds_Xtal_Prot#'!$A:$AY,29,FALSE)-VLOOKUP($B69,'SegEnds_NonXtal_Prot#'!$A:$AL,22,FALSE),"-")</f>
        <v>38</v>
      </c>
      <c r="P69" s="2">
        <f>IFERROR(50+VLOOKUP($A69,'SegEnds_Xtal_Prot#'!$A:$AY,31,FALSE)-VLOOKUP($B69,'SegEnds_NonXtal_Prot#'!$A:$AL,22,FALSE),"-")</f>
        <v>67</v>
      </c>
      <c r="Q69" s="2">
        <f>IFERROR(50+VLOOKUP($A69,'SegEnds_Xtal_Prot#'!$A:$AY,33,FALSE)-VLOOKUP($B69,'SegEnds_NonXtal_Prot#'!$A:$AL,25,FALSE),"-")</f>
        <v>50</v>
      </c>
      <c r="R69" s="2">
        <f>IFERROR(50+VLOOKUP($A69,'SegEnds_Xtal_Prot#'!$A:$AY,35,FALSE)-VLOOKUP($B69,'SegEnds_NonXtal_Prot#'!$A:$AL,25,FALSE),"-")</f>
        <v>52</v>
      </c>
      <c r="S69" s="2">
        <f>IFERROR(50+VLOOKUP($A69,'SegEnds_Xtal_Prot#'!$A:$AY,37,FALSE)-VLOOKUP($B69,'SegEnds_NonXtal_Prot#'!$A:$AL,28,FALSE),"-")</f>
        <v>35</v>
      </c>
      <c r="T69" s="2">
        <f>IFERROR(50+VLOOKUP($A69,'SegEnds_Xtal_Prot#'!$A:$AY,39,FALSE)-VLOOKUP($B69,'SegEnds_NonXtal_Prot#'!$A:$AL,28,FALSE),"-")</f>
        <v>76</v>
      </c>
      <c r="U69" s="2">
        <f>IFERROR(50+VLOOKUP($A69,'SegEnds_Xtal_Prot#'!$A:$AY,41,FALSE)-VLOOKUP($B69,'SegEnds_NonXtal_Prot#'!$A:$AL,31,FALSE),"-")</f>
        <v>24</v>
      </c>
      <c r="V69" s="2">
        <f>IFERROR(50+VLOOKUP($A69,'SegEnds_Xtal_Prot#'!$A:$AY,43,FALSE)-VLOOKUP($B69,'SegEnds_NonXtal_Prot#'!$A:$AL,31,FALSE),"-")</f>
        <v>61</v>
      </c>
      <c r="W69" s="2">
        <f>IFERROR(50+VLOOKUP($A69,'SegEnds_Xtal_Prot#'!$A:$AY,45,FALSE)-VLOOKUP($B69,'SegEnds_NonXtal_Prot#'!$A:$AL,34,FALSE),"-")</f>
        <v>27</v>
      </c>
      <c r="X69" s="2">
        <f>IFERROR(50+VLOOKUP($A69,'SegEnds_Xtal_Prot#'!$A:$AY,47,FALSE)-VLOOKUP($B69,'SegEnds_NonXtal_Prot#'!$A:$AL,34,FALSE),"-")</f>
        <v>56</v>
      </c>
      <c r="Y69" s="2">
        <f>IFERROR(50+VLOOKUP($A69,'SegEnds_Xtal_Prot#'!$A:$AY,49,FALSE)-VLOOKUP($B69,'SegEnds_NonXtal_Prot#'!$A:$AL,37,FALSE),"-")</f>
        <v>47</v>
      </c>
      <c r="Z69" s="2">
        <f>IFERROR(50+VLOOKUP($A69,'SegEnds_Xtal_Prot#'!$A:$AY,51,FALSE)-VLOOKUP($B69,'SegEnds_NonXtal_Prot#'!$A:$AL,37,FALSE),"-")</f>
        <v>60</v>
      </c>
      <c r="AA69" s="49" t="str">
        <f>VLOOKUP(B69,Classification!A:D,2,FALSE)</f>
        <v>A</v>
      </c>
      <c r="AB69" s="94" t="str">
        <f>VLOOKUP(B69,Classification!A:D,4,0)</f>
        <v>5-Hydroxytryptamine</v>
      </c>
      <c r="AC69" s="49">
        <f>VLOOKUP(B69,'SegEnds_NonXtal_Prot#'!A:AL,6,FALSE)-VLOOKUP(B69,'SegEnds_NonXtal_Prot#'!A:AL,5,FALSE)</f>
        <v>1</v>
      </c>
      <c r="AD69" s="49">
        <f>VLOOKUP(B69,'SegEnds_NonXtal_Prot#'!A:AL,9,FALSE)-VLOOKUP(B69,'SegEnds_NonXtal_Prot#'!A:AL,8,FALSE)</f>
        <v>1</v>
      </c>
      <c r="AE69" s="49">
        <f>VLOOKUP(B69,'SegEnds_NonXtal_Prot#'!A:AL,13,FALSE)-VLOOKUP(B69,'SegEnds_NonXtal_Prot#'!A:AL,10,FALSE)</f>
        <v>21</v>
      </c>
      <c r="AF69" s="49">
        <f>VLOOKUP(B69,'SegEnds_NonXtal_Prot#'!A:AL,12,FALSE)-VLOOKUP(B69,'SegEnds_NonXtal_Prot#'!A:AL,11,FALSE)</f>
        <v>2</v>
      </c>
      <c r="AG69" s="49">
        <f>VLOOKUP(B69,'SegEnds_NonXtal_Prot#'!A:AL,13,FALSE)-VLOOKUP(B69,'SegEnds_NonXtal_Prot#'!A:AL,11,FALSE)</f>
        <v>3</v>
      </c>
      <c r="AH69" s="49">
        <f>VLOOKUP(B69,'SegEnds_NonXtal_Prot#'!A:AL,16,FALSE)-VLOOKUP(B69,'SegEnds_NonXtal_Prot#'!A:AL,10,FALSE)</f>
        <v>53</v>
      </c>
      <c r="AI69" s="49">
        <f>VLOOKUP(B69,'SegEnds_NonXtal_Prot#'!A:AL,16,FALSE)-VLOOKUP(B69,'SegEnds_NonXtal_Prot#'!A:AL,11,FALSE)</f>
        <v>35</v>
      </c>
      <c r="AJ69" s="49">
        <f>VLOOKUP(B69,'SegEnds_NonXtal_Prot#'!A:AL,22,FALSE)-VLOOKUP(B69,'SegEnds_NonXtal_Prot#'!A:AL,19,FALSE)</f>
        <v>20</v>
      </c>
      <c r="AK69" s="49">
        <f>VLOOKUP(B69,'SegEnds_NonXtal_Prot#'!A:AL,15,FALSE)-VLOOKUP(B69,'SegEnds_NonXtal_Prot#'!A:AL,14,FALSE)</f>
        <v>1</v>
      </c>
      <c r="AL69" s="49">
        <f>VLOOKUP(B69,'SegEnds_NonXtal_Prot#'!A:AL,18,FALSE)-VLOOKUP(B69,'SegEnds_NonXtal_Prot#'!A:AL,17,FALSE)</f>
        <v>1</v>
      </c>
      <c r="AM69" s="2">
        <f>VLOOKUP(B69,'SegEnds_NonXtal_Prot#'!A:AL,34,FALSE)-VLOOKUP(B69,'SegEnds_NonXtal_Prot#'!A:AL,31,FALSE)</f>
        <v>39</v>
      </c>
    </row>
    <row r="70" spans="1:64" x14ac:dyDescent="0.2">
      <c r="A70" s="2" t="str">
        <f>CONCATENATE(B70,"__wt",)</f>
        <v>mtr1a_human__wt</v>
      </c>
      <c r="B70" s="2" t="s">
        <v>311</v>
      </c>
      <c r="C70" s="2">
        <f>IFERROR(50+VLOOKUP($A70,'SegEnds_Xtal_Prot#'!$A:$AY,5,FALSE)-VLOOKUP($B70,'SegEnds_NonXtal_Prot#'!$A:$AL,4,FALSE),"-")</f>
        <v>28</v>
      </c>
      <c r="D70" s="2">
        <f>IFERROR(50+VLOOKUP($A70,'SegEnds_Xtal_Prot#'!$A:$AY,7,FALSE)-VLOOKUP($B70,'SegEnds_NonXtal_Prot#'!$A:$AL,4,FALSE),"-")</f>
        <v>60</v>
      </c>
      <c r="E70" s="2">
        <f>IFERROR(50+VLOOKUP($A70,'SegEnds_Xtal_Prot#'!$A:$AY,9,FALSE)-VLOOKUP($B70,'SegEnds_NonXtal_Prot#'!$A:$AL,7,FALSE),"-")</f>
        <v>48</v>
      </c>
      <c r="F70" s="2">
        <f>IFERROR(50+VLOOKUP($A70,'SegEnds_Xtal_Prot#'!$A:$AY,11,FALSE)-VLOOKUP($B70,'SegEnds_NonXtal_Prot#'!$A:$AL,7,FALSE),"-")</f>
        <v>51</v>
      </c>
      <c r="G70" s="2">
        <f>IFERROR(50+VLOOKUP($A70,'SegEnds_Xtal_Prot#'!$A:$AY,13,FALSE)-VLOOKUP($B70,'SegEnds_NonXtal_Prot#'!$A:$AL,10,FALSE),"-")</f>
        <v>37</v>
      </c>
      <c r="H70" s="2">
        <f>IFERROR(50+VLOOKUP($A70,'SegEnds_Xtal_Prot#'!$A:$AY,15,FALSE)-VLOOKUP($B70,'SegEnds_NonXtal_Prot#'!$A:$AL,10,FALSE),"-")</f>
        <v>68</v>
      </c>
      <c r="I70" s="2">
        <f>IFERROR(50+VLOOKUP($A70,'SegEnds_Xtal_Prot#'!$A:$AY,17,FALSE)-VLOOKUP($B70,'SegEnds_NonXtal_Prot#'!$A:$AL,13,FALSE),"-")</f>
        <v>49</v>
      </c>
      <c r="J70" s="2">
        <f>IFERROR(50+VLOOKUP($A70,'SegEnds_Xtal_Prot#'!$A:$AY,19,FALSE)-VLOOKUP($B70,'SegEnds_NonXtal_Prot#'!$A:$AL,13,FALSE),"-")</f>
        <v>52</v>
      </c>
      <c r="K70" s="2">
        <f>IFERROR(50+VLOOKUP($A70,'SegEnds_Xtal_Prot#'!$A:$AY,21,FALSE)-VLOOKUP($B70,'SegEnds_NonXtal_Prot#'!$A:$AL,16,FALSE),"-")</f>
        <v>21</v>
      </c>
      <c r="L70" s="2">
        <f>IFERROR(50+VLOOKUP($A70,'SegEnds_Xtal_Prot#'!$A:$AY,23,FALSE)-VLOOKUP($B70,'SegEnds_NonXtal_Prot#'!$A:$AL,16,FALSE),"-")</f>
        <v>56</v>
      </c>
      <c r="M70" s="2">
        <f>IFERROR(50+VLOOKUP($A70,'SegEnds_Xtal_Prot#'!$A:$AY,25,FALSE)-VLOOKUP($B70,'SegEnds_NonXtal_Prot#'!$A:$AL,19,FALSE),"-")</f>
        <v>50</v>
      </c>
      <c r="N70" s="2">
        <f>IFERROR(50+VLOOKUP($A70,'SegEnds_Xtal_Prot#'!$A:$AY,27,FALSE)-VLOOKUP($B70,'SegEnds_NonXtal_Prot#'!$A:$AL,19,FALSE),"-")</f>
        <v>57</v>
      </c>
      <c r="O70" s="2">
        <f>IFERROR(50+VLOOKUP($A70,'SegEnds_Xtal_Prot#'!$A:$AY,29,FALSE)-VLOOKUP($B70,'SegEnds_NonXtal_Prot#'!$A:$AL,22,FALSE),"-")</f>
        <v>38</v>
      </c>
      <c r="P70" s="2">
        <f>IFERROR(50+VLOOKUP($A70,'SegEnds_Xtal_Prot#'!$A:$AY,31,FALSE)-VLOOKUP($B70,'SegEnds_NonXtal_Prot#'!$A:$AL,22,FALSE),"-")</f>
        <v>64</v>
      </c>
      <c r="Q70" s="2">
        <f>IFERROR(50+VLOOKUP($A70,'SegEnds_Xtal_Prot#'!$A:$AY,33,FALSE)-VLOOKUP($B70,'SegEnds_NonXtal_Prot#'!$A:$AL,25,FALSE),"-")</f>
        <v>50</v>
      </c>
      <c r="R70" s="2">
        <f>IFERROR(50+VLOOKUP($A70,'SegEnds_Xtal_Prot#'!$A:$AY,35,FALSE)-VLOOKUP($B70,'SegEnds_NonXtal_Prot#'!$A:$AL,25,FALSE),"-")</f>
        <v>52</v>
      </c>
      <c r="S70" s="2">
        <f>IFERROR(50+VLOOKUP($A70,'SegEnds_Xtal_Prot#'!$A:$AY,37,FALSE)-VLOOKUP($B70,'SegEnds_NonXtal_Prot#'!$A:$AL,28,FALSE),"-")</f>
        <v>35</v>
      </c>
      <c r="T70" s="2">
        <f>IFERROR(50+VLOOKUP($A70,'SegEnds_Xtal_Prot#'!$A:$AY,39,FALSE)-VLOOKUP($B70,'SegEnds_NonXtal_Prot#'!$A:$AL,28,FALSE),"-")</f>
        <v>72</v>
      </c>
      <c r="U70" s="2">
        <f>IFERROR(50+VLOOKUP($A70,'SegEnds_Xtal_Prot#'!$A:$AY,41,FALSE)-VLOOKUP($B70,'SegEnds_NonXtal_Prot#'!$A:$AL,31,FALSE),"-")</f>
        <v>24</v>
      </c>
      <c r="V70" s="2">
        <f>IFERROR(50+VLOOKUP($A70,'SegEnds_Xtal_Prot#'!$A:$AY,43,FALSE)-VLOOKUP($B70,'SegEnds_NonXtal_Prot#'!$A:$AL,31,FALSE),"-")</f>
        <v>61</v>
      </c>
      <c r="W70" s="2">
        <f>IFERROR(50+VLOOKUP($A70,'SegEnds_Xtal_Prot#'!$A:$AY,45,FALSE)-VLOOKUP($B70,'SegEnds_NonXtal_Prot#'!$A:$AL,34,FALSE),"-")</f>
        <v>31</v>
      </c>
      <c r="X70" s="2">
        <f>IFERROR(50+VLOOKUP($A70,'SegEnds_Xtal_Prot#'!$A:$AY,47,FALSE)-VLOOKUP($B70,'SegEnds_NonXtal_Prot#'!$A:$AL,34,FALSE),"-")</f>
        <v>56</v>
      </c>
      <c r="Y70" s="2">
        <f>IFERROR(50+VLOOKUP($A70,'SegEnds_Xtal_Prot#'!$A:$AY,49,FALSE)-VLOOKUP($B70,'SegEnds_NonXtal_Prot#'!$A:$AL,37,FALSE),"-")</f>
        <v>47</v>
      </c>
      <c r="Z70" s="2">
        <f>IFERROR(50+VLOOKUP($A70,'SegEnds_Xtal_Prot#'!$A:$AY,51,FALSE)-VLOOKUP($B70,'SegEnds_NonXtal_Prot#'!$A:$AL,37,FALSE),"-")</f>
        <v>63</v>
      </c>
      <c r="AA70" s="49" t="str">
        <f>VLOOKUP(B70,Classification!A:D,2,FALSE)</f>
        <v>A</v>
      </c>
      <c r="AB70" s="94" t="str">
        <f>VLOOKUP(B70,Classification!A:D,4,0)</f>
        <v>Melatonin</v>
      </c>
      <c r="AC70" s="49">
        <f>VLOOKUP(B70,'SegEnds_NonXtal_Prot#'!A:AL,6,FALSE)-VLOOKUP(B70,'SegEnds_NonXtal_Prot#'!A:AL,5,FALSE)</f>
        <v>1</v>
      </c>
      <c r="AD70" s="49">
        <f>VLOOKUP(B70,'SegEnds_NonXtal_Prot#'!A:AL,9,FALSE)-VLOOKUP(B70,'SegEnds_NonXtal_Prot#'!A:AL,8,FALSE)</f>
        <v>1</v>
      </c>
      <c r="AE70" s="49">
        <f>VLOOKUP(B70,'SegEnds_NonXtal_Prot#'!A:AL,13,FALSE)-VLOOKUP(B70,'SegEnds_NonXtal_Prot#'!A:AL,10,FALSE)</f>
        <v>20</v>
      </c>
      <c r="AF70" s="49">
        <f>VLOOKUP(B70,'SegEnds_NonXtal_Prot#'!A:AL,12,FALSE)-VLOOKUP(B70,'SegEnds_NonXtal_Prot#'!A:AL,11,FALSE)</f>
        <v>1</v>
      </c>
      <c r="AG70" s="49">
        <f>VLOOKUP(B70,'SegEnds_NonXtal_Prot#'!A:AL,13,FALSE)-VLOOKUP(B70,'SegEnds_NonXtal_Prot#'!A:AL,11,FALSE)</f>
        <v>2</v>
      </c>
      <c r="AH70" s="49">
        <f>VLOOKUP(B70,'SegEnds_NonXtal_Prot#'!A:AL,16,FALSE)-VLOOKUP(B70,'SegEnds_NonXtal_Prot#'!A:AL,10,FALSE)</f>
        <v>52</v>
      </c>
      <c r="AI70" s="49">
        <f>VLOOKUP(B70,'SegEnds_NonXtal_Prot#'!A:AL,16,FALSE)-VLOOKUP(B70,'SegEnds_NonXtal_Prot#'!A:AL,11,FALSE)</f>
        <v>34</v>
      </c>
      <c r="AJ70" s="49">
        <f>VLOOKUP(B70,'SegEnds_NonXtal_Prot#'!A:AL,22,FALSE)-VLOOKUP(B70,'SegEnds_NonXtal_Prot#'!A:AL,19,FALSE)</f>
        <v>20</v>
      </c>
      <c r="AK70" s="49">
        <f>VLOOKUP(B70,'SegEnds_NonXtal_Prot#'!A:AL,15,FALSE)-VLOOKUP(B70,'SegEnds_NonXtal_Prot#'!A:AL,14,FALSE)</f>
        <v>1</v>
      </c>
      <c r="AL70" s="49">
        <f>VLOOKUP(B70,'SegEnds_NonXtal_Prot#'!A:AL,18,FALSE)-VLOOKUP(B70,'SegEnds_NonXtal_Prot#'!A:AL,17,FALSE)</f>
        <v>1</v>
      </c>
      <c r="AM70" s="2">
        <f>VLOOKUP(B70,'SegEnds_NonXtal_Prot#'!A:AL,34,FALSE)-VLOOKUP(B70,'SegEnds_NonXtal_Prot#'!A:AL,31,FALSE)</f>
        <v>39</v>
      </c>
    </row>
    <row r="71" spans="1:64" x14ac:dyDescent="0.2">
      <c r="A71" s="2" t="str">
        <f>CONCATENATE(B71,"__wt",)</f>
        <v>mtr1b_human__wt</v>
      </c>
      <c r="B71" s="2" t="s">
        <v>312</v>
      </c>
      <c r="C71" s="2">
        <f>IFERROR(50+VLOOKUP($A71,'SegEnds_Xtal_Prot#'!$A:$AY,5,FALSE)-VLOOKUP($B71,'SegEnds_NonXtal_Prot#'!$A:$AL,4,FALSE),"-")</f>
        <v>30</v>
      </c>
      <c r="D71" s="2">
        <f>IFERROR(50+VLOOKUP($A71,'SegEnds_Xtal_Prot#'!$A:$AY,7,FALSE)-VLOOKUP($B71,'SegEnds_NonXtal_Prot#'!$A:$AL,4,FALSE),"-")</f>
        <v>60</v>
      </c>
      <c r="E71" s="2">
        <f>IFERROR(50+VLOOKUP($A71,'SegEnds_Xtal_Prot#'!$A:$AY,9,FALSE)-VLOOKUP($B71,'SegEnds_NonXtal_Prot#'!$A:$AL,7,FALSE),"-")</f>
        <v>48</v>
      </c>
      <c r="F71" s="2">
        <f>IFERROR(50+VLOOKUP($A71,'SegEnds_Xtal_Prot#'!$A:$AY,11,FALSE)-VLOOKUP($B71,'SegEnds_NonXtal_Prot#'!$A:$AL,7,FALSE),"-")</f>
        <v>51</v>
      </c>
      <c r="G71" s="2">
        <f>IFERROR(50+VLOOKUP($A71,'SegEnds_Xtal_Prot#'!$A:$AY,13,FALSE)-VLOOKUP($B71,'SegEnds_NonXtal_Prot#'!$A:$AL,10,FALSE),"-")</f>
        <v>37</v>
      </c>
      <c r="H71" s="2">
        <f>IFERROR(50+VLOOKUP($A71,'SegEnds_Xtal_Prot#'!$A:$AY,15,FALSE)-VLOOKUP($B71,'SegEnds_NonXtal_Prot#'!$A:$AL,10,FALSE),"-")</f>
        <v>68</v>
      </c>
      <c r="I71" s="2">
        <f>IFERROR(50+VLOOKUP($A71,'SegEnds_Xtal_Prot#'!$A:$AY,17,FALSE)-VLOOKUP($B71,'SegEnds_NonXtal_Prot#'!$A:$AL,13,FALSE),"-")</f>
        <v>49</v>
      </c>
      <c r="J71" s="2">
        <f>IFERROR(50+VLOOKUP($A71,'SegEnds_Xtal_Prot#'!$A:$AY,19,FALSE)-VLOOKUP($B71,'SegEnds_NonXtal_Prot#'!$A:$AL,13,FALSE),"-")</f>
        <v>52</v>
      </c>
      <c r="K71" s="2">
        <f>IFERROR(50+VLOOKUP($A71,'SegEnds_Xtal_Prot#'!$A:$AY,21,FALSE)-VLOOKUP($B71,'SegEnds_NonXtal_Prot#'!$A:$AL,16,FALSE),"-")</f>
        <v>21</v>
      </c>
      <c r="L71" s="2">
        <f>IFERROR(50+VLOOKUP($A71,'SegEnds_Xtal_Prot#'!$A:$AY,23,FALSE)-VLOOKUP($B71,'SegEnds_NonXtal_Prot#'!$A:$AL,16,FALSE),"-")</f>
        <v>56</v>
      </c>
      <c r="M71" s="2">
        <f>IFERROR(50+VLOOKUP($A71,'SegEnds_Xtal_Prot#'!$A:$AY,25,FALSE)-VLOOKUP($B71,'SegEnds_NonXtal_Prot#'!$A:$AL,19,FALSE),"-")</f>
        <v>50</v>
      </c>
      <c r="N71" s="2">
        <f>IFERROR(50+VLOOKUP($A71,'SegEnds_Xtal_Prot#'!$A:$AY,27,FALSE)-VLOOKUP($B71,'SegEnds_NonXtal_Prot#'!$A:$AL,19,FALSE),"-")</f>
        <v>57</v>
      </c>
      <c r="O71" s="2">
        <f>IFERROR(50+VLOOKUP($A71,'SegEnds_Xtal_Prot#'!$A:$AY,29,FALSE)-VLOOKUP($B71,'SegEnds_NonXtal_Prot#'!$A:$AL,22,FALSE),"-")</f>
        <v>38</v>
      </c>
      <c r="P71" s="2">
        <f>IFERROR(50+VLOOKUP($A71,'SegEnds_Xtal_Prot#'!$A:$AY,31,FALSE)-VLOOKUP($B71,'SegEnds_NonXtal_Prot#'!$A:$AL,22,FALSE),"-")</f>
        <v>64</v>
      </c>
      <c r="Q71" s="2">
        <f>IFERROR(50+VLOOKUP($A71,'SegEnds_Xtal_Prot#'!$A:$AY,33,FALSE)-VLOOKUP($B71,'SegEnds_NonXtal_Prot#'!$A:$AL,25,FALSE),"-")</f>
        <v>50</v>
      </c>
      <c r="R71" s="2">
        <f>IFERROR(50+VLOOKUP($A71,'SegEnds_Xtal_Prot#'!$A:$AY,35,FALSE)-VLOOKUP($B71,'SegEnds_NonXtal_Prot#'!$A:$AL,25,FALSE),"-")</f>
        <v>52</v>
      </c>
      <c r="S71" s="2">
        <f>IFERROR(50+VLOOKUP($A71,'SegEnds_Xtal_Prot#'!$A:$AY,37,FALSE)-VLOOKUP($B71,'SegEnds_NonXtal_Prot#'!$A:$AL,28,FALSE),"-")</f>
        <v>35</v>
      </c>
      <c r="T71" s="2">
        <f>IFERROR(50+VLOOKUP($A71,'SegEnds_Xtal_Prot#'!$A:$AY,39,FALSE)-VLOOKUP($B71,'SegEnds_NonXtal_Prot#'!$A:$AL,28,FALSE),"-")</f>
        <v>72</v>
      </c>
      <c r="U71" s="2">
        <f>IFERROR(50+VLOOKUP($A71,'SegEnds_Xtal_Prot#'!$A:$AY,41,FALSE)-VLOOKUP($B71,'SegEnds_NonXtal_Prot#'!$A:$AL,31,FALSE),"-")</f>
        <v>24</v>
      </c>
      <c r="V71" s="2">
        <f>IFERROR(50+VLOOKUP($A71,'SegEnds_Xtal_Prot#'!$A:$AY,43,FALSE)-VLOOKUP($B71,'SegEnds_NonXtal_Prot#'!$A:$AL,31,FALSE),"-")</f>
        <v>61</v>
      </c>
      <c r="W71" s="2">
        <f>IFERROR(50+VLOOKUP($A71,'SegEnds_Xtal_Prot#'!$A:$AY,45,FALSE)-VLOOKUP($B71,'SegEnds_NonXtal_Prot#'!$A:$AL,34,FALSE),"-")</f>
        <v>31</v>
      </c>
      <c r="X71" s="2">
        <f>IFERROR(50+VLOOKUP($A71,'SegEnds_Xtal_Prot#'!$A:$AY,47,FALSE)-VLOOKUP($B71,'SegEnds_NonXtal_Prot#'!$A:$AL,34,FALSE),"-")</f>
        <v>56</v>
      </c>
      <c r="Y71" s="2">
        <f>IFERROR(50+VLOOKUP($A71,'SegEnds_Xtal_Prot#'!$A:$AY,49,FALSE)-VLOOKUP($B71,'SegEnds_NonXtal_Prot#'!$A:$AL,37,FALSE),"-")</f>
        <v>47</v>
      </c>
      <c r="Z71" s="2">
        <f>IFERROR(50+VLOOKUP($A71,'SegEnds_Xtal_Prot#'!$A:$AY,51,FALSE)-VLOOKUP($B71,'SegEnds_NonXtal_Prot#'!$A:$AL,37,FALSE),"-")</f>
        <v>63</v>
      </c>
      <c r="AA71" s="49" t="str">
        <f>VLOOKUP(B71,Classification!A:D,2,FALSE)</f>
        <v>A</v>
      </c>
      <c r="AB71" s="94" t="str">
        <f>VLOOKUP(B71,Classification!A:D,4,0)</f>
        <v>Melatonin</v>
      </c>
      <c r="AC71" s="49">
        <f>VLOOKUP(B71,'SegEnds_NonXtal_Prot#'!A:AL,6,FALSE)-VLOOKUP(B71,'SegEnds_NonXtal_Prot#'!A:AL,5,FALSE)</f>
        <v>1</v>
      </c>
      <c r="AD71" s="49">
        <f>VLOOKUP(B71,'SegEnds_NonXtal_Prot#'!A:AL,9,FALSE)-VLOOKUP(B71,'SegEnds_NonXtal_Prot#'!A:AL,8,FALSE)</f>
        <v>1</v>
      </c>
      <c r="AE71" s="49">
        <f>VLOOKUP(B71,'SegEnds_NonXtal_Prot#'!A:AL,13,FALSE)-VLOOKUP(B71,'SegEnds_NonXtal_Prot#'!A:AL,10,FALSE)</f>
        <v>20</v>
      </c>
      <c r="AF71" s="49">
        <f>VLOOKUP(B71,'SegEnds_NonXtal_Prot#'!A:AL,12,FALSE)-VLOOKUP(B71,'SegEnds_NonXtal_Prot#'!A:AL,11,FALSE)</f>
        <v>1</v>
      </c>
      <c r="AG71" s="49">
        <f>VLOOKUP(B71,'SegEnds_NonXtal_Prot#'!A:AL,13,FALSE)-VLOOKUP(B71,'SegEnds_NonXtal_Prot#'!A:AL,11,FALSE)</f>
        <v>2</v>
      </c>
      <c r="AH71" s="49">
        <f>VLOOKUP(B71,'SegEnds_NonXtal_Prot#'!A:AL,16,FALSE)-VLOOKUP(B71,'SegEnds_NonXtal_Prot#'!A:AL,10,FALSE)</f>
        <v>52</v>
      </c>
      <c r="AI71" s="49">
        <f>VLOOKUP(B71,'SegEnds_NonXtal_Prot#'!A:AL,16,FALSE)-VLOOKUP(B71,'SegEnds_NonXtal_Prot#'!A:AL,11,FALSE)</f>
        <v>34</v>
      </c>
      <c r="AJ71" s="49">
        <f>VLOOKUP(B71,'SegEnds_NonXtal_Prot#'!A:AL,22,FALSE)-VLOOKUP(B71,'SegEnds_NonXtal_Prot#'!A:AL,19,FALSE)</f>
        <v>20</v>
      </c>
      <c r="AK71" s="49">
        <f>VLOOKUP(B71,'SegEnds_NonXtal_Prot#'!A:AL,15,FALSE)-VLOOKUP(B71,'SegEnds_NonXtal_Prot#'!A:AL,14,FALSE)</f>
        <v>1</v>
      </c>
      <c r="AL71" s="49">
        <f>VLOOKUP(B71,'SegEnds_NonXtal_Prot#'!A:AL,18,FALSE)-VLOOKUP(B71,'SegEnds_NonXtal_Prot#'!A:AL,17,FALSE)</f>
        <v>1</v>
      </c>
      <c r="AM71" s="2">
        <f>VLOOKUP(B71,'SegEnds_NonXtal_Prot#'!A:AL,34,FALSE)-VLOOKUP(B71,'SegEnds_NonXtal_Prot#'!A:AL,31,FALSE)</f>
        <v>39</v>
      </c>
    </row>
    <row r="72" spans="1:64" x14ac:dyDescent="0.2">
      <c r="A72" s="4"/>
      <c r="B72" s="4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49"/>
      <c r="AB72" s="96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2"/>
      <c r="AN72" s="38"/>
      <c r="AO72" s="30" t="s">
        <v>1061</v>
      </c>
      <c r="AP72" s="30" t="s">
        <v>1062</v>
      </c>
      <c r="AQ72" s="30" t="s">
        <v>1078</v>
      </c>
      <c r="AR72" s="30" t="s">
        <v>1079</v>
      </c>
      <c r="AS72" s="30" t="s">
        <v>1063</v>
      </c>
      <c r="AT72" s="30" t="s">
        <v>1064</v>
      </c>
      <c r="AU72" s="30" t="s">
        <v>1080</v>
      </c>
      <c r="AV72" s="30" t="s">
        <v>1081</v>
      </c>
      <c r="AW72" s="30" t="s">
        <v>1065</v>
      </c>
      <c r="AX72" s="30" t="s">
        <v>1066</v>
      </c>
      <c r="AY72" s="30" t="s">
        <v>1093</v>
      </c>
      <c r="AZ72" s="30" t="s">
        <v>1094</v>
      </c>
      <c r="BA72" s="30" t="s">
        <v>1067</v>
      </c>
      <c r="BB72" s="30" t="s">
        <v>1068</v>
      </c>
      <c r="BC72" s="30" t="s">
        <v>1096</v>
      </c>
      <c r="BD72" s="30" t="s">
        <v>1097</v>
      </c>
      <c r="BE72" s="30" t="s">
        <v>1069</v>
      </c>
      <c r="BF72" s="30" t="s">
        <v>1070</v>
      </c>
      <c r="BG72" s="30" t="s">
        <v>1071</v>
      </c>
      <c r="BH72" s="30" t="s">
        <v>1072</v>
      </c>
      <c r="BI72" s="30" t="s">
        <v>1073</v>
      </c>
      <c r="BJ72" s="30" t="s">
        <v>1074</v>
      </c>
      <c r="BK72" s="30" t="s">
        <v>1075</v>
      </c>
      <c r="BL72" s="30" t="s">
        <v>1076</v>
      </c>
    </row>
    <row r="73" spans="1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N73" s="38" t="s">
        <v>1</v>
      </c>
      <c r="AO73" s="4">
        <f t="shared" ref="AO73:BL73" si="1">MAX(C2:C42)</f>
        <v>34</v>
      </c>
      <c r="AP73" s="4">
        <f t="shared" si="1"/>
        <v>64</v>
      </c>
      <c r="AQ73" s="4">
        <f t="shared" si="1"/>
        <v>48</v>
      </c>
      <c r="AR73" s="4">
        <f t="shared" si="1"/>
        <v>52</v>
      </c>
      <c r="AS73" s="4">
        <f t="shared" si="1"/>
        <v>38</v>
      </c>
      <c r="AT73" s="4">
        <f t="shared" si="1"/>
        <v>69</v>
      </c>
      <c r="AU73" s="4">
        <f t="shared" si="1"/>
        <v>50</v>
      </c>
      <c r="AV73" s="4">
        <f t="shared" si="1"/>
        <v>53</v>
      </c>
      <c r="AW73" s="4">
        <f t="shared" si="1"/>
        <v>21</v>
      </c>
      <c r="AX73" s="4">
        <f t="shared" si="1"/>
        <v>56</v>
      </c>
      <c r="AY73" s="4">
        <f t="shared" si="1"/>
        <v>50</v>
      </c>
      <c r="AZ73" s="4">
        <f t="shared" si="1"/>
        <v>58</v>
      </c>
      <c r="BA73" s="4">
        <f t="shared" si="1"/>
        <v>38</v>
      </c>
      <c r="BB73" s="4">
        <f t="shared" si="1"/>
        <v>69</v>
      </c>
      <c r="BC73" s="4">
        <f t="shared" si="1"/>
        <v>50</v>
      </c>
      <c r="BD73" s="4">
        <f t="shared" si="1"/>
        <v>52</v>
      </c>
      <c r="BE73" s="4">
        <f t="shared" si="1"/>
        <v>36</v>
      </c>
      <c r="BF73" s="4">
        <f t="shared" si="1"/>
        <v>77</v>
      </c>
      <c r="BG73" s="4">
        <f t="shared" si="1"/>
        <v>30</v>
      </c>
      <c r="BH73" s="4">
        <f t="shared" si="1"/>
        <v>65</v>
      </c>
      <c r="BI73" s="4">
        <f t="shared" si="1"/>
        <v>32</v>
      </c>
      <c r="BJ73" s="4">
        <f t="shared" si="1"/>
        <v>56</v>
      </c>
      <c r="BK73" s="4">
        <f t="shared" si="1"/>
        <v>47</v>
      </c>
      <c r="BL73" s="4">
        <f t="shared" si="1"/>
        <v>69</v>
      </c>
    </row>
    <row r="74" spans="1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O74" s="4">
        <f t="shared" ref="AO74:BL74" si="2">MIN(C2:C42)</f>
        <v>22</v>
      </c>
      <c r="AP74" s="4">
        <f t="shared" si="2"/>
        <v>60</v>
      </c>
      <c r="AQ74" s="4">
        <f t="shared" si="2"/>
        <v>48</v>
      </c>
      <c r="AR74" s="4">
        <f t="shared" si="2"/>
        <v>51</v>
      </c>
      <c r="AS74" s="4">
        <f t="shared" si="2"/>
        <v>34</v>
      </c>
      <c r="AT74" s="4">
        <f t="shared" si="2"/>
        <v>63</v>
      </c>
      <c r="AU74" s="4">
        <f t="shared" si="2"/>
        <v>47</v>
      </c>
      <c r="AV74" s="4">
        <f t="shared" si="2"/>
        <v>52</v>
      </c>
      <c r="AW74" s="4">
        <f t="shared" si="2"/>
        <v>18</v>
      </c>
      <c r="AX74" s="4">
        <f t="shared" si="2"/>
        <v>55</v>
      </c>
      <c r="AY74" s="4">
        <f t="shared" si="2"/>
        <v>50</v>
      </c>
      <c r="AZ74" s="4">
        <f t="shared" si="2"/>
        <v>53</v>
      </c>
      <c r="BA74" s="4">
        <f t="shared" si="2"/>
        <v>35</v>
      </c>
      <c r="BB74" s="4">
        <f t="shared" si="2"/>
        <v>62</v>
      </c>
      <c r="BC74" s="4">
        <f t="shared" si="2"/>
        <v>50</v>
      </c>
      <c r="BD74" s="4">
        <f t="shared" si="2"/>
        <v>52</v>
      </c>
      <c r="BE74" s="4">
        <f t="shared" si="2"/>
        <v>28</v>
      </c>
      <c r="BF74" s="4">
        <f t="shared" si="2"/>
        <v>67</v>
      </c>
      <c r="BG74" s="4">
        <f t="shared" si="2"/>
        <v>18</v>
      </c>
      <c r="BH74" s="4">
        <f t="shared" si="2"/>
        <v>60</v>
      </c>
      <c r="BI74" s="4">
        <f t="shared" si="2"/>
        <v>24</v>
      </c>
      <c r="BJ74" s="4">
        <f t="shared" si="2"/>
        <v>55</v>
      </c>
      <c r="BK74" s="4">
        <f t="shared" si="2"/>
        <v>47</v>
      </c>
      <c r="BL74" s="4">
        <f t="shared" si="2"/>
        <v>57</v>
      </c>
    </row>
    <row r="75" spans="1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O75" s="4">
        <f t="shared" ref="AO75:BL75" si="3">AO73-AO74</f>
        <v>12</v>
      </c>
      <c r="AP75" s="4">
        <f t="shared" si="3"/>
        <v>4</v>
      </c>
      <c r="AQ75" s="4">
        <f t="shared" si="3"/>
        <v>0</v>
      </c>
      <c r="AR75" s="4">
        <f t="shared" si="3"/>
        <v>1</v>
      </c>
      <c r="AS75" s="4">
        <f t="shared" si="3"/>
        <v>4</v>
      </c>
      <c r="AT75" s="4">
        <f t="shared" si="3"/>
        <v>6</v>
      </c>
      <c r="AU75" s="4">
        <f t="shared" si="3"/>
        <v>3</v>
      </c>
      <c r="AV75" s="4">
        <f t="shared" si="3"/>
        <v>1</v>
      </c>
      <c r="AW75" s="4">
        <f t="shared" si="3"/>
        <v>3</v>
      </c>
      <c r="AX75" s="4">
        <f t="shared" si="3"/>
        <v>1</v>
      </c>
      <c r="AY75" s="4">
        <f t="shared" si="3"/>
        <v>0</v>
      </c>
      <c r="AZ75" s="4">
        <f t="shared" si="3"/>
        <v>5</v>
      </c>
      <c r="BA75" s="4">
        <f t="shared" si="3"/>
        <v>3</v>
      </c>
      <c r="BB75" s="4">
        <f t="shared" si="3"/>
        <v>7</v>
      </c>
      <c r="BC75" s="4">
        <f t="shared" si="3"/>
        <v>0</v>
      </c>
      <c r="BD75" s="4">
        <f t="shared" si="3"/>
        <v>0</v>
      </c>
      <c r="BE75" s="4">
        <f t="shared" si="3"/>
        <v>8</v>
      </c>
      <c r="BF75" s="4">
        <f t="shared" si="3"/>
        <v>10</v>
      </c>
      <c r="BG75" s="4">
        <f t="shared" si="3"/>
        <v>12</v>
      </c>
      <c r="BH75" s="4">
        <f t="shared" si="3"/>
        <v>5</v>
      </c>
      <c r="BI75" s="4">
        <f t="shared" si="3"/>
        <v>8</v>
      </c>
      <c r="BJ75" s="4">
        <f t="shared" si="3"/>
        <v>1</v>
      </c>
      <c r="BK75" s="4">
        <f t="shared" si="3"/>
        <v>0</v>
      </c>
      <c r="BL75" s="4">
        <f t="shared" si="3"/>
        <v>12</v>
      </c>
    </row>
    <row r="76" spans="1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N76" s="38" t="s">
        <v>1282</v>
      </c>
      <c r="AO76" s="4">
        <f t="shared" ref="AO76:BL76" si="4">MAX(C43:C46)</f>
        <v>29</v>
      </c>
      <c r="AP76" s="4">
        <f t="shared" si="4"/>
        <v>60</v>
      </c>
      <c r="AQ76" s="4">
        <f t="shared" si="4"/>
        <v>48</v>
      </c>
      <c r="AR76" s="4">
        <f t="shared" si="4"/>
        <v>51</v>
      </c>
      <c r="AS76" s="4">
        <f t="shared" si="4"/>
        <v>37</v>
      </c>
      <c r="AT76" s="4">
        <f t="shared" si="4"/>
        <v>66</v>
      </c>
      <c r="AU76" s="4">
        <f t="shared" si="4"/>
        <v>49</v>
      </c>
      <c r="AV76" s="4">
        <f t="shared" si="4"/>
        <v>52</v>
      </c>
      <c r="AW76" s="4">
        <f t="shared" si="4"/>
        <v>23</v>
      </c>
      <c r="AX76" s="4">
        <f t="shared" si="4"/>
        <v>56</v>
      </c>
      <c r="AY76" s="4">
        <f t="shared" si="4"/>
        <v>50</v>
      </c>
      <c r="AZ76" s="4">
        <f t="shared" si="4"/>
        <v>57</v>
      </c>
      <c r="BA76" s="4">
        <f t="shared" si="4"/>
        <v>41</v>
      </c>
      <c r="BB76" s="4">
        <f t="shared" si="4"/>
        <v>68</v>
      </c>
      <c r="BC76" s="4">
        <f t="shared" si="4"/>
        <v>50</v>
      </c>
      <c r="BD76" s="4">
        <f t="shared" si="4"/>
        <v>52</v>
      </c>
      <c r="BE76" s="4">
        <f t="shared" si="4"/>
        <v>40</v>
      </c>
      <c r="BF76" s="4">
        <f t="shared" si="4"/>
        <v>70</v>
      </c>
      <c r="BG76" s="4">
        <f t="shared" si="4"/>
        <v>30</v>
      </c>
      <c r="BH76" s="4">
        <f t="shared" si="4"/>
        <v>65</v>
      </c>
      <c r="BI76" s="4">
        <f t="shared" si="4"/>
        <v>31</v>
      </c>
      <c r="BJ76" s="4">
        <f t="shared" si="4"/>
        <v>56</v>
      </c>
      <c r="BK76" s="4">
        <f t="shared" si="4"/>
        <v>47</v>
      </c>
      <c r="BL76" s="4">
        <f t="shared" si="4"/>
        <v>72</v>
      </c>
    </row>
    <row r="77" spans="1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O77" s="4">
        <f t="shared" ref="AO77:BL77" si="5">MIN(C43:C46)</f>
        <v>19</v>
      </c>
      <c r="AP77" s="4">
        <f t="shared" si="5"/>
        <v>60</v>
      </c>
      <c r="AQ77" s="4">
        <f t="shared" si="5"/>
        <v>48</v>
      </c>
      <c r="AR77" s="4">
        <f t="shared" si="5"/>
        <v>51</v>
      </c>
      <c r="AS77" s="4">
        <f t="shared" si="5"/>
        <v>37</v>
      </c>
      <c r="AT77" s="4">
        <f t="shared" si="5"/>
        <v>63</v>
      </c>
      <c r="AU77" s="4">
        <f t="shared" si="5"/>
        <v>47</v>
      </c>
      <c r="AV77" s="4">
        <f t="shared" si="5"/>
        <v>52</v>
      </c>
      <c r="AW77" s="4">
        <f t="shared" si="5"/>
        <v>21</v>
      </c>
      <c r="AX77" s="4">
        <f t="shared" si="5"/>
        <v>56</v>
      </c>
      <c r="AY77" s="4">
        <f t="shared" si="5"/>
        <v>50</v>
      </c>
      <c r="AZ77" s="4">
        <f t="shared" si="5"/>
        <v>56</v>
      </c>
      <c r="BA77" s="4">
        <f t="shared" si="5"/>
        <v>38</v>
      </c>
      <c r="BB77" s="4">
        <f t="shared" si="5"/>
        <v>62</v>
      </c>
      <c r="BC77" s="4">
        <f t="shared" si="5"/>
        <v>50</v>
      </c>
      <c r="BD77" s="4">
        <f t="shared" si="5"/>
        <v>52</v>
      </c>
      <c r="BE77" s="4">
        <f t="shared" si="5"/>
        <v>31</v>
      </c>
      <c r="BF77" s="4">
        <f t="shared" si="5"/>
        <v>67</v>
      </c>
      <c r="BG77" s="4">
        <f t="shared" si="5"/>
        <v>25</v>
      </c>
      <c r="BH77" s="4">
        <f t="shared" si="5"/>
        <v>53</v>
      </c>
      <c r="BI77" s="4">
        <f t="shared" si="5"/>
        <v>28</v>
      </c>
      <c r="BJ77" s="4">
        <f t="shared" si="5"/>
        <v>56</v>
      </c>
      <c r="BK77" s="4">
        <f t="shared" si="5"/>
        <v>47</v>
      </c>
      <c r="BL77" s="4">
        <f t="shared" si="5"/>
        <v>61</v>
      </c>
    </row>
    <row r="78" spans="1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O78" s="4">
        <f t="shared" ref="AO78:BL78" si="6">AO76-AO77</f>
        <v>10</v>
      </c>
      <c r="AP78" s="4">
        <f t="shared" si="6"/>
        <v>0</v>
      </c>
      <c r="AQ78" s="4">
        <f t="shared" si="6"/>
        <v>0</v>
      </c>
      <c r="AR78" s="4">
        <f t="shared" si="6"/>
        <v>0</v>
      </c>
      <c r="AS78" s="4">
        <f t="shared" si="6"/>
        <v>0</v>
      </c>
      <c r="AT78" s="4">
        <f t="shared" si="6"/>
        <v>3</v>
      </c>
      <c r="AU78" s="4">
        <f t="shared" si="6"/>
        <v>2</v>
      </c>
      <c r="AV78" s="4">
        <f t="shared" si="6"/>
        <v>0</v>
      </c>
      <c r="AW78" s="4">
        <f t="shared" si="6"/>
        <v>2</v>
      </c>
      <c r="AX78" s="4">
        <f t="shared" si="6"/>
        <v>0</v>
      </c>
      <c r="AY78" s="4">
        <f t="shared" si="6"/>
        <v>0</v>
      </c>
      <c r="AZ78" s="4">
        <f t="shared" si="6"/>
        <v>1</v>
      </c>
      <c r="BA78" s="4">
        <f t="shared" si="6"/>
        <v>3</v>
      </c>
      <c r="BB78" s="4">
        <f t="shared" si="6"/>
        <v>6</v>
      </c>
      <c r="BC78" s="4">
        <f t="shared" si="6"/>
        <v>0</v>
      </c>
      <c r="BD78" s="4">
        <f t="shared" si="6"/>
        <v>0</v>
      </c>
      <c r="BE78" s="4">
        <f t="shared" si="6"/>
        <v>9</v>
      </c>
      <c r="BF78" s="4">
        <f t="shared" si="6"/>
        <v>3</v>
      </c>
      <c r="BG78" s="4">
        <f t="shared" si="6"/>
        <v>5</v>
      </c>
      <c r="BH78" s="4">
        <f t="shared" si="6"/>
        <v>12</v>
      </c>
      <c r="BI78" s="4">
        <f t="shared" si="6"/>
        <v>3</v>
      </c>
      <c r="BJ78" s="4">
        <f t="shared" si="6"/>
        <v>0</v>
      </c>
      <c r="BK78" s="4">
        <f t="shared" si="6"/>
        <v>0</v>
      </c>
      <c r="BL78" s="4">
        <f t="shared" si="6"/>
        <v>11</v>
      </c>
    </row>
    <row r="79" spans="1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N79" s="38" t="s">
        <v>27</v>
      </c>
      <c r="AO79" s="4">
        <f t="shared" ref="AO79:BL79" si="7">MAX(C47:C50)</f>
        <v>34</v>
      </c>
      <c r="AP79" s="4">
        <f t="shared" si="7"/>
        <v>60</v>
      </c>
      <c r="AQ79" s="4">
        <f t="shared" si="7"/>
        <v>48</v>
      </c>
      <c r="AR79" s="4">
        <f t="shared" si="7"/>
        <v>53</v>
      </c>
      <c r="AS79" s="4">
        <f t="shared" si="7"/>
        <v>39</v>
      </c>
      <c r="AT79" s="4">
        <f t="shared" si="7"/>
        <v>74</v>
      </c>
      <c r="AU79" s="4">
        <f t="shared" si="7"/>
        <v>0</v>
      </c>
      <c r="AV79" s="4">
        <f t="shared" si="7"/>
        <v>0</v>
      </c>
      <c r="AW79" s="4">
        <f t="shared" si="7"/>
        <v>23</v>
      </c>
      <c r="AX79" s="4">
        <f t="shared" si="7"/>
        <v>56</v>
      </c>
      <c r="AY79" s="4">
        <f t="shared" si="7"/>
        <v>0</v>
      </c>
      <c r="AZ79" s="4">
        <f t="shared" si="7"/>
        <v>0</v>
      </c>
      <c r="BA79" s="4">
        <f t="shared" si="7"/>
        <v>40</v>
      </c>
      <c r="BB79" s="4">
        <f t="shared" si="7"/>
        <v>68</v>
      </c>
      <c r="BC79" s="4">
        <f t="shared" si="7"/>
        <v>50</v>
      </c>
      <c r="BD79" s="4">
        <f t="shared" si="7"/>
        <v>52</v>
      </c>
      <c r="BE79" s="4">
        <f t="shared" si="7"/>
        <v>39</v>
      </c>
      <c r="BF79" s="4">
        <f t="shared" si="7"/>
        <v>71</v>
      </c>
      <c r="BG79" s="4">
        <f t="shared" si="7"/>
        <v>33</v>
      </c>
      <c r="BH79" s="4">
        <f t="shared" si="7"/>
        <v>57</v>
      </c>
      <c r="BI79" s="4">
        <f t="shared" si="7"/>
        <v>33</v>
      </c>
      <c r="BJ79" s="4">
        <f t="shared" si="7"/>
        <v>64</v>
      </c>
      <c r="BK79" s="4">
        <f t="shared" si="7"/>
        <v>47</v>
      </c>
      <c r="BL79" s="4">
        <f t="shared" si="7"/>
        <v>72</v>
      </c>
    </row>
    <row r="80" spans="1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O80" s="4">
        <f t="shared" ref="AO80:BL80" si="8">MIN(C47:C50)</f>
        <v>25</v>
      </c>
      <c r="AP80" s="4">
        <f t="shared" si="8"/>
        <v>60</v>
      </c>
      <c r="AQ80" s="4">
        <f t="shared" si="8"/>
        <v>47</v>
      </c>
      <c r="AR80" s="4">
        <f t="shared" si="8"/>
        <v>51</v>
      </c>
      <c r="AS80" s="4">
        <f t="shared" si="8"/>
        <v>37</v>
      </c>
      <c r="AT80" s="4">
        <f t="shared" si="8"/>
        <v>61</v>
      </c>
      <c r="AU80" s="4">
        <f t="shared" si="8"/>
        <v>0</v>
      </c>
      <c r="AV80" s="4">
        <f t="shared" si="8"/>
        <v>0</v>
      </c>
      <c r="AW80" s="4">
        <f t="shared" si="8"/>
        <v>21</v>
      </c>
      <c r="AX80" s="4">
        <f t="shared" si="8"/>
        <v>54</v>
      </c>
      <c r="AY80" s="4">
        <f t="shared" si="8"/>
        <v>0</v>
      </c>
      <c r="AZ80" s="4">
        <f t="shared" si="8"/>
        <v>0</v>
      </c>
      <c r="BA80" s="4">
        <f t="shared" si="8"/>
        <v>37</v>
      </c>
      <c r="BB80" s="4">
        <f t="shared" si="8"/>
        <v>64</v>
      </c>
      <c r="BC80" s="4">
        <f t="shared" si="8"/>
        <v>50</v>
      </c>
      <c r="BD80" s="4">
        <f t="shared" si="8"/>
        <v>52</v>
      </c>
      <c r="BE80" s="4">
        <f t="shared" si="8"/>
        <v>36</v>
      </c>
      <c r="BF80" s="4">
        <f t="shared" si="8"/>
        <v>61</v>
      </c>
      <c r="BG80" s="4">
        <f t="shared" si="8"/>
        <v>28</v>
      </c>
      <c r="BH80" s="4">
        <f t="shared" si="8"/>
        <v>53</v>
      </c>
      <c r="BI80" s="4">
        <f t="shared" si="8"/>
        <v>27</v>
      </c>
      <c r="BJ80" s="4">
        <f t="shared" si="8"/>
        <v>56</v>
      </c>
      <c r="BK80" s="4">
        <f t="shared" si="8"/>
        <v>46</v>
      </c>
      <c r="BL80" s="4">
        <f t="shared" si="8"/>
        <v>57</v>
      </c>
    </row>
    <row r="81" spans="3:64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O81" s="4">
        <f t="shared" ref="AO81:BL81" si="9">AO79-AO80</f>
        <v>9</v>
      </c>
      <c r="AP81" s="4">
        <f t="shared" si="9"/>
        <v>0</v>
      </c>
      <c r="AQ81" s="4">
        <f t="shared" si="9"/>
        <v>1</v>
      </c>
      <c r="AR81" s="4">
        <f t="shared" si="9"/>
        <v>2</v>
      </c>
      <c r="AS81" s="4">
        <f t="shared" si="9"/>
        <v>2</v>
      </c>
      <c r="AT81" s="4">
        <f t="shared" si="9"/>
        <v>13</v>
      </c>
      <c r="AU81" s="4">
        <f t="shared" si="9"/>
        <v>0</v>
      </c>
      <c r="AV81" s="4">
        <f t="shared" si="9"/>
        <v>0</v>
      </c>
      <c r="AW81" s="4">
        <f t="shared" si="9"/>
        <v>2</v>
      </c>
      <c r="AX81" s="4">
        <f t="shared" si="9"/>
        <v>2</v>
      </c>
      <c r="AY81" s="4">
        <f t="shared" si="9"/>
        <v>0</v>
      </c>
      <c r="AZ81" s="4">
        <f t="shared" si="9"/>
        <v>0</v>
      </c>
      <c r="BA81" s="4">
        <f t="shared" si="9"/>
        <v>3</v>
      </c>
      <c r="BB81" s="4">
        <f t="shared" si="9"/>
        <v>4</v>
      </c>
      <c r="BC81" s="4">
        <f t="shared" si="9"/>
        <v>0</v>
      </c>
      <c r="BD81" s="4">
        <f t="shared" si="9"/>
        <v>0</v>
      </c>
      <c r="BE81" s="4">
        <f t="shared" si="9"/>
        <v>3</v>
      </c>
      <c r="BF81" s="4">
        <f t="shared" si="9"/>
        <v>10</v>
      </c>
      <c r="BG81" s="4">
        <f t="shared" si="9"/>
        <v>5</v>
      </c>
      <c r="BH81" s="4">
        <f t="shared" si="9"/>
        <v>4</v>
      </c>
      <c r="BI81" s="4">
        <f t="shared" si="9"/>
        <v>6</v>
      </c>
      <c r="BJ81" s="4">
        <f t="shared" si="9"/>
        <v>8</v>
      </c>
      <c r="BK81" s="4">
        <f t="shared" si="9"/>
        <v>1</v>
      </c>
      <c r="BL81" s="4">
        <f t="shared" si="9"/>
        <v>15</v>
      </c>
    </row>
    <row r="82" spans="3:64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N82" s="38" t="s">
        <v>28</v>
      </c>
      <c r="AO82" s="4">
        <f t="shared" ref="AO82:BL82" si="10">MAX(C51)</f>
        <v>34</v>
      </c>
      <c r="AP82" s="4">
        <f t="shared" si="10"/>
        <v>60</v>
      </c>
      <c r="AQ82" s="4">
        <f t="shared" si="10"/>
        <v>47</v>
      </c>
      <c r="AR82" s="4">
        <f t="shared" si="10"/>
        <v>53</v>
      </c>
      <c r="AS82" s="4">
        <f t="shared" si="10"/>
        <v>39</v>
      </c>
      <c r="AT82" s="4">
        <f t="shared" si="10"/>
        <v>61</v>
      </c>
      <c r="AU82" s="4">
        <f t="shared" si="10"/>
        <v>0</v>
      </c>
      <c r="AV82" s="4">
        <f t="shared" si="10"/>
        <v>0</v>
      </c>
      <c r="AW82" s="4">
        <f t="shared" si="10"/>
        <v>22</v>
      </c>
      <c r="AX82" s="4">
        <f t="shared" si="10"/>
        <v>54</v>
      </c>
      <c r="AY82" s="4">
        <f t="shared" si="10"/>
        <v>0</v>
      </c>
      <c r="AZ82" s="4">
        <f t="shared" si="10"/>
        <v>0</v>
      </c>
      <c r="BA82" s="4">
        <f t="shared" si="10"/>
        <v>38</v>
      </c>
      <c r="BB82" s="4">
        <f t="shared" si="10"/>
        <v>64</v>
      </c>
      <c r="BC82" s="4">
        <f t="shared" si="10"/>
        <v>50</v>
      </c>
      <c r="BD82" s="4">
        <f t="shared" si="10"/>
        <v>52</v>
      </c>
      <c r="BE82" s="4">
        <f t="shared" si="10"/>
        <v>36</v>
      </c>
      <c r="BF82" s="4">
        <f t="shared" si="10"/>
        <v>61</v>
      </c>
      <c r="BG82" s="4">
        <f t="shared" si="10"/>
        <v>33</v>
      </c>
      <c r="BH82" s="4">
        <f t="shared" si="10"/>
        <v>57</v>
      </c>
      <c r="BI82" s="4">
        <f t="shared" si="10"/>
        <v>33</v>
      </c>
      <c r="BJ82" s="4">
        <f t="shared" si="10"/>
        <v>64</v>
      </c>
      <c r="BK82" s="4">
        <f t="shared" si="10"/>
        <v>46</v>
      </c>
      <c r="BL82" s="4">
        <f t="shared" si="10"/>
        <v>57</v>
      </c>
    </row>
    <row r="83" spans="3:64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O83" s="4">
        <f t="shared" ref="AO83:BL83" si="11">MIN(C51)</f>
        <v>34</v>
      </c>
      <c r="AP83" s="4">
        <f t="shared" si="11"/>
        <v>60</v>
      </c>
      <c r="AQ83" s="4">
        <f t="shared" si="11"/>
        <v>47</v>
      </c>
      <c r="AR83" s="4">
        <f t="shared" si="11"/>
        <v>53</v>
      </c>
      <c r="AS83" s="4">
        <f t="shared" si="11"/>
        <v>39</v>
      </c>
      <c r="AT83" s="4">
        <f t="shared" si="11"/>
        <v>61</v>
      </c>
      <c r="AU83" s="4">
        <f t="shared" si="11"/>
        <v>0</v>
      </c>
      <c r="AV83" s="4">
        <f t="shared" si="11"/>
        <v>0</v>
      </c>
      <c r="AW83" s="4">
        <f t="shared" si="11"/>
        <v>22</v>
      </c>
      <c r="AX83" s="4">
        <f t="shared" si="11"/>
        <v>54</v>
      </c>
      <c r="AY83" s="4">
        <f t="shared" si="11"/>
        <v>0</v>
      </c>
      <c r="AZ83" s="4">
        <f t="shared" si="11"/>
        <v>0</v>
      </c>
      <c r="BA83" s="4">
        <f t="shared" si="11"/>
        <v>38</v>
      </c>
      <c r="BB83" s="4">
        <f t="shared" si="11"/>
        <v>64</v>
      </c>
      <c r="BC83" s="4">
        <f t="shared" si="11"/>
        <v>50</v>
      </c>
      <c r="BD83" s="4">
        <f t="shared" si="11"/>
        <v>52</v>
      </c>
      <c r="BE83" s="4">
        <f t="shared" si="11"/>
        <v>36</v>
      </c>
      <c r="BF83" s="4">
        <f t="shared" si="11"/>
        <v>61</v>
      </c>
      <c r="BG83" s="4">
        <f t="shared" si="11"/>
        <v>33</v>
      </c>
      <c r="BH83" s="4">
        <f t="shared" si="11"/>
        <v>57</v>
      </c>
      <c r="BI83" s="4">
        <f t="shared" si="11"/>
        <v>33</v>
      </c>
      <c r="BJ83" s="4">
        <f t="shared" si="11"/>
        <v>64</v>
      </c>
      <c r="BK83" s="4">
        <f t="shared" si="11"/>
        <v>46</v>
      </c>
      <c r="BL83" s="4">
        <f t="shared" si="11"/>
        <v>57</v>
      </c>
    </row>
    <row r="84" spans="3:64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O84" s="4">
        <f t="shared" ref="AO84:BL84" si="12">AO82-AO83</f>
        <v>0</v>
      </c>
      <c r="AP84" s="4">
        <f t="shared" si="12"/>
        <v>0</v>
      </c>
      <c r="AQ84" s="4">
        <f t="shared" si="12"/>
        <v>0</v>
      </c>
      <c r="AR84" s="4">
        <f t="shared" si="12"/>
        <v>0</v>
      </c>
      <c r="AS84" s="4">
        <f t="shared" si="12"/>
        <v>0</v>
      </c>
      <c r="AT84" s="4">
        <f t="shared" si="12"/>
        <v>0</v>
      </c>
      <c r="AU84" s="4">
        <f t="shared" si="12"/>
        <v>0</v>
      </c>
      <c r="AV84" s="4">
        <f t="shared" si="12"/>
        <v>0</v>
      </c>
      <c r="AW84" s="4">
        <f t="shared" si="12"/>
        <v>0</v>
      </c>
      <c r="AX84" s="4">
        <f t="shared" si="12"/>
        <v>0</v>
      </c>
      <c r="AY84" s="4">
        <f t="shared" si="12"/>
        <v>0</v>
      </c>
      <c r="AZ84" s="4">
        <f t="shared" si="12"/>
        <v>0</v>
      </c>
      <c r="BA84" s="4">
        <f t="shared" si="12"/>
        <v>0</v>
      </c>
      <c r="BB84" s="4">
        <f t="shared" si="12"/>
        <v>0</v>
      </c>
      <c r="BC84" s="4">
        <f t="shared" si="12"/>
        <v>0</v>
      </c>
      <c r="BD84" s="4">
        <f t="shared" si="12"/>
        <v>0</v>
      </c>
      <c r="BE84" s="4">
        <f t="shared" si="12"/>
        <v>0</v>
      </c>
      <c r="BF84" s="4">
        <f t="shared" si="12"/>
        <v>0</v>
      </c>
      <c r="BG84" s="4">
        <f t="shared" si="12"/>
        <v>0</v>
      </c>
      <c r="BH84" s="4">
        <f t="shared" si="12"/>
        <v>0</v>
      </c>
      <c r="BI84" s="4">
        <f t="shared" si="12"/>
        <v>0</v>
      </c>
      <c r="BJ84" s="4">
        <f t="shared" si="12"/>
        <v>0</v>
      </c>
      <c r="BK84" s="4">
        <f t="shared" si="12"/>
        <v>0</v>
      </c>
      <c r="BL84" s="4">
        <f t="shared" si="12"/>
        <v>0</v>
      </c>
    </row>
    <row r="85" spans="3:64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O85" s="4">
        <f t="shared" ref="AO85:BL85" si="13">AO75+AO78+AO81+AO84</f>
        <v>31</v>
      </c>
      <c r="AP85" s="4">
        <f t="shared" si="13"/>
        <v>4</v>
      </c>
      <c r="AQ85" s="4">
        <f t="shared" si="13"/>
        <v>1</v>
      </c>
      <c r="AR85" s="4">
        <f t="shared" si="13"/>
        <v>3</v>
      </c>
      <c r="AS85" s="4">
        <f t="shared" si="13"/>
        <v>6</v>
      </c>
      <c r="AT85" s="4">
        <f t="shared" si="13"/>
        <v>22</v>
      </c>
      <c r="AU85" s="4">
        <f t="shared" si="13"/>
        <v>5</v>
      </c>
      <c r="AV85" s="4">
        <f t="shared" si="13"/>
        <v>1</v>
      </c>
      <c r="AW85" s="4">
        <f t="shared" si="13"/>
        <v>7</v>
      </c>
      <c r="AX85" s="4">
        <f t="shared" si="13"/>
        <v>3</v>
      </c>
      <c r="AY85" s="4">
        <f t="shared" si="13"/>
        <v>0</v>
      </c>
      <c r="AZ85" s="4">
        <f t="shared" si="13"/>
        <v>6</v>
      </c>
      <c r="BA85" s="4">
        <f t="shared" si="13"/>
        <v>9</v>
      </c>
      <c r="BB85" s="4">
        <f t="shared" si="13"/>
        <v>17</v>
      </c>
      <c r="BC85" s="4">
        <f t="shared" si="13"/>
        <v>0</v>
      </c>
      <c r="BD85" s="4">
        <f t="shared" si="13"/>
        <v>0</v>
      </c>
      <c r="BE85" s="4">
        <f t="shared" si="13"/>
        <v>20</v>
      </c>
      <c r="BF85" s="4">
        <f t="shared" si="13"/>
        <v>23</v>
      </c>
      <c r="BG85" s="4">
        <f t="shared" si="13"/>
        <v>22</v>
      </c>
      <c r="BH85" s="4">
        <f t="shared" si="13"/>
        <v>21</v>
      </c>
      <c r="BI85" s="4">
        <f t="shared" si="13"/>
        <v>17</v>
      </c>
      <c r="BJ85" s="4">
        <f t="shared" si="13"/>
        <v>9</v>
      </c>
      <c r="BK85" s="4">
        <f t="shared" si="13"/>
        <v>1</v>
      </c>
      <c r="BL85" s="4">
        <f t="shared" si="13"/>
        <v>38</v>
      </c>
    </row>
    <row r="86" spans="3:64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64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64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64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64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64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64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64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64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64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64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3:26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3:26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3:26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3:26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3:26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zoomScale="113" zoomScaleNormal="113" zoomScalePageLayoutView="113" workbookViewId="0">
      <pane ySplit="1" topLeftCell="A3" activePane="bottomLeft" state="frozenSplit"/>
      <selection pane="bottomLeft" activeCell="A10" sqref="A10:XFD10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1294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1292</v>
      </c>
      <c r="L1" s="8" t="s">
        <v>1331</v>
      </c>
      <c r="M1" s="8" t="s">
        <v>1297</v>
      </c>
      <c r="N1" s="8" t="s">
        <v>1298</v>
      </c>
    </row>
    <row r="2" spans="1:18" s="24" customFormat="1" x14ac:dyDescent="0.2">
      <c r="A2" s="15" t="s">
        <v>1304</v>
      </c>
      <c r="B2" s="8" t="s">
        <v>23</v>
      </c>
      <c r="C2" s="8" t="s">
        <v>23</v>
      </c>
      <c r="D2" s="15" t="s">
        <v>1305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1389</v>
      </c>
      <c r="B3" s="8" t="s">
        <v>23</v>
      </c>
      <c r="C3" s="8" t="s">
        <v>23</v>
      </c>
      <c r="D3" s="15" t="s">
        <v>1305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1389</v>
      </c>
      <c r="B4" s="8" t="s">
        <v>23</v>
      </c>
      <c r="C4" s="8" t="s">
        <v>23</v>
      </c>
      <c r="D4" s="15" t="s">
        <v>1305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1389</v>
      </c>
      <c r="B5" s="8" t="s">
        <v>23</v>
      </c>
      <c r="C5" s="8" t="s">
        <v>23</v>
      </c>
      <c r="D5" s="15" t="s">
        <v>1305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3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0">
        <f>VLOOKUP($D8,'SegEnds_NonXtal_Prot#'!$A:$AZ,31,FALSE)-VLOOKUP($D8,'SegEnds_NonXtal_Prot#'!$A:$AZ,28,FALSE)</f>
        <v>43</v>
      </c>
      <c r="G8" s="81">
        <f>50+VLOOKUP($A8,'SegEnds_Xtal_Prot#'!$A:$AY,39,FALSE)-VLOOKUP($D8,'SegEnds_NonXtal_Prot#'!$A:$AZ,28,FALSE)</f>
        <v>68</v>
      </c>
      <c r="H8" s="82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924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1292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0">
        <f>VLOOKUP($D10,'SegEnds_NonXtal_Prot#'!$A:$AZ,31,FALSE)-VLOOKUP($D10,'SegEnds_NonXtal_Prot#'!$A:$AZ,28,FALSE)</f>
        <v>44</v>
      </c>
      <c r="G10" s="81">
        <f>50+VLOOKUP($A10,'SegEnds_Xtal_Prot#'!$A:$AY,39,FALSE)-VLOOKUP($D10,'SegEnds_NonXtal_Prot#'!$A:$AZ,28,FALSE)</f>
        <v>68</v>
      </c>
      <c r="H10" s="82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1173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1303</v>
      </c>
      <c r="N16" s="1"/>
    </row>
    <row r="17" spans="1:14" x14ac:dyDescent="0.2">
      <c r="A17" s="3" t="str">
        <f t="shared" si="0"/>
        <v>oprd_human__wt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335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oprd_mouse__wt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916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oprk_human__wt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336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oprm_mouse__wt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918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>
        <f>G20</f>
        <v>68</v>
      </c>
      <c r="J20" s="3">
        <f>H20</f>
        <v>23</v>
      </c>
      <c r="K20" s="1" t="s">
        <v>1292</v>
      </c>
      <c r="L20" s="1"/>
      <c r="M20" s="1"/>
      <c r="N20" s="1"/>
    </row>
    <row r="21" spans="1:14" x14ac:dyDescent="0.2">
      <c r="A21" s="3" t="str">
        <f t="shared" si="0"/>
        <v>oprx_human__wt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1174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opsd_bovin__wt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920</v>
      </c>
      <c r="E22" s="3">
        <f>VLOOKUP($D22,'SegEnds_NonXtal_Prot#'!$A:$AZ,30,FALSE)-VLOOKUP($D22,'SegEnds_NonXtal_Prot#'!$A:$AZ,29,FALSE)</f>
        <v>4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24</v>
      </c>
      <c r="I22" s="3"/>
      <c r="J22" s="3"/>
      <c r="K22" s="1" t="s">
        <v>1292</v>
      </c>
      <c r="L22" s="1"/>
      <c r="M22" s="1"/>
      <c r="N22" s="1"/>
    </row>
    <row r="23" spans="1:14" customFormat="1" x14ac:dyDescent="0.2">
      <c r="A23" s="3" t="str">
        <f t="shared" si="0"/>
        <v>opsd_human__wt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339</v>
      </c>
      <c r="E23" s="3">
        <f>VLOOKUP($D23,'SegEnds_NonXtal_Prot#'!$A:$AZ,30,FALSE)-VLOOKUP($D23,'SegEnds_NonXtal_Prot#'!$A:$AZ,29,FALSE)</f>
        <v>4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  <c r="I23" s="3"/>
      <c r="J23" s="3"/>
    </row>
    <row r="24" spans="1:14" customFormat="1" x14ac:dyDescent="0.2">
      <c r="A24" s="1" t="s">
        <v>1330</v>
      </c>
      <c r="B24" s="3" t="str">
        <f>VLOOKUP(D24,Classification!A:D,3,FALSE)</f>
        <v>Peptide</v>
      </c>
      <c r="C24" s="3" t="str">
        <f>VLOOKUP(D24,Classification!A:D,4,FALSE)</f>
        <v>Endothelin</v>
      </c>
      <c r="D24" s="3" t="s">
        <v>196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53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</row>
    <row r="25" spans="1:14" customFormat="1" x14ac:dyDescent="0.2">
      <c r="A25" s="3" t="str">
        <f t="shared" ref="A25:A41" si="1">D25&amp;"__wt"</f>
        <v>lpar1_human__wt</v>
      </c>
      <c r="B25" s="3" t="str">
        <f>VLOOKUP(D25,Classification!A:D,3,FALSE)</f>
        <v>Lipid</v>
      </c>
      <c r="C25" s="3" t="str">
        <f>VLOOKUP(D25,Classification!A:D,4,FALSE)</f>
        <v>Lysophospholipid(LPA)</v>
      </c>
      <c r="D25" s="9" t="s">
        <v>103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56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22</v>
      </c>
      <c r="I25" s="3"/>
      <c r="J25" s="3"/>
      <c r="M25" t="s">
        <v>1299</v>
      </c>
    </row>
    <row r="26" spans="1:14" customFormat="1" x14ac:dyDescent="0.2">
      <c r="A26" s="3" t="str">
        <f t="shared" si="1"/>
        <v>s1pr1_human__wt</v>
      </c>
      <c r="B26" s="3" t="str">
        <f>VLOOKUP(D26,Classification!A:D,3,FALSE)</f>
        <v>Lipid</v>
      </c>
      <c r="C26" s="3" t="str">
        <f>VLOOKUP(D26,Classification!A:D,4,FALSE)</f>
        <v>Lysophospholipid(S1P)</v>
      </c>
      <c r="D26" s="9" t="s">
        <v>104</v>
      </c>
      <c r="E26" s="3">
        <f>VLOOKUP($D26,'SegEnds_NonXtal_Prot#'!$A:$AZ,30,FALSE)-VLOOKUP($D26,'SegEnds_NonXtal_Prot#'!$A:$AZ,29,FALSE)</f>
        <v>9</v>
      </c>
      <c r="F26" s="1">
        <f>VLOOKUP($D26,'SegEnds_NonXtal_Prot#'!$A:$AZ,31,FALSE)-VLOOKUP($D26,'SegEnds_NonXtal_Prot#'!$A:$AZ,28,FALSE)</f>
        <v>58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24</v>
      </c>
      <c r="I26" s="3"/>
      <c r="J26" s="3"/>
      <c r="M26" t="s">
        <v>1300</v>
      </c>
    </row>
    <row r="27" spans="1:14" customFormat="1" x14ac:dyDescent="0.2">
      <c r="A27" s="3" t="str">
        <f t="shared" si="1"/>
        <v>aa2ar_human__wt</v>
      </c>
      <c r="B27" s="3" t="str">
        <f>VLOOKUP(D27,Classification!A:D,3,FALSE)</f>
        <v>Nucleotide</v>
      </c>
      <c r="C27" s="3" t="str">
        <f>VLOOKUP(D27,Classification!A:D,4,FALSE)</f>
        <v>Adenosine</v>
      </c>
      <c r="D27" s="3" t="s">
        <v>139</v>
      </c>
      <c r="E27" s="3">
        <f>VLOOKUP($D27,'SegEnds_NonXtal_Prot#'!$A:$AZ,30,FALSE)-VLOOKUP($D27,'SegEnds_NonXtal_Prot#'!$A:$AZ,29,FALSE)</f>
        <v>6</v>
      </c>
      <c r="F27" s="1">
        <f>VLOOKUP($D27,'SegEnds_NonXtal_Prot#'!$A:$AZ,31,FALSE)-VLOOKUP($D27,'SegEnds_NonXtal_Prot#'!$A:$AZ,28,FALSE)</f>
        <v>59</v>
      </c>
      <c r="G27" s="3">
        <f>50+VLOOKUP($A27,'SegEnds_Xtal_Prot#'!$A:$AY,39,FALSE)-VLOOKUP($D27,'SegEnds_NonXtal_Prot#'!$A:$AZ,28,FALSE)</f>
        <v>74</v>
      </c>
      <c r="H27" s="3">
        <f>50+VLOOKUP($A27,'SegEnds_Xtal_Prot#'!$A:$AY,41,FALSE)-VLOOKUP($D27,'SegEnds_NonXtal_Prot#'!$A:$AZ,31,FALSE)</f>
        <v>21</v>
      </c>
      <c r="I27" s="3">
        <f>G27</f>
        <v>74</v>
      </c>
      <c r="J27" s="3">
        <f>H27</f>
        <v>21</v>
      </c>
      <c r="K27" s="1" t="s">
        <v>1292</v>
      </c>
      <c r="L27" s="1"/>
    </row>
    <row r="28" spans="1:14" customFormat="1" x14ac:dyDescent="0.2">
      <c r="A28" s="3" t="str">
        <f t="shared" si="1"/>
        <v>ntr1_rat__wt</v>
      </c>
      <c r="B28" s="3" t="str">
        <f>VLOOKUP(D28,Classification!A:D,3,FALSE)</f>
        <v>Peptide</v>
      </c>
      <c r="C28" s="3" t="str">
        <f>VLOOKUP(D28,Classification!A:D,4,FALSE)</f>
        <v>Neurotensin</v>
      </c>
      <c r="D28" s="48" t="s">
        <v>914</v>
      </c>
      <c r="E28" s="3">
        <f>VLOOKUP($D28,'SegEnds_NonXtal_Prot#'!$A:$AZ,30,FALSE)-VLOOKUP($D28,'SegEnds_NonXtal_Prot#'!$A:$AZ,29,FALSE)</f>
        <v>22</v>
      </c>
      <c r="F28" s="1">
        <f>VLOOKUP($D28,'SegEnds_NonXtal_Prot#'!$A:$AZ,31,FALSE)-VLOOKUP($D28,'SegEnds_NonXtal_Prot#'!$A:$AZ,28,FALSE)</f>
        <v>74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/>
      <c r="J28" s="3"/>
      <c r="M28" t="s">
        <v>1296</v>
      </c>
    </row>
    <row r="29" spans="1:14" customFormat="1" x14ac:dyDescent="0.2">
      <c r="A29" s="3" t="str">
        <f t="shared" si="1"/>
        <v>adrb2_human__wt</v>
      </c>
      <c r="B29" s="3" t="str">
        <f>VLOOKUP(D29,Classification!A:D,3,FALSE)</f>
        <v>Aminergic</v>
      </c>
      <c r="C29" s="3" t="str">
        <f>VLOOKUP(D29,Classification!A:D,4,FALSE)</f>
        <v>Adrenoceptors</v>
      </c>
      <c r="D29" s="48" t="s">
        <v>126</v>
      </c>
      <c r="E29" s="3">
        <f>VLOOKUP($D29,'SegEnds_NonXtal_Prot#'!$A:$AZ,30,FALSE)-VLOOKUP($D29,'SegEnds_NonXtal_Prot#'!$A:$AZ,29,FALSE)</f>
        <v>25</v>
      </c>
      <c r="F29" s="1">
        <f>VLOOKUP($D29,'SegEnds_NonXtal_Prot#'!$A:$AZ,31,FALSE)-VLOOKUP($D29,'SegEnds_NonXtal_Prot#'!$A:$AZ,28,FALSE)</f>
        <v>77</v>
      </c>
      <c r="G29" s="3">
        <f>50+VLOOKUP($A29,'SegEnds_Xtal_Prot#'!$A:$AY,39,FALSE)-VLOOKUP($D29,'SegEnds_NonXtal_Prot#'!$A:$AZ,28,FALSE)</f>
        <v>76</v>
      </c>
      <c r="H29" s="3">
        <f>50+VLOOKUP($A29,'SegEnds_Xtal_Prot#'!$A:$AY,41,FALSE)-VLOOKUP($D29,'SegEnds_NonXtal_Prot#'!$A:$AZ,31,FALSE)</f>
        <v>24</v>
      </c>
      <c r="I29" s="3">
        <f>G29</f>
        <v>76</v>
      </c>
      <c r="J29" s="3"/>
      <c r="K29" s="1" t="s">
        <v>1292</v>
      </c>
      <c r="L29" s="1"/>
      <c r="N29" t="s">
        <v>1302</v>
      </c>
    </row>
    <row r="30" spans="1:14" x14ac:dyDescent="0.2">
      <c r="A30" s="3" t="str">
        <f t="shared" si="1"/>
        <v>5ht1b_human__wt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34</v>
      </c>
      <c r="E30" s="3">
        <f>VLOOKUP($D30,'SegEnds_NonXtal_Prot#'!$A:$AZ,30,FALSE)-VLOOKUP($D30,'SegEnds_NonXtal_Prot#'!$A:$AZ,29,FALSE)</f>
        <v>59</v>
      </c>
      <c r="F30" s="1">
        <f>VLOOKUP($D30,'SegEnds_NonXtal_Prot#'!$A:$AZ,31,FALSE)-VLOOKUP($D30,'SegEnds_NonXtal_Prot#'!$A:$AZ,28,FALSE)</f>
        <v>109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>
        <v>76</v>
      </c>
      <c r="M30" s="1"/>
      <c r="N30" s="1"/>
    </row>
    <row r="31" spans="1:14" x14ac:dyDescent="0.2">
      <c r="A31" s="3" t="str">
        <f t="shared" si="1"/>
        <v>5ht2b_human__wt</v>
      </c>
      <c r="B31" s="3" t="str">
        <f>VLOOKUP(D31,Classification!A:D,3,FALSE)</f>
        <v>Aminergic</v>
      </c>
      <c r="C31" s="3" t="str">
        <f>VLOOKUP(D31,Classification!A:D,4,FALSE)</f>
        <v>5-Hydroxytryptamine</v>
      </c>
      <c r="D31" s="3" t="s">
        <v>35</v>
      </c>
      <c r="E31" s="3">
        <f>VLOOKUP($D31,'SegEnds_NonXtal_Prot#'!$A:$AZ,30,FALSE)-VLOOKUP($D31,'SegEnds_NonXtal_Prot#'!$A:$AZ,29,FALSE)</f>
        <v>58</v>
      </c>
      <c r="F31" s="1">
        <f>VLOOKUP($D31,'SegEnds_NonXtal_Prot#'!$A:$AZ,31,FALSE)-VLOOKUP($D31,'SegEnds_NonXtal_Prot#'!$A:$AZ,28,FALSE)</f>
        <v>110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1"/>
        <v>drd3_human__wt</v>
      </c>
      <c r="B32" s="3" t="str">
        <f>VLOOKUP(D32,Classification!A:D,3,FALSE)</f>
        <v>Aminergic</v>
      </c>
      <c r="C32" s="3" t="str">
        <f>VLOOKUP(D32,Classification!A:D,4,FALSE)</f>
        <v>Dopamine</v>
      </c>
      <c r="D32" s="3" t="s">
        <v>192</v>
      </c>
      <c r="E32" s="3">
        <f>VLOOKUP($D32,'SegEnds_NonXtal_Prot#'!$A:$AZ,30,FALSE)-VLOOKUP($D32,'SegEnds_NonXtal_Prot#'!$A:$AZ,29,FALSE)</f>
        <v>92</v>
      </c>
      <c r="F32" s="1">
        <f>VLOOKUP($D32,'SegEnds_NonXtal_Prot#'!$A:$AZ,31,FALSE)-VLOOKUP($D32,'SegEnds_NonXtal_Prot#'!$A:$AZ,28,FALSE)</f>
        <v>144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1"/>
        <v>acm1_human__wt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146</v>
      </c>
      <c r="E33" s="3">
        <f>VLOOKUP($D33,'SegEnds_NonXtal_Prot#'!$A:$AZ,30,FALSE)-VLOOKUP($D33,'SegEnds_NonXtal_Prot#'!$A:$AZ,29,FALSE)</f>
        <v>129</v>
      </c>
      <c r="F33" s="1">
        <f>VLOOKUP($D33,'SegEnds_NonXtal_Prot#'!$A:$AZ,31,FALSE)-VLOOKUP($D33,'SegEnds_NonXtal_Prot#'!$A:$AZ,28,FALSE)</f>
        <v>180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1"/>
        <v>acm2_human__wt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147</v>
      </c>
      <c r="E34" s="3">
        <f>VLOOKUP($D34,'SegEnds_NonXtal_Prot#'!$A:$AZ,30,FALSE)-VLOOKUP($D34,'SegEnds_NonXtal_Prot#'!$A:$AZ,29,FALSE)</f>
        <v>153</v>
      </c>
      <c r="F34" s="1">
        <f>VLOOKUP($D34,'SegEnds_NonXtal_Prot#'!$A:$AZ,31,FALSE)-VLOOKUP($D34,'SegEnds_NonXtal_Prot#'!$A:$AZ,28,FALSE)</f>
        <v>204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>
        <f>G34</f>
        <v>75</v>
      </c>
      <c r="J34" s="3">
        <f>H34</f>
        <v>24</v>
      </c>
      <c r="K34" s="1" t="s">
        <v>1292</v>
      </c>
      <c r="L34" s="1"/>
      <c r="M34" s="1"/>
      <c r="N34" s="1"/>
    </row>
    <row r="35" spans="1:14" x14ac:dyDescent="0.2">
      <c r="A35" s="3" t="str">
        <f t="shared" si="1"/>
        <v>acm4_human__wt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149</v>
      </c>
      <c r="E35" s="3">
        <f>VLOOKUP($D35,'SegEnds_NonXtal_Prot#'!$A:$AZ,30,FALSE)-VLOOKUP($D35,'SegEnds_NonXtal_Prot#'!$A:$AZ,29,FALSE)</f>
        <v>157</v>
      </c>
      <c r="F35" s="1">
        <f>VLOOKUP($D35,'SegEnds_NonXtal_Prot#'!$A:$AZ,31,FALSE)-VLOOKUP($D35,'SegEnds_NonXtal_Prot#'!$A:$AZ,28,FALSE)</f>
        <v>208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customFormat="1" x14ac:dyDescent="0.2">
      <c r="A36" s="3" t="str">
        <f t="shared" si="1"/>
        <v>hrh1_human__wt</v>
      </c>
      <c r="B36" s="3" t="str">
        <f>VLOOKUP(D36,Classification!A:D,3,FALSE)</f>
        <v>Aminergic</v>
      </c>
      <c r="C36" s="3" t="str">
        <f>VLOOKUP(D36,Classification!A:D,4,FALSE)</f>
        <v>Histamine</v>
      </c>
      <c r="D36" s="3" t="s">
        <v>278</v>
      </c>
      <c r="E36" s="3">
        <f>VLOOKUP($D36,'SegEnds_NonXtal_Prot#'!$A:$AZ,30,FALSE)-VLOOKUP($D36,'SegEnds_NonXtal_Prot#'!$A:$AZ,29,FALSE)</f>
        <v>176</v>
      </c>
      <c r="F36" s="1">
        <f>VLOOKUP($D36,'SegEnds_NonXtal_Prot#'!$A:$AZ,31,FALSE)-VLOOKUP($D36,'SegEnds_NonXtal_Prot#'!$A:$AZ,28,FALSE)</f>
        <v>228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customFormat="1" x14ac:dyDescent="0.2">
      <c r="A37" s="3" t="str">
        <f t="shared" si="1"/>
        <v>acm3_rat__wt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910</v>
      </c>
      <c r="E37" s="3">
        <f>VLOOKUP($D37,'SegEnds_NonXtal_Prot#'!$A:$AZ,30,FALSE)-VLOOKUP($D37,'SegEnds_NonXtal_Prot#'!$A:$AZ,29,FALSE)</f>
        <v>212</v>
      </c>
      <c r="F37" s="1">
        <f>VLOOKUP($D37,'SegEnds_NonXtal_Prot#'!$A:$AZ,31,FALSE)-VLOOKUP($D37,'SegEnds_NonXtal_Prot#'!$A:$AZ,28,FALSE)</f>
        <v>263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</row>
    <row r="38" spans="1:14" s="60" customFormat="1" x14ac:dyDescent="0.2">
      <c r="A38" s="59" t="str">
        <f t="shared" si="1"/>
        <v>opsd_todpa__wt</v>
      </c>
      <c r="B38" s="59" t="str">
        <f>VLOOKUP(D38,Classification!A:D,3,FALSE)</f>
        <v>Sensory</v>
      </c>
      <c r="C38" s="59" t="str">
        <f>VLOOKUP(D38,Classification!A:D,4,FALSE)</f>
        <v>Opsins</v>
      </c>
      <c r="D38" s="59" t="s">
        <v>922</v>
      </c>
      <c r="E38" s="59">
        <f>VLOOKUP($D38,'SegEnds_NonXtal_Prot#'!$A:$AZ,30,FALSE)-VLOOKUP($D38,'SegEnds_NonXtal_Prot#'!$A:$AZ,29,FALSE)</f>
        <v>5</v>
      </c>
      <c r="F38" s="42">
        <f>VLOOKUP($D38,'SegEnds_NonXtal_Prot#'!$A:$AZ,31,FALSE)-VLOOKUP($D38,'SegEnds_NonXtal_Prot#'!$A:$AZ,28,FALSE)</f>
        <v>64</v>
      </c>
      <c r="G38" s="59">
        <f>50+VLOOKUP($A38,'SegEnds_Xtal_Prot#'!$A:$AY,39,FALSE)-VLOOKUP($D38,'SegEnds_NonXtal_Prot#'!$A:$AZ,28,FALSE)</f>
        <v>77</v>
      </c>
      <c r="H38" s="59">
        <f>50+VLOOKUP($A38,'SegEnds_Xtal_Prot#'!$A:$AY,41,FALSE)-VLOOKUP($D38,'SegEnds_NonXtal_Prot#'!$A:$AZ,31,FALSE)</f>
        <v>18</v>
      </c>
      <c r="I38" s="79" t="s">
        <v>1332</v>
      </c>
      <c r="J38" s="59"/>
    </row>
    <row r="39" spans="1:14" x14ac:dyDescent="0.2">
      <c r="A39" s="3" t="str">
        <f t="shared" si="1"/>
        <v>ox2r_human__wt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8" t="s">
        <v>1176</v>
      </c>
      <c r="E39" s="3">
        <f>VLOOKUP($D39,'SegEnds_NonXtal_Prot#'!$A:$AZ,30,FALSE)-VLOOKUP($D39,'SegEnds_NonXtal_Prot#'!$A:$AZ,29,FALSE)</f>
        <v>33</v>
      </c>
      <c r="F39" s="1">
        <f>VLOOKUP($D39,'SegEnds_NonXtal_Prot#'!$A:$AZ,31,FALSE)-VLOOKUP($D39,'SegEnds_NonXtal_Prot#'!$A:$AZ,28,FALSE)</f>
        <v>84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K39" s="1"/>
      <c r="L39" s="1"/>
      <c r="M39" s="1" t="s">
        <v>1295</v>
      </c>
      <c r="N39" s="1" t="s">
        <v>1301</v>
      </c>
    </row>
    <row r="40" spans="1:14" customFormat="1" x14ac:dyDescent="0.2">
      <c r="A40" s="3" t="str">
        <f t="shared" si="1"/>
        <v>ox1r_human__wt</v>
      </c>
      <c r="B40" s="3" t="str">
        <f>VLOOKUP(D40,Classification!A:D,3,FALSE)</f>
        <v>Peptide</v>
      </c>
      <c r="C40" s="3" t="str">
        <f>VLOOKUP(D40,Classification!A:D,4,FALSE)</f>
        <v>Orexin</v>
      </c>
      <c r="D40" s="48" t="s">
        <v>1175</v>
      </c>
      <c r="E40" s="3">
        <f>VLOOKUP($D40,'SegEnds_NonXtal_Prot#'!$A:$AZ,30,FALSE)-VLOOKUP($D40,'SegEnds_NonXtal_Prot#'!$A:$AZ,29,FALSE)</f>
        <v>35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71</v>
      </c>
      <c r="H40" s="3">
        <f>50+VLOOKUP($A40,'SegEnds_Xtal_Prot#'!$A:$AY,41,FALSE)-VLOOKUP($D40,'SegEnds_NonXtal_Prot#'!$A:$AZ,31,FALSE)</f>
        <v>20</v>
      </c>
      <c r="I40" s="3"/>
      <c r="J40" s="3"/>
      <c r="M40" s="1" t="s">
        <v>1295</v>
      </c>
      <c r="N40" s="1" t="s">
        <v>1301</v>
      </c>
    </row>
    <row r="41" spans="1:14" x14ac:dyDescent="0.2">
      <c r="A41" s="3" t="str">
        <f t="shared" si="1"/>
        <v>adrb1_melga__wt</v>
      </c>
      <c r="B41" s="3" t="str">
        <f>VLOOKUP(D41,Classification!A:D,3,FALSE)</f>
        <v>Aminergic</v>
      </c>
      <c r="C41" s="3" t="str">
        <f>VLOOKUP(D41,Classification!A:D,4,FALSE)</f>
        <v>Adrenoceptors</v>
      </c>
      <c r="D41" s="3" t="s">
        <v>912</v>
      </c>
      <c r="E41" s="3">
        <f>VLOOKUP($D41,'SegEnds_NonXtal_Prot#'!$A:$AZ,30,FALSE)-VLOOKUP($D41,'SegEnds_NonXtal_Prot#'!$A:$AZ,29,FALSE)</f>
        <v>30</v>
      </c>
      <c r="F41" s="1">
        <f>VLOOKUP($D41,'SegEnds_NonXtal_Prot#'!$A:$AZ,31,FALSE)-VLOOKUP($D41,'SegEnds_NonXtal_Prot#'!$A:$AZ,28,FALSE)</f>
        <v>86</v>
      </c>
      <c r="G41" s="3">
        <f>50+VLOOKUP($A41,'SegEnds_Xtal_Prot#'!$A:$AY,39,FALSE)-VLOOKUP($D41,'SegEnds_NonXtal_Prot#'!$A:$AZ,28,FALSE)</f>
        <v>76</v>
      </c>
      <c r="H41" s="3">
        <f>50+VLOOKUP($A41,'SegEnds_Xtal_Prot#'!$A:$AY,41,FALSE)-VLOOKUP($D41,'SegEnds_NonXtal_Prot#'!$A:$AZ,31,FALSE)</f>
        <v>20</v>
      </c>
      <c r="I41" s="3">
        <f>G41</f>
        <v>76</v>
      </c>
      <c r="J41" s="3">
        <f>H41</f>
        <v>20</v>
      </c>
      <c r="K41" s="1" t="s">
        <v>1292</v>
      </c>
      <c r="L41" s="1"/>
      <c r="M41" s="1"/>
      <c r="N41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8" priority="10" operator="equal">
      <formula>"Opsins"</formula>
    </cfRule>
    <cfRule type="cellIs" dxfId="57" priority="11" operator="equal">
      <formula>"Opioid"</formula>
    </cfRule>
    <cfRule type="cellIs" dxfId="56" priority="12" operator="equal">
      <formula>"P2Y"</formula>
    </cfRule>
    <cfRule type="cellIs" dxfId="55" priority="13" operator="equal">
      <formula>"Chemokine"</formula>
    </cfRule>
  </conditionalFormatting>
  <conditionalFormatting sqref="B6:B41">
    <cfRule type="cellIs" dxfId="54" priority="5" operator="equal">
      <formula>"Aminergic"</formula>
    </cfRule>
    <cfRule type="cellIs" dxfId="53" priority="6" operator="equal">
      <formula>"Opsins"</formula>
    </cfRule>
    <cfRule type="cellIs" dxfId="52" priority="7" operator="equal">
      <formula>"Opioid"</formula>
    </cfRule>
    <cfRule type="cellIs" dxfId="51" priority="8" operator="equal">
      <formula>"P2Y"</formula>
    </cfRule>
    <cfRule type="cellIs" dxfId="50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zoomScale="113" zoomScaleNormal="113" zoomScalePageLayoutView="113" workbookViewId="0">
      <pane ySplit="1" topLeftCell="A2" activePane="bottomLeft" state="frozenSplit"/>
      <selection pane="bottomLeft" activeCell="D12" sqref="D1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1294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1292</v>
      </c>
      <c r="L1" s="8" t="s">
        <v>1331</v>
      </c>
      <c r="M1" s="8" t="s">
        <v>1297</v>
      </c>
      <c r="N1" s="8" t="s">
        <v>1298</v>
      </c>
    </row>
    <row r="2" spans="1:15" s="24" customFormat="1" x14ac:dyDescent="0.2">
      <c r="A2" s="15" t="s">
        <v>1304</v>
      </c>
      <c r="B2" s="8" t="s">
        <v>23</v>
      </c>
      <c r="C2" s="8" t="s">
        <v>23</v>
      </c>
      <c r="D2" s="15" t="s">
        <v>1305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1389</v>
      </c>
      <c r="B3" s="8" t="s">
        <v>23</v>
      </c>
      <c r="C3" s="8" t="s">
        <v>23</v>
      </c>
      <c r="D3" s="15" t="s">
        <v>1305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1389</v>
      </c>
      <c r="B4" s="8" t="s">
        <v>23</v>
      </c>
      <c r="C4" s="8" t="s">
        <v>23</v>
      </c>
      <c r="D4" s="15" t="s">
        <v>1305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1389</v>
      </c>
      <c r="B5" s="8" t="s">
        <v>23</v>
      </c>
      <c r="C5" s="8" t="s">
        <v>23</v>
      </c>
      <c r="D5" s="15" t="s">
        <v>1305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406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1409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1421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</sheetData>
  <conditionalFormatting sqref="C1:C1048576">
    <cfRule type="cellIs" dxfId="49" priority="8" operator="equal">
      <formula>"Opsins"</formula>
    </cfRule>
    <cfRule type="cellIs" dxfId="48" priority="9" operator="equal">
      <formula>"Opioid"</formula>
    </cfRule>
    <cfRule type="cellIs" dxfId="47" priority="10" operator="equal">
      <formula>"P2Y"</formula>
    </cfRule>
    <cfRule type="cellIs" dxfId="46" priority="11" operator="equal">
      <formula>"Chemokine"</formula>
    </cfRule>
  </conditionalFormatting>
  <conditionalFormatting sqref="B6:B8">
    <cfRule type="cellIs" dxfId="45" priority="3" operator="equal">
      <formula>"Aminergic"</formula>
    </cfRule>
    <cfRule type="cellIs" dxfId="44" priority="4" operator="equal">
      <formula>"Opsins"</formula>
    </cfRule>
    <cfRule type="cellIs" dxfId="43" priority="5" operator="equal">
      <formula>"Opioid"</formula>
    </cfRule>
    <cfRule type="cellIs" dxfId="42" priority="6" operator="equal">
      <formula>"P2Y"</formula>
    </cfRule>
    <cfRule type="cellIs" dxfId="41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8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"/>
  <sheetViews>
    <sheetView zoomScale="113" zoomScaleNormal="113" zoomScalePageLayoutView="113" workbookViewId="0">
      <pane ySplit="1" topLeftCell="A2" activePane="bottomLeft" state="frozenSplit"/>
      <selection pane="bottomLeft" activeCell="A25" sqref="A25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1294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1292</v>
      </c>
      <c r="L1" s="8" t="s">
        <v>1331</v>
      </c>
      <c r="M1" s="8" t="s">
        <v>1297</v>
      </c>
      <c r="N1" s="8" t="s">
        <v>1298</v>
      </c>
    </row>
    <row r="2" spans="1:14" s="24" customFormat="1" x14ac:dyDescent="0.2">
      <c r="A2" s="15" t="s">
        <v>1304</v>
      </c>
      <c r="B2" s="8" t="s">
        <v>23</v>
      </c>
      <c r="C2" s="8" t="s">
        <v>23</v>
      </c>
      <c r="D2" s="15" t="s">
        <v>1305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1389</v>
      </c>
      <c r="B3" s="8" t="s">
        <v>23</v>
      </c>
      <c r="C3" s="8" t="s">
        <v>23</v>
      </c>
      <c r="D3" s="15" t="s">
        <v>1305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1389</v>
      </c>
      <c r="B4" s="8" t="s">
        <v>23</v>
      </c>
      <c r="C4" s="8" t="s">
        <v>23</v>
      </c>
      <c r="D4" s="15" t="s">
        <v>1305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1389</v>
      </c>
      <c r="B5" s="8" t="s">
        <v>23</v>
      </c>
      <c r="C5" s="8" t="s">
        <v>23</v>
      </c>
      <c r="D5" s="15" t="s">
        <v>1305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9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24</v>
      </c>
      <c r="I6" s="3"/>
      <c r="J6" s="3"/>
    </row>
  </sheetData>
  <conditionalFormatting sqref="C1:C1048576">
    <cfRule type="cellIs" dxfId="40" priority="8" operator="equal">
      <formula>"Opsins"</formula>
    </cfRule>
    <cfRule type="cellIs" dxfId="39" priority="9" operator="equal">
      <formula>"Opioid"</formula>
    </cfRule>
    <cfRule type="cellIs" dxfId="38" priority="10" operator="equal">
      <formula>"P2Y"</formula>
    </cfRule>
    <cfRule type="cellIs" dxfId="37" priority="11" operator="equal">
      <formula>"Chemokine"</formula>
    </cfRule>
  </conditionalFormatting>
  <conditionalFormatting sqref="B6">
    <cfRule type="cellIs" dxfId="36" priority="3" operator="equal">
      <formula>"Aminergic"</formula>
    </cfRule>
    <cfRule type="cellIs" dxfId="35" priority="4" operator="equal">
      <formula>"Opsins"</formula>
    </cfRule>
    <cfRule type="cellIs" dxfId="34" priority="5" operator="equal">
      <formula>"Opioid"</formula>
    </cfRule>
    <cfRule type="cellIs" dxfId="33" priority="6" operator="equal">
      <formula>"P2Y"</formula>
    </cfRule>
    <cfRule type="cellIs" dxfId="32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1"/>
  <sheetViews>
    <sheetView zoomScale="135" zoomScaleNormal="135" zoomScalePageLayoutView="135" workbookViewId="0">
      <pane ySplit="1" topLeftCell="A150" activePane="bottomLeft" state="frozenSplit"/>
      <selection pane="bottomLeft" activeCell="Z166" sqref="Z166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99" t="s">
        <v>1064</v>
      </c>
      <c r="I1" s="8" t="s">
        <v>1080</v>
      </c>
      <c r="J1" s="8" t="s">
        <v>1081</v>
      </c>
      <c r="K1" s="99" t="s">
        <v>1065</v>
      </c>
      <c r="L1" s="8" t="s">
        <v>1066</v>
      </c>
      <c r="M1" s="8" t="s">
        <v>1093</v>
      </c>
      <c r="N1" s="99" t="s">
        <v>1094</v>
      </c>
      <c r="O1" s="86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1241</v>
      </c>
      <c r="AC1" s="30" t="s">
        <v>1287</v>
      </c>
      <c r="AD1" s="30" t="s">
        <v>1283</v>
      </c>
      <c r="AE1" s="30" t="s">
        <v>1242</v>
      </c>
      <c r="AF1" s="30" t="s">
        <v>1276</v>
      </c>
      <c r="AG1" s="26" t="s">
        <v>1280</v>
      </c>
      <c r="AH1" s="30" t="s">
        <v>1392</v>
      </c>
      <c r="AI1" s="30" t="s">
        <v>1243</v>
      </c>
      <c r="AJ1" s="30" t="s">
        <v>1240</v>
      </c>
      <c r="AK1" s="30" t="s">
        <v>1481</v>
      </c>
      <c r="AL1" s="30" t="s">
        <v>1227</v>
      </c>
    </row>
    <row r="2" spans="1:38" x14ac:dyDescent="0.2">
      <c r="A2" s="1" t="s">
        <v>220</v>
      </c>
      <c r="B2" s="1" t="str">
        <f>VLOOKUP(A2,Xtal_Templ!A:B,2,FALSE)</f>
        <v>5ht1b_human</v>
      </c>
      <c r="C2" s="5">
        <f>VLOOKUP($B2&amp;"__wt",'SegEnds_Xtal_BW#'!$A:$Z,3,FALSE)</f>
        <v>28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66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7">
        <v>38</v>
      </c>
      <c r="P2" s="1">
        <f>VLOOKUP($B2&amp;"__wt",'SegEnds_Xtal_BW#'!$A:$Z,16,FALSE)</f>
        <v>63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v>35</v>
      </c>
      <c r="T2" s="1">
        <f t="array" ref="T2">INDEX(ICL3_classA!$G$2:$G$37,MATCH(MIN(ABS(AI2-ICL3_classA!$F$2:$F$37)),ABS(AI2-ICL3_classA!$F$2:$F$37),0))</f>
        <v>76</v>
      </c>
      <c r="U2" s="1">
        <f t="array" ref="U2">INDEX(ICL3_classA!$H$2:$H$37,MATCH(MIN(ABS(AI2-ICL3_classA!$F$2:$F$37)),ABS(AI2-ICL3_classA!$F$2:$F$37),0))</f>
        <v>24</v>
      </c>
      <c r="V2" s="1">
        <v>58</v>
      </c>
      <c r="W2" s="1">
        <v>36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58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29</v>
      </c>
      <c r="AC2" s="1">
        <f>VLOOKUP(A2,'SegEnds_NonXtal_Prot#'!A:AL,10,FALSE)-VLOOKUP(A2,'SegEnds_NonXtal_Prot#'!A:AL,7,FALSE)</f>
        <v>16</v>
      </c>
      <c r="AD2" s="1">
        <f>VLOOKUP(A2,'SegEnds_NonXtal_Prot#'!A:AL,13,FALSE)-VLOOKUP(A2,'SegEnds_NonXtal_Prot#'!A:AL,10,FALSE)</f>
        <v>18</v>
      </c>
      <c r="AE2" s="1">
        <f>VLOOKUP(A2,'SegEnds_NonXtal_Prot#'!A:AL,16,FALSE)-VLOOKUP(A2,'SegEnds_NonXtal_Prot#'!A:AL,10,FALSE)</f>
        <v>50</v>
      </c>
      <c r="AF2" s="1">
        <f>VLOOKUP(A2,'SegEnds_NonXtal_Prot#'!A:AL,22,FALSE)-VLOOKUP(A2,'SegEnds_NonXtal_Prot#'!A:AL,19,FALSE)</f>
        <v>20</v>
      </c>
      <c r="AG2" s="1" t="e">
        <f>VLOOKUP(A2,'SegEnds_NonXtal_Prot#'!A:AL,28,FALSE)-VLOOKUP(A2,'SegEnds_NonXtal_Prot#'!A:AL,25,FALSE)</f>
        <v>#VALUE!</v>
      </c>
      <c r="AH2" s="1">
        <f>VLOOKUP(A2,'SegEnds_NonXtal_Prot#'!A:AL,28,FALSE)-VLOOKUP(A2,'SegEnds_NonXtal_Prot#'!A:AL,22,FALSE)</f>
        <v>38</v>
      </c>
      <c r="AI2" s="1">
        <f>VLOOKUP(A2,'SegEnds_NonXtal_Prot#'!A:AL,31,FALSE)-VLOOKUP(A2,'SegEnds_NonXtal_Prot#'!A:AL,28,FALSE)</f>
        <v>68</v>
      </c>
      <c r="AJ2" s="1">
        <f>VLOOKUP(A2,'SegEnds_NonXtal_Prot#'!A:AL,34,FALSE)-VLOOKUP(A2,'SegEnds_NonXtal_Prot#'!A:AL,31,FALSE)</f>
        <v>30</v>
      </c>
      <c r="AK2" s="1">
        <f>VLOOKUP(A2,'SegEnds_NonXtal_Prot#'!A:AL,37,FALSE)-VLOOKUP(A2,'SegEnds_NonXtal_Prot#'!A:AL,34,FALSE)</f>
        <v>11</v>
      </c>
      <c r="AL2" s="1" t="str">
        <f>IF(ISERROR(MATCH(A2,'SegEnds_Xtal_Prot#'!B:B, 0)), "NoXtal", "Xtal")</f>
        <v>NoXtal</v>
      </c>
    </row>
    <row r="3" spans="1:38" x14ac:dyDescent="0.2">
      <c r="A3" s="1" t="s">
        <v>264</v>
      </c>
      <c r="B3" s="1" t="str">
        <f>VLOOKUP(A3,Xtal_Templ!A:B,2,FALSE)</f>
        <v>drd3_human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f>VLOOKUP($B3&amp;"__wt",'SegEnds_Xtal_BW#'!$A:$Z,8,FALSE)</f>
        <v>67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18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58</v>
      </c>
      <c r="O3" s="87">
        <f>VLOOKUP($B3&amp;"__wt",'SegEnds_Xtal_BW#'!$A:$Z,15,FALSE)</f>
        <v>38</v>
      </c>
      <c r="P3" s="1">
        <f>VLOOKUP($B3&amp;"__wt",'SegEnds_Xtal_BW#'!$A:$Z,16,FALSE)</f>
        <v>63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v>35</v>
      </c>
      <c r="T3" s="1">
        <f t="array" ref="T3">INDEX(ICL3_classA!$G$2:$G$37,MATCH(MIN(ABS(AI3-ICL3_classA!$F$2:$F$37)),ABS(AI3-ICL3_classA!$F$2:$F$37),0))</f>
        <v>76</v>
      </c>
      <c r="U3" s="1">
        <f t="array" ref="U3">INDEX(ICL3_classA!$H$2:$H$37,MATCH(MIN(ABS(AI3-ICL3_classA!$F$2:$F$37)),ABS(AI3-ICL3_classA!$F$2:$F$37),0))</f>
        <v>24</v>
      </c>
      <c r="V3" s="1">
        <v>58</v>
      </c>
      <c r="W3" s="1">
        <v>35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59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26</v>
      </c>
      <c r="AC3" s="1" t="e">
        <f>VLOOKUP(A3,'SegEnds_NonXtal_Prot#'!A:AL,10,FALSE)-VLOOKUP(A3,'SegEnds_NonXtal_Prot#'!A:AL,7,FALSE)</f>
        <v>#VALUE!</v>
      </c>
      <c r="AD3" s="1" t="e">
        <f>VLOOKUP(A3,'SegEnds_NonXtal_Prot#'!A:AL,13,FALSE)-VLOOKUP(A3,'SegEnds_NonXtal_Prot#'!A:AL,10,FALSE)</f>
        <v>#VALUE!</v>
      </c>
      <c r="AE3" s="1">
        <f>VLOOKUP(A3,'SegEnds_NonXtal_Prot#'!A:AL,16,FALSE)-VLOOKUP(A3,'SegEnds_NonXtal_Prot#'!A:AL,10,FALSE)</f>
        <v>55</v>
      </c>
      <c r="AF3" s="1" t="e">
        <f>VLOOKUP(A3,'SegEnds_NonXtal_Prot#'!A:AL,22,FALSE)-VLOOKUP(A3,'SegEnds_NonXtal_Prot#'!A:AL,19,FALSE)</f>
        <v>#VALUE!</v>
      </c>
      <c r="AG3" s="1">
        <f>VLOOKUP(A3,'SegEnds_NonXtal_Prot#'!A:AL,28,FALSE)-VLOOKUP(A3,'SegEnds_NonXtal_Prot#'!A:AL,25,FALSE)</f>
        <v>22</v>
      </c>
      <c r="AH3" s="1">
        <f>VLOOKUP(A3,'SegEnds_NonXtal_Prot#'!A:AL,28,FALSE)-VLOOKUP(A3,'SegEnds_NonXtal_Prot#'!A:AL,22,FALSE)</f>
        <v>47</v>
      </c>
      <c r="AI3" s="1">
        <f>VLOOKUP(A3,'SegEnds_NonXtal_Prot#'!A:AL,31,FALSE)-VLOOKUP(A3,'SegEnds_NonXtal_Prot#'!A:AL,28,FALSE)</f>
        <v>72</v>
      </c>
      <c r="AJ3" s="1">
        <f>VLOOKUP(A3,'SegEnds_NonXtal_Prot#'!A:AL,34,FALSE)-VLOOKUP(A3,'SegEnds_NonXtal_Prot#'!A:AL,31,FALSE)</f>
        <v>31</v>
      </c>
      <c r="AK3" s="1">
        <f>VLOOKUP(A3,'SegEnds_NonXtal_Prot#'!A:AL,37,FALSE)-VLOOKUP(A3,'SegEnds_NonXtal_Prot#'!A:AL,34,FALSE)</f>
        <v>10</v>
      </c>
      <c r="AL3" s="1" t="str">
        <f>IF(ISERROR(MATCH(A3,'SegEnds_Xtal_Prot#'!B:B, 0)), "NoXtal", "Xtal")</f>
        <v>NoXtal</v>
      </c>
    </row>
    <row r="4" spans="1:38" x14ac:dyDescent="0.2">
      <c r="A4" s="4" t="s">
        <v>238</v>
      </c>
      <c r="B4" s="4" t="str">
        <f>VLOOKUP(A4,Xtal_Templ!A:B,2,FALSE)</f>
        <v>lpar1_human</v>
      </c>
      <c r="C4" s="5">
        <f>VLOOKUP($B4&amp;"__wt",'SegEnds_Xtal_BW#'!$A:$Z,3,FALSE)</f>
        <v>30</v>
      </c>
      <c r="D4" s="4">
        <f>VLOOKUP($B4&amp;"__wt",'SegEnds_Xtal_BW#'!$A:$Z,4,FALSE)</f>
        <v>60</v>
      </c>
      <c r="E4" s="4">
        <f>VLOOKUP($B4&amp;"__wt",'SegEnds_Xtal_BW#'!$A:$Z,5,FALSE)</f>
        <v>48</v>
      </c>
      <c r="F4" s="4">
        <f>VLOOKUP($B4&amp;"__wt",'SegEnds_Xtal_BW#'!$A:$Z,6,FALSE)</f>
        <v>51</v>
      </c>
      <c r="G4" s="4">
        <v>37</v>
      </c>
      <c r="H4" s="11">
        <v>62</v>
      </c>
      <c r="I4" s="4">
        <v>48</v>
      </c>
      <c r="J4" s="4">
        <v>52</v>
      </c>
      <c r="K4" s="11">
        <v>24</v>
      </c>
      <c r="L4" s="4">
        <f>VLOOKUP($B4&amp;"__wt",'SegEnds_Xtal_BW#'!$A:$Z,12,FALSE)</f>
        <v>56</v>
      </c>
      <c r="M4" s="4">
        <f>VLOOKUP($B4&amp;"__wt",'SegEnds_Xtal_BW#'!$A:$Z,13,FALSE)</f>
        <v>50</v>
      </c>
      <c r="N4" s="11">
        <v>57</v>
      </c>
      <c r="O4" s="88">
        <v>38</v>
      </c>
      <c r="P4" s="4">
        <f>VLOOKUP($B4&amp;"__wt",'SegEnds_Xtal_BW#'!$A:$Z,16,FALSE)</f>
        <v>63</v>
      </c>
      <c r="Q4" s="4" t="str">
        <f>VLOOKUP($B4&amp;"__wt",'SegEnds_Xtal_BW#'!$A:$Z,17,FALSE)</f>
        <v>-</v>
      </c>
      <c r="R4" s="4" t="str">
        <f>VLOOKUP($B4&amp;"__wt",'SegEnds_Xtal_BW#'!$A:$Z,18,FALSE)</f>
        <v>-</v>
      </c>
      <c r="S4" s="4">
        <f>VLOOKUP($B4&amp;"__wt",'SegEnds_Xtal_BW#'!$A:$Z,19,FALSE)</f>
        <v>36</v>
      </c>
      <c r="T4" s="4">
        <f t="array" ref="T4">INDEX(ICL3_classA!$G$2:$G$37,MATCH(MIN(ABS(AI4-ICL3_classA!$F$2:$F$37)),ABS(AI4-ICL3_classA!$F$2:$F$37),0))</f>
        <v>73</v>
      </c>
      <c r="U4" s="4">
        <f t="array" ref="U4">INDEX(ICL3_classA!$H$2:$H$37,MATCH(MIN(ABS(AI4-ICL3_classA!$F$2:$F$37)),ABS(AI4-ICL3_classA!$F$2:$F$37),0))</f>
        <v>22</v>
      </c>
      <c r="V4" s="4">
        <v>61</v>
      </c>
      <c r="W4" s="4">
        <v>34</v>
      </c>
      <c r="X4" s="4">
        <f>VLOOKUP($B4&amp;"__wt",'SegEnds_Xtal_BW#'!$A:$Z,24,FALSE)</f>
        <v>56</v>
      </c>
      <c r="Y4" s="4">
        <f>VLOOKUP($B4&amp;"__wt",'SegEnds_Xtal_BW#'!$A:$Z,25,FALSE)</f>
        <v>47</v>
      </c>
      <c r="Z4" s="4">
        <f>VLOOKUP($B4&amp;"__wt",'SegEnds_Xtal_BW#'!$A:$Z,26,FALSE)</f>
        <v>59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28</v>
      </c>
      <c r="AC4" s="4" t="e">
        <f>VLOOKUP(A4,'SegEnds_NonXtal_Prot#'!A:AL,10,FALSE)-VLOOKUP(A4,'SegEnds_NonXtal_Prot#'!A:AL,7,FALSE)</f>
        <v>#VALUE!</v>
      </c>
      <c r="AD4" s="4">
        <f>VLOOKUP(A4,'SegEnds_NonXtal_Prot#'!A:AL,13,FALSE)-VLOOKUP(A4,'SegEnds_NonXtal_Prot#'!A:AL,10,FALSE)</f>
        <v>15</v>
      </c>
      <c r="AE4" s="4">
        <f>VLOOKUP(A4,'SegEnds_NonXtal_Prot#'!A:AL,16,FALSE)-VLOOKUP(A4,'SegEnds_NonXtal_Prot#'!A:AL,10,FALSE)</f>
        <v>48</v>
      </c>
      <c r="AF4" s="1">
        <f>VLOOKUP(A4,'SegEnds_NonXtal_Prot#'!A:AL,22,FALSE)-VLOOKUP(A4,'SegEnds_NonXtal_Prot#'!A:AL,19,FALSE)</f>
        <v>20</v>
      </c>
      <c r="AG4" s="4" t="e">
        <f>VLOOKUP(A4,'SegEnds_NonXtal_Prot#'!A:AL,28,FALSE)-VLOOKUP(A4,'SegEnds_NonXtal_Prot#'!A:AL,25,FALSE)</f>
        <v>#VALUE!</v>
      </c>
      <c r="AH4" s="1">
        <f>VLOOKUP(A4,'SegEnds_NonXtal_Prot#'!A:AL,28,FALSE)-VLOOKUP(A4,'SegEnds_NonXtal_Prot#'!A:AL,22,FALSE)</f>
        <v>44</v>
      </c>
      <c r="AI4" s="4">
        <f>VLOOKUP(A4,'SegEnds_NonXtal_Prot#'!A:AL,31,FALSE)-VLOOKUP(A4,'SegEnds_NonXtal_Prot#'!A:AL,28,FALSE)</f>
        <v>57</v>
      </c>
      <c r="AJ4" s="4">
        <f>VLOOKUP(A4,'SegEnds_NonXtal_Prot#'!A:AL,34,FALSE)-VLOOKUP(A4,'SegEnds_NonXtal_Prot#'!A:AL,31,FALSE)</f>
        <v>32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1" t="s">
        <v>249</v>
      </c>
      <c r="B5" s="1" t="str">
        <f>VLOOKUP(A5,Xtal_Templ!A:B,2,FALSE)</f>
        <v>lpar1_human</v>
      </c>
      <c r="C5" s="5">
        <f>VLOOKUP($B5&amp;"__wt",'SegEnds_Xtal_BW#'!$A:$Z,3,FALSE)</f>
        <v>30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62</v>
      </c>
      <c r="I5" s="1">
        <v>48</v>
      </c>
      <c r="J5" s="1">
        <v>52</v>
      </c>
      <c r="K5" s="12">
        <v>24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7">
        <v>38</v>
      </c>
      <c r="P5" s="1">
        <f>VLOOKUP($B5&amp;"__wt",'SegEnds_Xtal_BW#'!$A:$Z,16,FALSE)</f>
        <v>63</v>
      </c>
      <c r="Q5" s="1" t="str">
        <f>VLOOKUP($B5&amp;"__wt",'SegEnds_Xtal_BW#'!$A:$Z,17,FALSE)</f>
        <v>-</v>
      </c>
      <c r="R5" s="1" t="str">
        <f>VLOOKUP($B5&amp;"__wt",'SegEnds_Xtal_BW#'!$A:$Z,18,FALSE)</f>
        <v>-</v>
      </c>
      <c r="S5" s="1">
        <f>VLOOKUP($B5&amp;"__wt",'SegEnds_Xtal_BW#'!$A:$Z,19,FALSE)</f>
        <v>36</v>
      </c>
      <c r="T5" s="1">
        <f t="array" ref="T5">INDEX(ICL3_classA!$G$2:$G$37,MATCH(MIN(ABS(AI5-ICL3_classA!$F$2:$F$37)),ABS(AI5-ICL3_classA!$F$2:$F$37),0))</f>
        <v>73</v>
      </c>
      <c r="U5" s="1">
        <f t="array" ref="U5">INDEX(ICL3_classA!$H$2:$H$37,MATCH(MIN(ABS(AI5-ICL3_classA!$F$2:$F$37)),ABS(AI5-ICL3_classA!$F$2:$F$37),0))</f>
        <v>22</v>
      </c>
      <c r="V5" s="1">
        <v>61</v>
      </c>
      <c r="W5" s="1">
        <v>34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1">
        <f>VLOOKUP(A5,'SegEnds_NonXtal_Prot#'!A:AL,10,FALSE)-VLOOKUP(A5,'SegEnds_NonXtal_Prot#'!A:AL,7,FALSE)</f>
        <v>15</v>
      </c>
      <c r="AD5" s="1">
        <f>VLOOKUP(A5,'SegEnds_NonXtal_Prot#'!A:AL,13,FALSE)-VLOOKUP(A5,'SegEnds_NonXtal_Prot#'!A:AL,10,FALSE)</f>
        <v>15</v>
      </c>
      <c r="AE5" s="1">
        <f>VLOOKUP(A5,'SegEnds_NonXtal_Prot#'!A:AL,16,FALSE)-VLOOKUP(A5,'SegEnds_NonXtal_Prot#'!A:AL,10,FALSE)</f>
        <v>48</v>
      </c>
      <c r="AF5" s="1">
        <f>VLOOKUP(A5,'SegEnds_NonXtal_Prot#'!A:AL,22,FALSE)-VLOOKUP(A5,'SegEnds_NonXtal_Prot#'!A:AL,19,FALSE)</f>
        <v>20</v>
      </c>
      <c r="AG5" s="1" t="e">
        <f>VLOOKUP(A5,'SegEnds_NonXtal_Prot#'!A:AL,28,FALSE)-VLOOKUP(A5,'SegEnds_NonXtal_Prot#'!A:AL,25,FALSE)</f>
        <v>#VALUE!</v>
      </c>
      <c r="AH5" s="1">
        <f>VLOOKUP(A5,'SegEnds_NonXtal_Prot#'!A:AL,28,FALSE)-VLOOKUP(A5,'SegEnds_NonXtal_Prot#'!A:AL,22,FALSE)</f>
        <v>44</v>
      </c>
      <c r="AI5" s="1">
        <f>VLOOKUP(A5,'SegEnds_NonXtal_Prot#'!A:AL,31,FALSE)-VLOOKUP(A5,'SegEnds_NonXtal_Prot#'!A:AL,28,FALSE)</f>
        <v>57</v>
      </c>
      <c r="AJ5" s="1">
        <f>VLOOKUP(A5,'SegEnds_NonXtal_Prot#'!A:AL,34,FALSE)-VLOOKUP(A5,'SegEnds_NonXtal_Prot#'!A:AL,31,FALSE)</f>
        <v>32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262</v>
      </c>
      <c r="B6" s="1" t="str">
        <f>VLOOKUP(A6,Xtal_Templ!A:B,2,FALSE)</f>
        <v>s1pr1_human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INDEX(ICL3_classA!$G$2:$G$37,MATCH(MIN(ABS(AI6-ICL3_classA!$F$2:$F$37)),ABS(AI6-ICL3_classA!$F$2:$F$37),0))</f>
        <v>73</v>
      </c>
      <c r="U6" s="1">
        <f t="array" ref="U6">INDEX(ICL3_classA!$H$2:$H$37,MATCH(MIN(ABS(AI6-ICL3_classA!$F$2:$F$37)),ABS(AI6-ICL3_classA!$F$2:$F$37),0))</f>
        <v>22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28</v>
      </c>
      <c r="AC6" s="1">
        <f>VLOOKUP(A6,'SegEnds_NonXtal_Prot#'!A:AL,10,FALSE)-VLOOKUP(A6,'SegEnds_NonXtal_Prot#'!A:AL,7,FALSE)</f>
        <v>15</v>
      </c>
      <c r="AD6" s="1">
        <f>VLOOKUP(A6,'SegEnds_NonXtal_Prot#'!A:AL,13,FALSE)-VLOOKUP(A6,'SegEnds_NonXtal_Prot#'!A:AL,10,FALSE)</f>
        <v>15</v>
      </c>
      <c r="AE6" s="1">
        <f>VLOOKUP(A6,'SegEnds_NonXtal_Prot#'!A:AL,16,FALSE)-VLOOKUP(A6,'SegEnds_NonXtal_Prot#'!A:AL,10,FALSE)</f>
        <v>48</v>
      </c>
      <c r="AF6" s="1">
        <f>VLOOKUP(A6,'SegEnds_NonXtal_Prot#'!A:AL,22,FALSE)-VLOOKUP(A6,'SegEnds_NonXtal_Prot#'!A:AL,19,FALSE)</f>
        <v>20</v>
      </c>
      <c r="AG6" s="1" t="e">
        <f>VLOOKUP(A6,'SegEnds_NonXtal_Prot#'!A:AL,28,FALSE)-VLOOKUP(A6,'SegEnds_NonXtal_Prot#'!A:AL,25,FALSE)</f>
        <v>#VALUE!</v>
      </c>
      <c r="AH6" s="1">
        <f>VLOOKUP(A6,'SegEnds_NonXtal_Prot#'!A:AL,28,FALSE)-VLOOKUP(A6,'SegEnds_NonXtal_Prot#'!A:AL,22,FALSE)</f>
        <v>44</v>
      </c>
      <c r="AI6" s="1">
        <f>VLOOKUP(A6,'SegEnds_NonXtal_Prot#'!A:AL,31,FALSE)-VLOOKUP(A6,'SegEnds_NonXtal_Prot#'!A:AL,28,FALSE)</f>
        <v>57</v>
      </c>
      <c r="AJ6" s="1">
        <f>VLOOKUP(A6,'SegEnds_NonXtal_Prot#'!A:AL,34,FALSE)-VLOOKUP(A6,'SegEnds_NonXtal_Prot#'!A:AL,31,FALSE)</f>
        <v>32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NoXtal</v>
      </c>
    </row>
    <row r="7" spans="1:38" x14ac:dyDescent="0.2">
      <c r="A7" s="1" t="s">
        <v>295</v>
      </c>
      <c r="B7" s="1" t="str">
        <f>VLOOKUP(A7,Xtal_Templ!A:B,2,FALSE)</f>
        <v>ccr9_human</v>
      </c>
      <c r="C7" s="5">
        <f>VLOOKUP($B7&amp;"__wt",'SegEnds_Xtal_BW#'!$A:$Z,3,FALSE)</f>
        <v>27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f>VLOOKUP($B7&amp;"__wt",'SegEnds_Xtal_BW#'!$A:$Z,8,FALSE)</f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33</v>
      </c>
      <c r="T7" s="1">
        <f t="array" ref="T7">INDEX(ICL3_classA!$G$2:$G$37,MATCH(MIN(ABS(AI7-ICL3_classA!$F$2:$F$37)),ABS(AI7-ICL3_classA!$F$2:$F$37),0))</f>
        <v>68</v>
      </c>
      <c r="U7" s="1">
        <f t="array" ref="U7">INDEX(ICL3_classA!$H$2:$H$37,MATCH(MIN(ABS(AI7-ICL3_classA!$F$2:$F$37)),ABS(AI7-ICL3_classA!$F$2:$F$37),0))</f>
        <v>30</v>
      </c>
      <c r="V7" s="1">
        <v>61</v>
      </c>
      <c r="W7" s="1">
        <v>34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67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26</v>
      </c>
      <c r="AC7" s="1" t="e">
        <f>VLOOKUP(A7,'SegEnds_NonXtal_Prot#'!A:AL,10,FALSE)-VLOOKUP(A7,'SegEnds_NonXtal_Prot#'!A:AL,7,FALSE)</f>
        <v>#VALUE!</v>
      </c>
      <c r="AD7" s="1" t="e">
        <f>VLOOKUP(A7,'SegEnds_NonXtal_Prot#'!A:AL,13,FALSE)-VLOOKUP(A7,'SegEnds_NonXtal_Prot#'!A:AL,10,FALSE)</f>
        <v>#VALUE!</v>
      </c>
      <c r="AE7" s="1">
        <f>VLOOKUP(A7,'SegEnds_NonXtal_Prot#'!A:AL,16,FALSE)-VLOOKUP(A7,'SegEnds_NonXtal_Prot#'!A:AL,10,FALSE)</f>
        <v>52</v>
      </c>
      <c r="AF7" s="1">
        <f>VLOOKUP(A7,'SegEnds_NonXtal_Prot#'!A:AL,22,FALSE)-VLOOKUP(A7,'SegEnds_NonXtal_Prot#'!A:AL,19,FALSE)</f>
        <v>20</v>
      </c>
      <c r="AG7" s="1" t="e">
        <f>VLOOKUP(A7,'SegEnds_NonXtal_Prot#'!A:AL,28,FALSE)-VLOOKUP(A7,'SegEnds_NonXtal_Prot#'!A:AL,25,FALSE)</f>
        <v>#VALUE!</v>
      </c>
      <c r="AH7" s="1">
        <f>VLOOKUP(A7,'SegEnds_NonXtal_Prot#'!A:AL,28,FALSE)-VLOOKUP(A7,'SegEnds_NonXtal_Prot#'!A:AL,22,FALSE)</f>
        <v>39</v>
      </c>
      <c r="AI7" s="1">
        <f>VLOOKUP(A7,'SegEnds_NonXtal_Prot#'!A:AL,31,FALSE)-VLOOKUP(A7,'SegEnds_NonXtal_Prot#'!A:AL,28,FALSE)</f>
        <v>42</v>
      </c>
      <c r="AJ7" s="1">
        <f>VLOOKUP(A7,'SegEnds_NonXtal_Prot#'!A:AL,34,FALSE)-VLOOKUP(A7,'SegEnds_NonXtal_Prot#'!A:AL,31,FALSE)</f>
        <v>32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198</v>
      </c>
      <c r="B8" s="1" t="str">
        <f>VLOOKUP(A8,Xtal_Templ!A:B,2,FALSE)</f>
        <v>par2_human</v>
      </c>
      <c r="C8" s="5">
        <f>VLOOKUP($B8&amp;"__wt",'SegEnds_Xtal_BW#'!$A:$Z,3,FALSE)</f>
        <v>28</v>
      </c>
      <c r="D8" s="1">
        <f>VLOOKUP($B8&amp;"__wt",'SegEnds_Xtal_BW#'!$A:$Z,4,FALSE)</f>
        <v>60</v>
      </c>
      <c r="E8" s="1" t="str">
        <f>VLOOKUP($B8&amp;"__wt",'SegEnds_Xtal_BW#'!$A:$Z,5,FALSE)</f>
        <v>-</v>
      </c>
      <c r="F8" s="1" t="str">
        <f>VLOOKUP($B8&amp;"__wt",'SegEnds_Xtal_BW#'!$A:$Z,6,FALSE)</f>
        <v>-</v>
      </c>
      <c r="G8" s="1">
        <v>37</v>
      </c>
      <c r="H8" s="12">
        <f>VLOOKUP($B8&amp;"__wt",'SegEnds_Xtal_BW#'!$A:$Z,8,FALSE)</f>
        <v>66</v>
      </c>
      <c r="I8" s="1">
        <f>VLOOKUP($B8&amp;"__wt",'SegEnds_Xtal_BW#'!$A:$Z,9,FALSE)</f>
        <v>47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f>VLOOKUP($B8&amp;"__wt",'SegEnds_Xtal_BW#'!$A:$Z,15,FALSE)</f>
        <v>38</v>
      </c>
      <c r="P8" s="1">
        <f>VLOOKUP($B8&amp;"__wt",'SegEnds_Xtal_BW#'!$A:$Z,16,FALSE)</f>
        <v>62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f>VLOOKUP($B8&amp;"__wt",'SegEnds_Xtal_BW#'!$A:$Z,19,FALSE)</f>
        <v>31</v>
      </c>
      <c r="T8" s="1">
        <f t="array" ref="T8">INDEX(ICL3_classA!$G$2:$G$37,MATCH(MIN(ABS(AI8-ICL3_classA!$F$2:$F$37)),ABS(AI8-ICL3_classA!$F$2:$F$37),0))</f>
        <v>67</v>
      </c>
      <c r="U8" s="1">
        <f t="array" ref="U8">INDEX(ICL3_classA!$H$2:$H$37,MATCH(MIN(ABS(AI8-ICL3_classA!$F$2:$F$37)),ABS(AI8-ICL3_classA!$F$2:$F$37),0))</f>
        <v>26</v>
      </c>
      <c r="V8" s="1">
        <v>61</v>
      </c>
      <c r="W8" s="1">
        <v>33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61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30</v>
      </c>
      <c r="AC8" s="1" t="e">
        <f>VLOOKUP(A8,'SegEnds_NonXtal_Prot#'!A:AL,10,FALSE)-VLOOKUP(A8,'SegEnds_NonXtal_Prot#'!A:AL,7,FALSE)</f>
        <v>#VALUE!</v>
      </c>
      <c r="AD8" s="1">
        <f>VLOOKUP(A8,'SegEnds_NonXtal_Prot#'!A:AL,13,FALSE)-VLOOKUP(A8,'SegEnds_NonXtal_Prot#'!A:AL,10,FALSE)</f>
        <v>20</v>
      </c>
      <c r="AE8" s="1">
        <f>VLOOKUP(A8,'SegEnds_NonXtal_Prot#'!A:AL,16,FALSE)-VLOOKUP(A8,'SegEnds_NonXtal_Prot#'!A:AL,10,FALSE)</f>
        <v>52</v>
      </c>
      <c r="AF8" s="1">
        <f>VLOOKUP(A8,'SegEnds_NonXtal_Prot#'!A:AL,22,FALSE)-VLOOKUP(A8,'SegEnds_NonXtal_Prot#'!A:AL,19,FALSE)</f>
        <v>20</v>
      </c>
      <c r="AG8" s="1">
        <f>VLOOKUP(A8,'SegEnds_NonXtal_Prot#'!A:AL,28,FALSE)-VLOOKUP(A8,'SegEnds_NonXtal_Prot#'!A:AL,25,FALSE)</f>
        <v>27</v>
      </c>
      <c r="AH8" s="1">
        <f>VLOOKUP(A8,'SegEnds_NonXtal_Prot#'!A:AL,28,FALSE)-VLOOKUP(A8,'SegEnds_NonXtal_Prot#'!A:AL,22,FALSE)</f>
        <v>57</v>
      </c>
      <c r="AI8" s="1">
        <f>VLOOKUP(A8,'SegEnds_NonXtal_Prot#'!A:AL,31,FALSE)-VLOOKUP(A8,'SegEnds_NonXtal_Prot#'!A:AL,28,FALSE)</f>
        <v>46</v>
      </c>
      <c r="AJ8" s="1">
        <f>VLOOKUP(A8,'SegEnds_NonXtal_Prot#'!A:AL,34,FALSE)-VLOOKUP(A8,'SegEnds_NonXtal_Prot#'!A:AL,31,FALSE)</f>
        <v>33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199</v>
      </c>
      <c r="B9" s="1" t="str">
        <f>VLOOKUP(A9,Xtal_Templ!A:B,2,FALSE)</f>
        <v>par1_human</v>
      </c>
      <c r="C9" s="5">
        <f>VLOOKUP($B9&amp;"__wt",'SegEnds_Xtal_BW#'!$A:$Z,3,FALSE)</f>
        <v>29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f>VLOOKUP($B9&amp;"__wt",'SegEnds_Xtal_BW#'!$A:$Z,8,FALSE)</f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f>VLOOKUP($B9&amp;"__wt",'SegEnds_Xtal_BW#'!$A:$Z,15,FALSE)</f>
        <v>38</v>
      </c>
      <c r="P9" s="1">
        <f>VLOOKUP($B9&amp;"__wt",'SegEnds_Xtal_BW#'!$A:$Z,16,FALSE)</f>
        <v>63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32</v>
      </c>
      <c r="T9" s="1">
        <f t="array" ref="T9">INDEX(ICL3_classA!$G$2:$G$37,MATCH(MIN(ABS(AI9-ICL3_classA!$F$2:$F$37)),ABS(AI9-ICL3_classA!$F$2:$F$37),0))</f>
        <v>68</v>
      </c>
      <c r="U9" s="1">
        <f t="array" ref="U9">INDEX(ICL3_classA!$H$2:$H$37,MATCH(MIN(ABS(AI9-ICL3_classA!$F$2:$F$37)),ABS(AI9-ICL3_classA!$F$2:$F$37),0))</f>
        <v>28</v>
      </c>
      <c r="V9" s="1">
        <v>61</v>
      </c>
      <c r="W9" s="1">
        <v>33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29</v>
      </c>
      <c r="AC9" s="1" t="e">
        <f>VLOOKUP(A9,'SegEnds_NonXtal_Prot#'!A:AL,10,FALSE)-VLOOKUP(A9,'SegEnds_NonXtal_Prot#'!A:AL,7,FALSE)</f>
        <v>#VALUE!</v>
      </c>
      <c r="AD9" s="1">
        <f>VLOOKUP(A9,'SegEnds_NonXtal_Prot#'!A:AL,13,FALSE)-VLOOKUP(A9,'SegEnds_NonXtal_Prot#'!A:AL,10,FALSE)</f>
        <v>20</v>
      </c>
      <c r="AE9" s="1">
        <f>VLOOKUP(A9,'SegEnds_NonXtal_Prot#'!A:AL,16,FALSE)-VLOOKUP(A9,'SegEnds_NonXtal_Prot#'!A:AL,10,FALSE)</f>
        <v>52</v>
      </c>
      <c r="AF9" s="1">
        <f>VLOOKUP(A9,'SegEnds_NonXtal_Prot#'!A:AL,22,FALSE)-VLOOKUP(A9,'SegEnds_NonXtal_Prot#'!A:AL,19,FALSE)</f>
        <v>20</v>
      </c>
      <c r="AG9" s="1">
        <f>VLOOKUP(A9,'SegEnds_NonXtal_Prot#'!A:AL,28,FALSE)-VLOOKUP(A9,'SegEnds_NonXtal_Prot#'!A:AL,25,FALSE)</f>
        <v>27</v>
      </c>
      <c r="AH9" s="1">
        <f>VLOOKUP(A9,'SegEnds_NonXtal_Prot#'!A:AL,28,FALSE)-VLOOKUP(A9,'SegEnds_NonXtal_Prot#'!A:AL,22,FALSE)</f>
        <v>56</v>
      </c>
      <c r="AI9" s="1">
        <f>VLOOKUP(A9,'SegEnds_NonXtal_Prot#'!A:AL,31,FALSE)-VLOOKUP(A9,'SegEnds_NonXtal_Prot#'!A:AL,28,FALSE)</f>
        <v>44</v>
      </c>
      <c r="AJ9" s="1">
        <f>VLOOKUP(A9,'SegEnds_NonXtal_Prot#'!A:AL,34,FALSE)-VLOOKUP(A9,'SegEnds_NonXtal_Prot#'!A:AL,31,FALSE)</f>
        <v>33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258</v>
      </c>
      <c r="B10" s="1" t="str">
        <f>VLOOKUP(A10,Xtal_Templ!A:B,2,FALSE)</f>
        <v>par1_human</v>
      </c>
      <c r="C10" s="5">
        <f>VLOOKUP($B10&amp;"__wt",'SegEnds_Xtal_BW#'!$A:$Z,3,FALSE)</f>
        <v>29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f>VLOOKUP($B10&amp;"__wt",'SegEnds_Xtal_BW#'!$A:$Z,15,FALSE)</f>
        <v>38</v>
      </c>
      <c r="P10" s="1">
        <f>VLOOKUP($B10&amp;"__wt",'SegEnds_Xtal_BW#'!$A:$Z,16,FALSE)</f>
        <v>63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32</v>
      </c>
      <c r="T10" s="1">
        <f t="array" ref="T10">INDEX(ICL3_classA!$G$2:$G$37,MATCH(MIN(ABS(AI10-ICL3_classA!$F$2:$F$37)),ABS(AI10-ICL3_classA!$F$2:$F$37),0))</f>
        <v>68</v>
      </c>
      <c r="U10" s="1">
        <f t="array" ref="U10">INDEX(ICL3_classA!$H$2:$H$37,MATCH(MIN(ABS(AI10-ICL3_classA!$F$2:$F$37)),ABS(AI10-ICL3_classA!$F$2:$F$37),0))</f>
        <v>28</v>
      </c>
      <c r="V10" s="1">
        <v>61</v>
      </c>
      <c r="W10" s="1">
        <v>33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29</v>
      </c>
      <c r="AC10" s="1" t="e">
        <f>VLOOKUP(A10,'SegEnds_NonXtal_Prot#'!A:AL,10,FALSE)-VLOOKUP(A10,'SegEnds_NonXtal_Prot#'!A:AL,7,FALSE)</f>
        <v>#VALUE!</v>
      </c>
      <c r="AD10" s="1">
        <f>VLOOKUP(A10,'SegEnds_NonXtal_Prot#'!A:AL,13,FALSE)-VLOOKUP(A10,'SegEnds_NonXtal_Prot#'!A:AL,10,FALSE)</f>
        <v>20</v>
      </c>
      <c r="AE10" s="1">
        <f>VLOOKUP(A10,'SegEnds_NonXtal_Prot#'!A:AL,16,FALSE)-VLOOKUP(A10,'SegEnds_NonXtal_Prot#'!A:AL,10,FALSE)</f>
        <v>52</v>
      </c>
      <c r="AF10" s="1">
        <f>VLOOKUP(A10,'SegEnds_NonXtal_Prot#'!A:AL,22,FALSE)-VLOOKUP(A10,'SegEnds_NonXtal_Prot#'!A:AL,19,FALSE)</f>
        <v>20</v>
      </c>
      <c r="AG10" s="1">
        <f>VLOOKUP(A10,'SegEnds_NonXtal_Prot#'!A:AL,28,FALSE)-VLOOKUP(A10,'SegEnds_NonXtal_Prot#'!A:AL,25,FALSE)</f>
        <v>27</v>
      </c>
      <c r="AH10" s="1">
        <f>VLOOKUP(A10,'SegEnds_NonXtal_Prot#'!A:AL,28,FALSE)-VLOOKUP(A10,'SegEnds_NonXtal_Prot#'!A:AL,22,FALSE)</f>
        <v>56</v>
      </c>
      <c r="AI10" s="1">
        <f>VLOOKUP(A10,'SegEnds_NonXtal_Prot#'!A:AL,31,FALSE)-VLOOKUP(A10,'SegEnds_NonXtal_Prot#'!A:AL,28,FALSE)</f>
        <v>44</v>
      </c>
      <c r="AJ10" s="1">
        <f>VLOOKUP(A10,'SegEnds_NonXtal_Prot#'!A:AL,34,FALSE)-VLOOKUP(A10,'SegEnds_NonXtal_Prot#'!A:AL,31,FALSE)</f>
        <v>33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270</v>
      </c>
      <c r="B11" s="1" t="str">
        <f>VLOOKUP(A11,Xtal_Templ!A:B,2,FALSE)</f>
        <v>ednrb_human</v>
      </c>
      <c r="C11" s="5">
        <f>VLOOKUP($B11&amp;"__wt",'SegEnds_Xtal_BW#'!$A:$Z,3,FALSE)</f>
        <v>22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52</v>
      </c>
      <c r="G11" s="1">
        <v>37</v>
      </c>
      <c r="H11" s="12">
        <f>VLOOKUP($B11&amp;"__wt",'SegEnds_Xtal_BW#'!$A:$Z,8,FALSE)</f>
        <v>67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21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7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28</v>
      </c>
      <c r="T11" s="1">
        <f t="array" ref="T11">INDEX(ICL3_classA!$G$2:$G$37,MATCH(MIN(ABS(AI11-ICL3_classA!$F$2:$F$37)),ABS(AI11-ICL3_classA!$F$2:$F$37),0))</f>
        <v>74</v>
      </c>
      <c r="U11" s="1">
        <f t="array" ref="U11">INDEX(ICL3_classA!$H$2:$H$37,MATCH(MIN(ABS(AI11-ICL3_classA!$F$2:$F$37)),ABS(AI11-ICL3_classA!$F$2:$F$37),0))</f>
        <v>24</v>
      </c>
      <c r="V11" s="1">
        <v>61</v>
      </c>
      <c r="W11" s="1">
        <v>33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60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28</v>
      </c>
      <c r="AC11" s="1">
        <f>VLOOKUP(A11,'SegEnds_NonXtal_Prot#'!A:AL,10,FALSE)-VLOOKUP(A11,'SegEnds_NonXtal_Prot#'!A:AL,7,FALSE)</f>
        <v>15</v>
      </c>
      <c r="AD11" s="1" t="e">
        <f>VLOOKUP(A11,'SegEnds_NonXtal_Prot#'!A:AL,13,FALSE)-VLOOKUP(A11,'SegEnds_NonXtal_Prot#'!A:AL,10,FALSE)</f>
        <v>#VALUE!</v>
      </c>
      <c r="AE11" s="1">
        <f>VLOOKUP(A11,'SegEnds_NonXtal_Prot#'!A:AL,16,FALSE)-VLOOKUP(A11,'SegEnds_NonXtal_Prot#'!A:AL,10,FALSE)</f>
        <v>52</v>
      </c>
      <c r="AF11" s="1">
        <f>VLOOKUP(A11,'SegEnds_NonXtal_Prot#'!A:AL,22,FALSE)-VLOOKUP(A11,'SegEnds_NonXtal_Prot#'!A:AL,19,FALSE)</f>
        <v>20</v>
      </c>
      <c r="AG11" s="1">
        <f>VLOOKUP(A11,'SegEnds_NonXtal_Prot#'!A:AL,28,FALSE)-VLOOKUP(A11,'SegEnds_NonXtal_Prot#'!A:AL,25,FALSE)</f>
        <v>67</v>
      </c>
      <c r="AH11" s="1">
        <f>VLOOKUP(A11,'SegEnds_NonXtal_Prot#'!A:AL,28,FALSE)-VLOOKUP(A11,'SegEnds_NonXtal_Prot#'!A:AL,22,FALSE)</f>
        <v>90</v>
      </c>
      <c r="AI11" s="1">
        <f>VLOOKUP(A11,'SegEnds_NonXtal_Prot#'!A:AL,31,FALSE)-VLOOKUP(A11,'SegEnds_NonXtal_Prot#'!A:AL,28,FALSE)</f>
        <v>99</v>
      </c>
      <c r="AJ11" s="1">
        <f>VLOOKUP(A11,'SegEnds_NonXtal_Prot#'!A:AL,34,FALSE)-VLOOKUP(A11,'SegEnds_NonXtal_Prot#'!A:AL,31,FALSE)</f>
        <v>33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362</v>
      </c>
      <c r="B12" s="1" t="str">
        <f>VLOOKUP(A12,Xtal_Templ!A:B,2,FALSE)</f>
        <v>pe2r4_human</v>
      </c>
      <c r="C12" s="5">
        <f>VLOOKUP($B12&amp;"__wt",'SegEnds_Xtal_BW#'!$A:$Z,3,FALSE)</f>
        <v>33</v>
      </c>
      <c r="D12" s="1">
        <f>VLOOKUP($B12&amp;"__wt",'SegEnds_Xtal_BW#'!$A:$Z,4,FALSE)</f>
        <v>58</v>
      </c>
      <c r="E12" s="1" t="str">
        <f>VLOOKUP($B12&amp;"__wt",'SegEnds_Xtal_BW#'!$A:$Z,5,FALSE)</f>
        <v>-</v>
      </c>
      <c r="F12" s="1" t="str">
        <f>VLOOKUP($B12&amp;"__wt",'SegEnds_Xtal_BW#'!$A:$Z,6,FALSE)</f>
        <v>-</v>
      </c>
      <c r="G12" s="1">
        <v>37</v>
      </c>
      <c r="H12" s="12">
        <f>VLOOKUP($B12&amp;"__wt",'SegEnds_Xtal_BW#'!$A:$Z,8,FALSE)</f>
        <v>67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7">
        <f>VLOOKUP($B12&amp;"__wt",'SegEnds_Xtal_BW#'!$A:$Z,15,FALSE)</f>
        <v>38</v>
      </c>
      <c r="P12" s="1">
        <f>VLOOKUP($B12&amp;"__wt",'SegEnds_Xtal_BW#'!$A:$Z,16,FALSE)</f>
        <v>63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v>35</v>
      </c>
      <c r="T12" s="1">
        <f t="array" ref="T12">INDEX(ICL3_classA!$G$2:$G$37,MATCH(MIN(ABS(AI12-ICL3_classA!$F$2:$F$37)),ABS(AI12-ICL3_classA!$F$2:$F$37),0))</f>
        <v>76</v>
      </c>
      <c r="U12" s="1">
        <f t="array" ref="U12">INDEX(ICL3_classA!$H$2:$H$37,MATCH(MIN(ABS(AI12-ICL3_classA!$F$2:$F$37)),ABS(AI12-ICL3_classA!$F$2:$F$37),0))</f>
        <v>24</v>
      </c>
      <c r="V12" s="1">
        <v>61</v>
      </c>
      <c r="W12" s="1">
        <v>33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60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39</v>
      </c>
      <c r="AC12" s="1">
        <f>VLOOKUP(A12,'SegEnds_NonXtal_Prot#'!A:AL,10,FALSE)-VLOOKUP(A12,'SegEnds_NonXtal_Prot#'!A:AL,7,FALSE)</f>
        <v>20</v>
      </c>
      <c r="AD12" s="1" t="e">
        <f>VLOOKUP(A12,'SegEnds_NonXtal_Prot#'!A:AL,13,FALSE)-VLOOKUP(A12,'SegEnds_NonXtal_Prot#'!A:AL,10,FALSE)</f>
        <v>#VALUE!</v>
      </c>
      <c r="AE12" s="1">
        <f>VLOOKUP(A12,'SegEnds_NonXtal_Prot#'!A:AL,16,FALSE)-VLOOKUP(A12,'SegEnds_NonXtal_Prot#'!A:AL,10,FALSE)</f>
        <v>56</v>
      </c>
      <c r="AF12" s="1">
        <f>VLOOKUP(A12,'SegEnds_NonXtal_Prot#'!A:AL,22,FALSE)-VLOOKUP(A12,'SegEnds_NonXtal_Prot#'!A:AL,19,FALSE)</f>
        <v>20</v>
      </c>
      <c r="AG12" s="1">
        <f>VLOOKUP(A12,'SegEnds_NonXtal_Prot#'!A:AL,28,FALSE)-VLOOKUP(A12,'SegEnds_NonXtal_Prot#'!A:AL,25,FALSE)</f>
        <v>22</v>
      </c>
      <c r="AH12" s="1">
        <f>VLOOKUP(A12,'SegEnds_NonXtal_Prot#'!A:AL,28,FALSE)-VLOOKUP(A12,'SegEnds_NonXtal_Prot#'!A:AL,22,FALSE)</f>
        <v>48</v>
      </c>
      <c r="AI12" s="1">
        <f>VLOOKUP(A12,'SegEnds_NonXtal_Prot#'!A:AL,31,FALSE)-VLOOKUP(A12,'SegEnds_NonXtal_Prot#'!A:AL,28,FALSE)</f>
        <v>70</v>
      </c>
      <c r="AJ12" s="1">
        <f>VLOOKUP(A12,'SegEnds_NonXtal_Prot#'!A:AL,34,FALSE)-VLOOKUP(A12,'SegEnds_NonXtal_Prot#'!A:AL,31,FALSE)</f>
        <v>33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1" t="s">
        <v>136</v>
      </c>
      <c r="B13" s="1" t="str">
        <f>VLOOKUP(A13,Xtal_Templ!A:B,2,FALSE)</f>
        <v>5ht2c_human</v>
      </c>
      <c r="C13" s="5">
        <f>VLOOKUP($B13&amp;"__wt",'SegEnds_Xtal_BW#'!$A:$Z,3,FALSE)</f>
        <v>33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f>VLOOKUP($B13&amp;"__wt",'SegEnds_Xtal_BW#'!$A:$Z,8,FALSE)</f>
        <v>68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7">
        <v>38</v>
      </c>
      <c r="P13" s="1">
        <f>VLOOKUP($B13&amp;"__wt",'SegEnds_Xtal_BW#'!$A:$Z,16,FALSE)</f>
        <v>67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v>35</v>
      </c>
      <c r="T13" s="1">
        <f t="array" ref="T13">INDEX(ICL3_classA!$G$2:$G$37,MATCH(MIN(ABS(AI13-ICL3_classA!$F$2:$F$37)),ABS(AI13-ICL3_classA!$F$2:$F$37),0))</f>
        <v>76</v>
      </c>
      <c r="U13" s="1">
        <f t="array" ref="U13">INDEX(ICL3_classA!$H$2:$H$37,MATCH(MIN(ABS(AI13-ICL3_classA!$F$2:$F$37)),ABS(AI13-ICL3_classA!$F$2:$F$37),0))</f>
        <v>24</v>
      </c>
      <c r="V13" s="1">
        <v>61</v>
      </c>
      <c r="W13" s="1">
        <v>32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60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28</v>
      </c>
      <c r="AC13" s="1">
        <f>VLOOKUP(A13,'SegEnds_NonXtal_Prot#'!A:AL,10,FALSE)-VLOOKUP(A13,'SegEnds_NonXtal_Prot#'!A:AL,7,FALSE)</f>
        <v>15</v>
      </c>
      <c r="AD13" s="1">
        <f>VLOOKUP(A13,'SegEnds_NonXtal_Prot#'!A:AL,13,FALSE)-VLOOKUP(A13,'SegEnds_NonXtal_Prot#'!A:AL,10,FALSE)</f>
        <v>20</v>
      </c>
      <c r="AE13" s="1">
        <f>VLOOKUP(A13,'SegEnds_NonXtal_Prot#'!A:AL,16,FALSE)-VLOOKUP(A13,'SegEnds_NonXtal_Prot#'!A:AL,10,FALSE)</f>
        <v>52</v>
      </c>
      <c r="AF13" s="1">
        <f>VLOOKUP(A13,'SegEnds_NonXtal_Prot#'!A:AL,22,FALSE)-VLOOKUP(A13,'SegEnds_NonXtal_Prot#'!A:AL,19,FALSE)</f>
        <v>20</v>
      </c>
      <c r="AG13" s="1">
        <f>VLOOKUP(A13,'SegEnds_NonXtal_Prot#'!A:AL,28,FALSE)-VLOOKUP(A13,'SegEnds_NonXtal_Prot#'!A:AL,25,FALSE)</f>
        <v>20</v>
      </c>
      <c r="AH13" s="1">
        <f>VLOOKUP(A13,'SegEnds_NonXtal_Prot#'!A:AL,28,FALSE)-VLOOKUP(A13,'SegEnds_NonXtal_Prot#'!A:AL,22,FALSE)</f>
        <v>49</v>
      </c>
      <c r="AI13" s="1">
        <f>VLOOKUP(A13,'SegEnds_NonXtal_Prot#'!A:AL,31,FALSE)-VLOOKUP(A13,'SegEnds_NonXtal_Prot#'!A:AL,28,FALSE)</f>
        <v>83</v>
      </c>
      <c r="AJ13" s="1">
        <f>VLOOKUP(A13,'SegEnds_NonXtal_Prot#'!A:AL,34,FALSE)-VLOOKUP(A13,'SegEnds_NonXtal_Prot#'!A:AL,31,FALSE)</f>
        <v>34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141</v>
      </c>
      <c r="B14" s="1" t="str">
        <f>VLOOKUP(A14,Xtal_Templ!A:B,2,FALSE)</f>
        <v>aa1r_human</v>
      </c>
      <c r="C14" s="5">
        <f>VLOOKUP($B14&amp;"__wt",'SegEnds_Xtal_BW#'!$A:$Z,3,FALSE)</f>
        <v>29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08">
        <v>66</v>
      </c>
      <c r="I14" s="1">
        <f>VLOOKUP($B14&amp;"__wt",'SegEnds_Xtal_BW#'!$A:$Z,9,FALSE)</f>
        <v>50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v>38</v>
      </c>
      <c r="P14" s="1">
        <f>VLOOKUP($B14&amp;"__wt",'SegEnds_Xtal_BW#'!$A:$Z,16,FALSE)</f>
        <v>63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34</v>
      </c>
      <c r="T14" s="1">
        <f t="array" ref="T14">INDEX(ICL3_classA!$G$2:$G$37,MATCH(MIN(ABS(AI14-ICL3_classA!$F$2:$F$37)),ABS(AI14-ICL3_classA!$F$2:$F$37),0))</f>
        <v>73</v>
      </c>
      <c r="U14" s="1">
        <f t="array" ref="U14">INDEX(ICL3_classA!$H$2:$H$37,MATCH(MIN(ABS(AI14-ICL3_classA!$F$2:$F$37)),ABS(AI14-ICL3_classA!$F$2:$F$37),0))</f>
        <v>22</v>
      </c>
      <c r="V14" s="1">
        <v>61</v>
      </c>
      <c r="W14" s="1">
        <v>32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69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28</v>
      </c>
      <c r="AC14" s="1">
        <f>VLOOKUP(A14,'SegEnds_NonXtal_Prot#'!A:AL,10,FALSE)-VLOOKUP(A14,'SegEnds_NonXtal_Prot#'!A:AL,7,FALSE)</f>
        <v>15</v>
      </c>
      <c r="AD14" s="1">
        <f>VLOOKUP(A14,'SegEnds_NonXtal_Prot#'!A:AL,13,FALSE)-VLOOKUP(A14,'SegEnds_NonXtal_Prot#'!A:AL,10,FALSE)</f>
        <v>18</v>
      </c>
      <c r="AE14" s="1">
        <f>VLOOKUP(A14,'SegEnds_NonXtal_Prot#'!A:AL,16,FALSE)-VLOOKUP(A14,'SegEnds_NonXtal_Prot#'!A:AL,10,FALSE)</f>
        <v>50</v>
      </c>
      <c r="AF14" s="1">
        <f>VLOOKUP(A14,'SegEnds_NonXtal_Prot#'!A:AL,22,FALSE)-VLOOKUP(A14,'SegEnds_NonXtal_Prot#'!A:AL,19,FALSE)</f>
        <v>20</v>
      </c>
      <c r="AG14" s="1">
        <f>VLOOKUP(A14,'SegEnds_NonXtal_Prot#'!A:AL,28,FALSE)-VLOOKUP(A14,'SegEnds_NonXtal_Prot#'!A:AL,25,FALSE)</f>
        <v>23</v>
      </c>
      <c r="AH14" s="1">
        <f>VLOOKUP(A14,'SegEnds_NonXtal_Prot#'!A:AL,28,FALSE)-VLOOKUP(A14,'SegEnds_NonXtal_Prot#'!A:AL,22,FALSE)</f>
        <v>54</v>
      </c>
      <c r="AI14" s="1">
        <f>VLOOKUP(A14,'SegEnds_NonXtal_Prot#'!A:AL,31,FALSE)-VLOOKUP(A14,'SegEnds_NonXtal_Prot#'!A:AL,28,FALSE)</f>
        <v>56</v>
      </c>
      <c r="AJ14" s="1">
        <f>VLOOKUP(A14,'SegEnds_NonXtal_Prot#'!A:AL,34,FALSE)-VLOOKUP(A14,'SegEnds_NonXtal_Prot#'!A:AL,31,FALSE)</f>
        <v>34</v>
      </c>
      <c r="AK14" s="1">
        <f>VLOOKUP(A14,'SegEnds_NonXtal_Prot#'!A:AL,37,FALSE)-VLOOKUP(A14,'SegEnds_NonXtal_Prot#'!A:AL,34,FALSE)</f>
        <v>10</v>
      </c>
      <c r="AL14" s="1" t="str">
        <f>IF(ISERROR(MATCH(A14,'SegEnds_Xtal_Prot#'!B:B, 0)), "NoXtal", "Xtal")</f>
        <v>NoXtal</v>
      </c>
    </row>
    <row r="15" spans="1:38" x14ac:dyDescent="0.2">
      <c r="A15" s="1" t="s">
        <v>155</v>
      </c>
      <c r="B15" s="1" t="str">
        <f>VLOOKUP(A15,Xtal_Templ!A:B,2,FALSE)</f>
        <v>drd2_human</v>
      </c>
      <c r="C15" s="5">
        <f>VLOOKUP($B15&amp;"__wt",'SegEnds_Xtal_BW#'!$A:$Z,3,FALSE)</f>
        <v>29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f>VLOOKUP($B15&amp;"__wt",'SegEnds_Xtal_BW#'!$A:$Z,8,FALSE)</f>
        <v>68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v>38</v>
      </c>
      <c r="P15" s="1">
        <f>VLOOKUP($B15&amp;"__wt",'SegEnds_Xtal_BW#'!$A:$Z,16,FALSE)</f>
        <v>62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v>35</v>
      </c>
      <c r="T15" s="1">
        <f t="array" ref="T15">INDEX(ICL3_classA!$G$2:$G$37,MATCH(MIN(ABS(AI15-ICL3_classA!$F$2:$F$37)),ABS(AI15-ICL3_classA!$F$2:$F$37),0))</f>
        <v>75</v>
      </c>
      <c r="U15" s="1">
        <f t="array" ref="U15">INDEX(ICL3_classA!$H$2:$H$37,MATCH(MIN(ABS(AI15-ICL3_classA!$F$2:$F$37)),ABS(AI15-ICL3_classA!$F$2:$F$37),0))</f>
        <v>24</v>
      </c>
      <c r="V15" s="1">
        <v>61</v>
      </c>
      <c r="W15" s="1">
        <v>32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28</v>
      </c>
      <c r="AC15" s="1">
        <f>VLOOKUP(A15,'SegEnds_NonXtal_Prot#'!A:AL,10,FALSE)-VLOOKUP(A15,'SegEnds_NonXtal_Prot#'!A:AL,7,FALSE)</f>
        <v>15</v>
      </c>
      <c r="AD15" s="1">
        <f>VLOOKUP(A15,'SegEnds_NonXtal_Prot#'!A:AL,13,FALSE)-VLOOKUP(A15,'SegEnds_NonXtal_Prot#'!A:AL,10,FALSE)</f>
        <v>20</v>
      </c>
      <c r="AE15" s="1">
        <f>VLOOKUP(A15,'SegEnds_NonXtal_Prot#'!A:AL,16,FALSE)-VLOOKUP(A15,'SegEnds_NonXtal_Prot#'!A:AL,10,FALSE)</f>
        <v>52</v>
      </c>
      <c r="AF15" s="1">
        <f>VLOOKUP(A15,'SegEnds_NonXtal_Prot#'!A:AL,22,FALSE)-VLOOKUP(A15,'SegEnds_NonXtal_Prot#'!A:AL,19,FALSE)</f>
        <v>20</v>
      </c>
      <c r="AG15" s="1">
        <f>VLOOKUP(A15,'SegEnds_NonXtal_Prot#'!A:AL,28,FALSE)-VLOOKUP(A15,'SegEnds_NonXtal_Prot#'!A:AL,25,FALSE)</f>
        <v>20</v>
      </c>
      <c r="AH15" s="1">
        <f>VLOOKUP(A15,'SegEnds_NonXtal_Prot#'!A:AL,28,FALSE)-VLOOKUP(A15,'SegEnds_NonXtal_Prot#'!A:AL,22,FALSE)</f>
        <v>50</v>
      </c>
      <c r="AI15" s="1">
        <f>VLOOKUP(A15,'SegEnds_NonXtal_Prot#'!A:AL,31,FALSE)-VLOOKUP(A15,'SegEnds_NonXtal_Prot#'!A:AL,28,FALSE)</f>
        <v>181</v>
      </c>
      <c r="AJ15" s="1">
        <f>VLOOKUP(A15,'SegEnds_NonXtal_Prot#'!A:AL,34,FALSE)-VLOOKUP(A15,'SegEnds_NonXtal_Prot#'!A:AL,31,FALSE)</f>
        <v>34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1173</v>
      </c>
      <c r="B16" s="1" t="str">
        <f>VLOOKUP(A16,Xtal_Templ!A:B,2,FALSE)</f>
        <v>ffar1_human</v>
      </c>
      <c r="C16" s="5">
        <f>VLOOKUP($B16&amp;"__wt",'SegEnds_Xtal_BW#'!$A:$Z,3,FALSE)</f>
        <v>31</v>
      </c>
      <c r="D16" s="1">
        <f>VLOOKUP($B16&amp;"__wt",'SegEnds_Xtal_BW#'!$A:$Z,4,FALSE)</f>
        <v>64</v>
      </c>
      <c r="E16" s="1" t="str">
        <f>VLOOKUP($B16&amp;"__wt",'SegEnds_Xtal_BW#'!$A:$Z,5,FALSE)</f>
        <v>-</v>
      </c>
      <c r="F16" s="1" t="str">
        <f>VLOOKUP($B16&amp;"__wt",'SegEnds_Xtal_BW#'!$A:$Z,6,FALSE)</f>
        <v>-</v>
      </c>
      <c r="G16" s="1">
        <v>37</v>
      </c>
      <c r="H16" s="12">
        <f>VLOOKUP($B16&amp;"__wt",'SegEnds_Xtal_BW#'!$A:$Z,8,FALSE)</f>
        <v>67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18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f>VLOOKUP($B16&amp;"__wt",'SegEnds_Xtal_BW#'!$A:$Z,14,FALSE)</f>
        <v>57</v>
      </c>
      <c r="O16" s="87">
        <f>VLOOKUP($B16&amp;"__wt",'SegEnds_Xtal_BW#'!$A:$Z,15,FALSE)</f>
        <v>38</v>
      </c>
      <c r="P16" s="1">
        <f>VLOOKUP($B16&amp;"__wt",'SegEnds_Xtal_BW#'!$A:$Z,16,FALSE)</f>
        <v>65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31</v>
      </c>
      <c r="T16" s="1">
        <f t="array" ref="T16">INDEX(ICL3_classA!$G$2:$G$37,MATCH(MIN(ABS(AI16-ICL3_classA!$F$2:$F$37)),ABS(AI16-ICL3_classA!$F$2:$F$37),0))</f>
        <v>67</v>
      </c>
      <c r="U16" s="1">
        <f t="array" ref="U16">INDEX(ICL3_classA!$H$2:$H$37,MATCH(MIN(ABS(AI16-ICL3_classA!$F$2:$F$37)),ABS(AI16-ICL3_classA!$F$2:$F$37),0))</f>
        <v>28</v>
      </c>
      <c r="V16" s="1">
        <v>61</v>
      </c>
      <c r="W16" s="1">
        <v>32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61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29</v>
      </c>
      <c r="AC16" s="1" t="e">
        <f>VLOOKUP(A16,'SegEnds_NonXtal_Prot#'!A:AL,10,FALSE)-VLOOKUP(A16,'SegEnds_NonXtal_Prot#'!A:AL,7,FALSE)</f>
        <v>#VALUE!</v>
      </c>
      <c r="AD16" s="1">
        <f>VLOOKUP(A16,'SegEnds_NonXtal_Prot#'!A:AL,13,FALSE)-VLOOKUP(A16,'SegEnds_NonXtal_Prot#'!A:AL,10,FALSE)</f>
        <v>20</v>
      </c>
      <c r="AE16" s="1">
        <f>VLOOKUP(A16,'SegEnds_NonXtal_Prot#'!A:AL,16,FALSE)-VLOOKUP(A16,'SegEnds_NonXtal_Prot#'!A:AL,10,FALSE)</f>
        <v>52</v>
      </c>
      <c r="AF16" s="1">
        <f>VLOOKUP(A16,'SegEnds_NonXtal_Prot#'!A:AL,22,FALSE)-VLOOKUP(A16,'SegEnds_NonXtal_Prot#'!A:AL,19,FALSE)</f>
        <v>20</v>
      </c>
      <c r="AG16" s="1">
        <f>VLOOKUP(A16,'SegEnds_NonXtal_Prot#'!A:AL,28,FALSE)-VLOOKUP(A16,'SegEnds_NonXtal_Prot#'!A:AL,25,FALSE)</f>
        <v>24</v>
      </c>
      <c r="AH16" s="1">
        <f>VLOOKUP(A16,'SegEnds_NonXtal_Prot#'!A:AL,28,FALSE)-VLOOKUP(A16,'SegEnds_NonXtal_Prot#'!A:AL,22,FALSE)</f>
        <v>63</v>
      </c>
      <c r="AI16" s="1">
        <f>VLOOKUP(A16,'SegEnds_NonXtal_Prot#'!A:AL,31,FALSE)-VLOOKUP(A16,'SegEnds_NonXtal_Prot#'!A:AL,28,FALSE)</f>
        <v>45</v>
      </c>
      <c r="AJ16" s="1">
        <f>VLOOKUP(A16,'SegEnds_NonXtal_Prot#'!A:AL,34,FALSE)-VLOOKUP(A16,'SegEnds_NonXtal_Prot#'!A:AL,31,FALSE)</f>
        <v>34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Xtal</v>
      </c>
    </row>
    <row r="17" spans="1:38" x14ac:dyDescent="0.2">
      <c r="A17" s="1" t="s">
        <v>221</v>
      </c>
      <c r="B17" s="1" t="str">
        <f>VLOOKUP(A17,Xtal_Templ!A:B,2,FALSE)</f>
        <v>s1pr1_human</v>
      </c>
      <c r="C17" s="5">
        <f>VLOOKUP($B17&amp;"__wt",'SegEnds_Xtal_BW#'!$A:$Z,3,FALSE)</f>
        <v>29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67</v>
      </c>
      <c r="I17" s="1">
        <f>VLOOKUP($B17&amp;"__wt",'SegEnds_Xtal_BW#'!$A:$Z,9,FALSE)</f>
        <v>47</v>
      </c>
      <c r="J17" s="1">
        <f>VLOOKUP($B17&amp;"__wt",'SegEnds_Xtal_BW#'!$A:$Z,10,FALSE)</f>
        <v>53</v>
      </c>
      <c r="K17" s="12">
        <v>18</v>
      </c>
      <c r="L17" s="1">
        <f>VLOOKUP($B17&amp;"__wt",'SegEnds_Xtal_BW#'!$A:$Z,12,FALSE)</f>
        <v>56</v>
      </c>
      <c r="M17" s="108" t="s">
        <v>23</v>
      </c>
      <c r="N17" s="12" t="s">
        <v>23</v>
      </c>
      <c r="O17" s="87">
        <f>VLOOKUP($B17&amp;"__wt",'SegEnds_Xtal_BW#'!$A:$Z,15,FALSE)</f>
        <v>38</v>
      </c>
      <c r="P17" s="1">
        <f>VLOOKUP($B17&amp;"__wt",'SegEnds_Xtal_BW#'!$A:$Z,16,FALSE)</f>
        <v>63</v>
      </c>
      <c r="Q17" s="1" t="str">
        <f>VLOOKUP($B17&amp;"__wt",'SegEnds_Xtal_BW#'!$A:$Z,17,FALSE)</f>
        <v>-</v>
      </c>
      <c r="R17" s="1" t="str">
        <f>VLOOKUP($B17&amp;"__wt",'SegEnds_Xtal_BW#'!$A:$Z,18,FALSE)</f>
        <v>-</v>
      </c>
      <c r="S17" s="1">
        <f>VLOOKUP($B17&amp;"__wt",'SegEnds_Xtal_BW#'!$A:$Z,19,FALSE)</f>
        <v>36</v>
      </c>
      <c r="T17" s="1">
        <f t="array" ref="T17">INDEX(ICL3_classA!$G$2:$G$37,MATCH(MIN(ABS(AI17-ICL3_classA!$F$2:$F$37)),ABS(AI17-ICL3_classA!$F$2:$F$37),0))</f>
        <v>76</v>
      </c>
      <c r="U17" s="1">
        <f t="array" ref="U17">INDEX(ICL3_classA!$H$2:$H$37,MATCH(MIN(ABS(AI17-ICL3_classA!$F$2:$F$37)),ABS(AI17-ICL3_classA!$F$2:$F$37),0))</f>
        <v>24</v>
      </c>
      <c r="V17" s="1">
        <v>61</v>
      </c>
      <c r="W17" s="1">
        <v>32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59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29</v>
      </c>
      <c r="AC17" s="1" t="e">
        <f>VLOOKUP(A17,'SegEnds_NonXtal_Prot#'!A:AL,10,FALSE)-VLOOKUP(A17,'SegEnds_NonXtal_Prot#'!A:AL,7,FALSE)</f>
        <v>#VALUE!</v>
      </c>
      <c r="AD17" s="1">
        <f>VLOOKUP(A17,'SegEnds_NonXtal_Prot#'!A:AL,13,FALSE)-VLOOKUP(A17,'SegEnds_NonXtal_Prot#'!A:AL,10,FALSE)</f>
        <v>26</v>
      </c>
      <c r="AE17" s="1">
        <f>VLOOKUP(A17,'SegEnds_NonXtal_Prot#'!A:AL,16,FALSE)-VLOOKUP(A17,'SegEnds_NonXtal_Prot#'!A:AL,10,FALSE)</f>
        <v>69</v>
      </c>
      <c r="AF17" s="1" t="e">
        <f>VLOOKUP(A17,'SegEnds_NonXtal_Prot#'!A:AL,22,FALSE)-VLOOKUP(A17,'SegEnds_NonXtal_Prot#'!A:AL,19,FALSE)</f>
        <v>#VALUE!</v>
      </c>
      <c r="AG17" s="1" t="e">
        <f>VLOOKUP(A17,'SegEnds_NonXtal_Prot#'!A:AL,28,FALSE)-VLOOKUP(A17,'SegEnds_NonXtal_Prot#'!A:AL,25,FALSE)</f>
        <v>#VALUE!</v>
      </c>
      <c r="AH17" s="1">
        <f>VLOOKUP(A17,'SegEnds_NonXtal_Prot#'!A:AL,28,FALSE)-VLOOKUP(A17,'SegEnds_NonXtal_Prot#'!A:AL,22,FALSE)</f>
        <v>53</v>
      </c>
      <c r="AI17" s="1">
        <f>VLOOKUP(A17,'SegEnds_NonXtal_Prot#'!A:AL,31,FALSE)-VLOOKUP(A17,'SegEnds_NonXtal_Prot#'!A:AL,28,FALSE)</f>
        <v>114</v>
      </c>
      <c r="AJ17" s="1">
        <f>VLOOKUP(A17,'SegEnds_NonXtal_Prot#'!A:AL,34,FALSE)-VLOOKUP(A17,'SegEnds_NonXtal_Prot#'!A:AL,31,FALSE)</f>
        <v>34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NoXtal</v>
      </c>
    </row>
    <row r="18" spans="1:38" x14ac:dyDescent="0.2">
      <c r="A18" s="1" t="s">
        <v>225</v>
      </c>
      <c r="B18" s="1" t="str">
        <f>VLOOKUP(A18,Xtal_Templ!A:B,2,FALSE)</f>
        <v>ox2r_human</v>
      </c>
      <c r="C18" s="5">
        <f>VLOOKUP($B18&amp;"__wt",'SegEnds_Xtal_BW#'!$A:$Z,3,FALSE)</f>
        <v>31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68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18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7">
        <f>VLOOKUP($B18&amp;"__wt",'SegEnds_Xtal_BW#'!$A:$Z,15,FALSE)</f>
        <v>38</v>
      </c>
      <c r="P18" s="1"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v>35</v>
      </c>
      <c r="T18" s="1">
        <f t="array" ref="T18">INDEX(ICL3_classA!$G$2:$G$37,MATCH(MIN(ABS(AI18-ICL3_classA!$F$2:$F$37)),ABS(AI18-ICL3_classA!$F$2:$F$37),0))</f>
        <v>76</v>
      </c>
      <c r="U18" s="1">
        <f t="array" ref="U18">INDEX(ICL3_classA!$H$2:$H$37,MATCH(MIN(ABS(AI18-ICL3_classA!$F$2:$F$37)),ABS(AI18-ICL3_classA!$F$2:$F$37),0))</f>
        <v>24</v>
      </c>
      <c r="V18" s="1">
        <v>61</v>
      </c>
      <c r="W18" s="1">
        <v>32</v>
      </c>
      <c r="X18" s="108">
        <v>55</v>
      </c>
      <c r="Y18" s="1">
        <f>VLOOKUP($B18&amp;"__wt",'SegEnds_Xtal_BW#'!$A:$Z,25,FALSE)</f>
        <v>47</v>
      </c>
      <c r="Z18" s="1">
        <f>VLOOKUP($B18&amp;"__wt",'SegEnds_Xtal_BW#'!$A:$Z,26,FALSE)</f>
        <v>58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27</v>
      </c>
      <c r="AC18" s="1">
        <f>VLOOKUP(A18,'SegEnds_NonXtal_Prot#'!A:AL,10,FALSE)-VLOOKUP(A18,'SegEnds_NonXtal_Prot#'!A:AL,7,FALSE)</f>
        <v>14</v>
      </c>
      <c r="AD18" s="1">
        <f>VLOOKUP(A18,'SegEnds_NonXtal_Prot#'!A:AL,13,FALSE)-VLOOKUP(A18,'SegEnds_NonXtal_Prot#'!A:AL,10,FALSE)</f>
        <v>24</v>
      </c>
      <c r="AE18" s="1">
        <f>VLOOKUP(A18,'SegEnds_NonXtal_Prot#'!A:AL,16,FALSE)-VLOOKUP(A18,'SegEnds_NonXtal_Prot#'!A:AL,10,FALSE)</f>
        <v>56</v>
      </c>
      <c r="AF18" s="1">
        <f>VLOOKUP(A18,'SegEnds_NonXtal_Prot#'!A:AL,22,FALSE)-VLOOKUP(A18,'SegEnds_NonXtal_Prot#'!A:AL,19,FALSE)</f>
        <v>20</v>
      </c>
      <c r="AG18" s="1">
        <f>VLOOKUP(A18,'SegEnds_NonXtal_Prot#'!A:AL,28,FALSE)-VLOOKUP(A18,'SegEnds_NonXtal_Prot#'!A:AL,25,FALSE)</f>
        <v>23</v>
      </c>
      <c r="AH18" s="1">
        <f>VLOOKUP(A18,'SegEnds_NonXtal_Prot#'!A:AL,28,FALSE)-VLOOKUP(A18,'SegEnds_NonXtal_Prot#'!A:AL,22,FALSE)</f>
        <v>49</v>
      </c>
      <c r="AI18" s="1">
        <f>VLOOKUP(A18,'SegEnds_NonXtal_Prot#'!A:AL,31,FALSE)-VLOOKUP(A18,'SegEnds_NonXtal_Prot#'!A:AL,28,FALSE)</f>
        <v>76</v>
      </c>
      <c r="AJ18" s="1">
        <f>VLOOKUP(A18,'SegEnds_NonXtal_Prot#'!A:AL,34,FALSE)-VLOOKUP(A18,'SegEnds_NonXtal_Prot#'!A:AL,31,FALSE)</f>
        <v>34</v>
      </c>
      <c r="AK18" s="1">
        <f>VLOOKUP(A18,'SegEnds_NonXtal_Prot#'!A:AL,37,FALSE)-VLOOKUP(A18,'SegEnds_NonXtal_Prot#'!A:AL,34,FALSE)</f>
        <v>9</v>
      </c>
      <c r="AL18" s="1" t="str">
        <f>IF(ISERROR(MATCH(A18,'SegEnds_Xtal_Prot#'!B:B, 0)), "NoXtal", "Xtal")</f>
        <v>NoXtal</v>
      </c>
    </row>
    <row r="19" spans="1:38" x14ac:dyDescent="0.2">
      <c r="A19" s="1" t="s">
        <v>228</v>
      </c>
      <c r="B19" s="1" t="str">
        <f>VLOOKUP(A19,Xtal_Templ!A:B,2,FALSE)</f>
        <v>npy1r_human</v>
      </c>
      <c r="C19" s="5">
        <f>VLOOKUP($B19&amp;"__wt",'SegEnds_Xtal_BW#'!$A:$Z,3,FALSE)</f>
        <v>28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2">
        <f>VLOOKUP($B19&amp;"__wt",'SegEnds_Xtal_BW#'!$A:$Z,8,FALSE)</f>
        <v>68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08">
        <v>50</v>
      </c>
      <c r="N19" s="12">
        <v>57</v>
      </c>
      <c r="O19" s="87">
        <f>VLOOKUP($B19&amp;"__wt",'SegEnds_Xtal_BW#'!$A:$Z,15,FALSE)</f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v>35</v>
      </c>
      <c r="T19" s="1">
        <f t="array" ref="T19">INDEX(ICL3_classA!$G$2:$G$37,MATCH(MIN(ABS(AI19-ICL3_classA!$F$2:$F$37)),ABS(AI19-ICL3_classA!$F$2:$F$37),0))</f>
        <v>74</v>
      </c>
      <c r="U19" s="1">
        <f t="array" ref="U19">INDEX(ICL3_classA!$H$2:$H$37,MATCH(MIN(ABS(AI19-ICL3_classA!$F$2:$F$37)),ABS(AI19-ICL3_classA!$F$2:$F$37),0))</f>
        <v>24</v>
      </c>
      <c r="V19" s="1">
        <v>61</v>
      </c>
      <c r="W19" s="1">
        <v>32</v>
      </c>
      <c r="X19" s="108">
        <v>55</v>
      </c>
      <c r="Y19" s="1">
        <f>VLOOKUP($B19&amp;"__wt",'SegEnds_Xtal_BW#'!$A:$Z,25,FALSE)</f>
        <v>47</v>
      </c>
      <c r="Z19" s="1">
        <f>VLOOKUP($B19&amp;"__wt",'SegEnds_Xtal_BW#'!$A:$Z,26,FALSE)</f>
        <v>58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27</v>
      </c>
      <c r="AC19" s="1">
        <f>VLOOKUP(A19,'SegEnds_NonXtal_Prot#'!A:AL,10,FALSE)-VLOOKUP(A19,'SegEnds_NonXtal_Prot#'!A:AL,7,FALSE)</f>
        <v>14</v>
      </c>
      <c r="AD19" s="1">
        <f>VLOOKUP(A19,'SegEnds_NonXtal_Prot#'!A:AL,13,FALSE)-VLOOKUP(A19,'SegEnds_NonXtal_Prot#'!A:AL,10,FALSE)</f>
        <v>25</v>
      </c>
      <c r="AE19" s="1">
        <f>VLOOKUP(A19,'SegEnds_NonXtal_Prot#'!A:AL,16,FALSE)-VLOOKUP(A19,'SegEnds_NonXtal_Prot#'!A:AL,10,FALSE)</f>
        <v>57</v>
      </c>
      <c r="AF19" s="1">
        <f>VLOOKUP(A19,'SegEnds_NonXtal_Prot#'!A:AL,22,FALSE)-VLOOKUP(A19,'SegEnds_NonXtal_Prot#'!A:AL,19,FALSE)</f>
        <v>20</v>
      </c>
      <c r="AG19" s="1">
        <f>VLOOKUP(A19,'SegEnds_NonXtal_Prot#'!A:AL,28,FALSE)-VLOOKUP(A19,'SegEnds_NonXtal_Prot#'!A:AL,25,FALSE)</f>
        <v>23</v>
      </c>
      <c r="AH19" s="1">
        <f>VLOOKUP(A19,'SegEnds_NonXtal_Prot#'!A:AL,28,FALSE)-VLOOKUP(A19,'SegEnds_NonXtal_Prot#'!A:AL,22,FALSE)</f>
        <v>49</v>
      </c>
      <c r="AI19" s="1">
        <f>VLOOKUP(A19,'SegEnds_NonXtal_Prot#'!A:AL,31,FALSE)-VLOOKUP(A19,'SegEnds_NonXtal_Prot#'!A:AL,28,FALSE)</f>
        <v>96</v>
      </c>
      <c r="AJ19" s="1">
        <f>VLOOKUP(A19,'SegEnds_NonXtal_Prot#'!A:AL,34,FALSE)-VLOOKUP(A19,'SegEnds_NonXtal_Prot#'!A:AL,31,FALSE)</f>
        <v>34</v>
      </c>
      <c r="AK19" s="1">
        <f>VLOOKUP(A19,'SegEnds_NonXtal_Prot#'!A:AL,37,FALSE)-VLOOKUP(A19,'SegEnds_NonXtal_Prot#'!A:AL,34,FALSE)</f>
        <v>9</v>
      </c>
      <c r="AL19" s="1" t="str">
        <f>IF(ISERROR(MATCH(A19,'SegEnds_Xtal_Prot#'!B:B, 0)), "NoXtal", "Xtal")</f>
        <v>NoXtal</v>
      </c>
    </row>
    <row r="20" spans="1:38" x14ac:dyDescent="0.2">
      <c r="A20" s="1" t="s">
        <v>244</v>
      </c>
      <c r="B20" s="1" t="str">
        <f>VLOOKUP(A20,Xtal_Templ!A:B,2,FALSE)</f>
        <v>5ht2a_human</v>
      </c>
      <c r="C20" s="5">
        <f>VLOOKUP($B20&amp;"__wt",'SegEnds_Xtal_BW#'!$A:$Z,3,FALSE)</f>
        <v>27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08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18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7">
        <v>38</v>
      </c>
      <c r="P20" s="1">
        <f>VLOOKUP($B20&amp;"__wt",'SegEnds_Xtal_BW#'!$A:$Z,16,FALSE)</f>
        <v>67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v>35</v>
      </c>
      <c r="T20" s="1">
        <f t="array" ref="T20">INDEX(ICL3_classA!$G$2:$G$37,MATCH(MIN(ABS(AI20-ICL3_classA!$F$2:$F$37)),ABS(AI20-ICL3_classA!$F$2:$F$37),0))</f>
        <v>74</v>
      </c>
      <c r="U20" s="1">
        <f t="array" ref="U20">INDEX(ICL3_classA!$H$2:$H$37,MATCH(MIN(ABS(AI20-ICL3_classA!$F$2:$F$37)),ABS(AI20-ICL3_classA!$F$2:$F$37),0))</f>
        <v>21</v>
      </c>
      <c r="V20" s="1">
        <v>61</v>
      </c>
      <c r="W20" s="1">
        <v>32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60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29</v>
      </c>
      <c r="AC20" s="1">
        <f>VLOOKUP(A20,'SegEnds_NonXtal_Prot#'!A:AL,10,FALSE)-VLOOKUP(A20,'SegEnds_NonXtal_Prot#'!A:AL,7,FALSE)</f>
        <v>16</v>
      </c>
      <c r="AD20" s="1" t="e">
        <f>VLOOKUP(A20,'SegEnds_NonXtal_Prot#'!A:AL,13,FALSE)-VLOOKUP(A20,'SegEnds_NonXtal_Prot#'!A:AL,10,FALSE)</f>
        <v>#VALUE!</v>
      </c>
      <c r="AE20" s="1">
        <f>VLOOKUP(A20,'SegEnds_NonXtal_Prot#'!A:AL,16,FALSE)-VLOOKUP(A20,'SegEnds_NonXtal_Prot#'!A:AL,10,FALSE)</f>
        <v>52</v>
      </c>
      <c r="AF20" s="1">
        <f>VLOOKUP(A20,'SegEnds_NonXtal_Prot#'!A:AL,22,FALSE)-VLOOKUP(A20,'SegEnds_NonXtal_Prot#'!A:AL,19,FALSE)</f>
        <v>20</v>
      </c>
      <c r="AG20" s="1">
        <f>VLOOKUP(A20,'SegEnds_NonXtal_Prot#'!A:AL,28,FALSE)-VLOOKUP(A20,'SegEnds_NonXtal_Prot#'!A:AL,25,FALSE)</f>
        <v>21</v>
      </c>
      <c r="AH20" s="1">
        <f>VLOOKUP(A20,'SegEnds_NonXtal_Prot#'!A:AL,28,FALSE)-VLOOKUP(A20,'SegEnds_NonXtal_Prot#'!A:AL,22,FALSE)</f>
        <v>48</v>
      </c>
      <c r="AI20" s="1">
        <f>VLOOKUP(A20,'SegEnds_NonXtal_Prot#'!A:AL,31,FALSE)-VLOOKUP(A20,'SegEnds_NonXtal_Prot#'!A:AL,28,FALSE)</f>
        <v>65</v>
      </c>
      <c r="AJ20" s="1">
        <f>VLOOKUP(A20,'SegEnds_NonXtal_Prot#'!A:AL,34,FALSE)-VLOOKUP(A20,'SegEnds_NonXtal_Prot#'!A:AL,31,FALSE)</f>
        <v>34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260</v>
      </c>
      <c r="B21" s="1" t="str">
        <f>VLOOKUP(A21,Xtal_Templ!A:B,2,FALSE)</f>
        <v>5ht2b_human</v>
      </c>
      <c r="C21" s="5">
        <f>VLOOKUP($B21&amp;"__wt",'SegEnds_Xtal_BW#'!$A:$Z,3,FALSE)</f>
        <v>31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08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87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v>35</v>
      </c>
      <c r="T21" s="1">
        <f t="array" ref="T21">INDEX(ICL3_classA!$G$2:$G$37,MATCH(MIN(ABS(AI21-ICL3_classA!$F$2:$F$37)),ABS(AI21-ICL3_classA!$F$2:$F$37),0))</f>
        <v>74</v>
      </c>
      <c r="U21" s="1">
        <f t="array" ref="U21">INDEX(ICL3_classA!$H$2:$H$37,MATCH(MIN(ABS(AI21-ICL3_classA!$F$2:$F$37)),ABS(AI21-ICL3_classA!$F$2:$F$37),0))</f>
        <v>21</v>
      </c>
      <c r="V21" s="1">
        <v>61</v>
      </c>
      <c r="W21" s="1">
        <v>32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58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29</v>
      </c>
      <c r="AC21" s="1">
        <f>VLOOKUP(A21,'SegEnds_NonXtal_Prot#'!A:AL,10,FALSE)-VLOOKUP(A21,'SegEnds_NonXtal_Prot#'!A:AL,7,FALSE)</f>
        <v>16</v>
      </c>
      <c r="AD21" s="1" t="e">
        <f>VLOOKUP(A21,'SegEnds_NonXtal_Prot#'!A:AL,13,FALSE)-VLOOKUP(A21,'SegEnds_NonXtal_Prot#'!A:AL,10,FALSE)</f>
        <v>#VALUE!</v>
      </c>
      <c r="AE21" s="1">
        <f>VLOOKUP(A21,'SegEnds_NonXtal_Prot#'!A:AL,16,FALSE)-VLOOKUP(A21,'SegEnds_NonXtal_Prot#'!A:AL,10,FALSE)</f>
        <v>52</v>
      </c>
      <c r="AF21" s="1">
        <f>VLOOKUP(A21,'SegEnds_NonXtal_Prot#'!A:AL,22,FALSE)-VLOOKUP(A21,'SegEnds_NonXtal_Prot#'!A:AL,19,FALSE)</f>
        <v>20</v>
      </c>
      <c r="AG21" s="1">
        <f>VLOOKUP(A21,'SegEnds_NonXtal_Prot#'!A:AL,28,FALSE)-VLOOKUP(A21,'SegEnds_NonXtal_Prot#'!A:AL,25,FALSE)</f>
        <v>21</v>
      </c>
      <c r="AH21" s="1">
        <f>VLOOKUP(A21,'SegEnds_NonXtal_Prot#'!A:AL,28,FALSE)-VLOOKUP(A21,'SegEnds_NonXtal_Prot#'!A:AL,22,FALSE)</f>
        <v>48</v>
      </c>
      <c r="AI21" s="1">
        <f>VLOOKUP(A21,'SegEnds_NonXtal_Prot#'!A:AL,31,FALSE)-VLOOKUP(A21,'SegEnds_NonXtal_Prot#'!A:AL,28,FALSE)</f>
        <v>66</v>
      </c>
      <c r="AJ21" s="1">
        <f>VLOOKUP(A21,'SegEnds_NonXtal_Prot#'!A:AL,34,FALSE)-VLOOKUP(A21,'SegEnds_NonXtal_Prot#'!A:AL,31,FALSE)</f>
        <v>34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NoXtal</v>
      </c>
    </row>
    <row r="22" spans="1:38" x14ac:dyDescent="0.2">
      <c r="A22" s="1" t="s">
        <v>273</v>
      </c>
      <c r="B22" s="1" t="str">
        <f>VLOOKUP(A22,Xtal_Templ!A:B,2,FALSE)</f>
        <v>ox1r_human</v>
      </c>
      <c r="C22" s="5">
        <f>VLOOKUP($B22&amp;"__wt",'SegEnds_Xtal_BW#'!$A:$Z,3,FALSE)</f>
        <v>32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f>VLOOKUP($B22&amp;"__wt",'SegEnds_Xtal_BW#'!$A:$Z,8,FALSE)</f>
        <v>67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18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v>57</v>
      </c>
      <c r="O22" s="87">
        <f>VLOOKUP($B22&amp;"__wt",'SegEnds_Xtal_BW#'!$A:$Z,15,FALSE)</f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v>35</v>
      </c>
      <c r="T22" s="1">
        <f t="array" ref="T22">INDEX(ICL3_classA!$G$2:$G$37,MATCH(MIN(ABS(AI22-ICL3_classA!$F$2:$F$37)),ABS(AI22-ICL3_classA!$F$2:$F$37),0))</f>
        <v>74</v>
      </c>
      <c r="U22" s="1">
        <f t="array" ref="U22">INDEX(ICL3_classA!$H$2:$H$37,MATCH(MIN(ABS(AI22-ICL3_classA!$F$2:$F$37)),ABS(AI22-ICL3_classA!$F$2:$F$37),0))</f>
        <v>21</v>
      </c>
      <c r="V22" s="1">
        <v>61</v>
      </c>
      <c r="W22" s="1">
        <v>32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58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28</v>
      </c>
      <c r="AC22" s="1">
        <f>VLOOKUP(A22,'SegEnds_NonXtal_Prot#'!A:AL,10,FALSE)-VLOOKUP(A22,'SegEnds_NonXtal_Prot#'!A:AL,7,FALSE)</f>
        <v>15</v>
      </c>
      <c r="AD22" s="1" t="e">
        <f>VLOOKUP(A22,'SegEnds_NonXtal_Prot#'!A:AL,13,FALSE)-VLOOKUP(A22,'SegEnds_NonXtal_Prot#'!A:AL,10,FALSE)</f>
        <v>#VALUE!</v>
      </c>
      <c r="AE22" s="1">
        <f>VLOOKUP(A22,'SegEnds_NonXtal_Prot#'!A:AL,16,FALSE)-VLOOKUP(A22,'SegEnds_NonXtal_Prot#'!A:AL,10,FALSE)</f>
        <v>61</v>
      </c>
      <c r="AF22" s="1">
        <f>VLOOKUP(A22,'SegEnds_NonXtal_Prot#'!A:AL,22,FALSE)-VLOOKUP(A22,'SegEnds_NonXtal_Prot#'!A:AL,19,FALSE)</f>
        <v>20</v>
      </c>
      <c r="AG22" s="1" t="e">
        <f>VLOOKUP(A22,'SegEnds_NonXtal_Prot#'!A:AL,28,FALSE)-VLOOKUP(A22,'SegEnds_NonXtal_Prot#'!A:AL,25,FALSE)</f>
        <v>#VALUE!</v>
      </c>
      <c r="AH22" s="1">
        <f>VLOOKUP(A22,'SegEnds_NonXtal_Prot#'!A:AL,28,FALSE)-VLOOKUP(A22,'SegEnds_NonXtal_Prot#'!A:AL,22,FALSE)</f>
        <v>72</v>
      </c>
      <c r="AI22" s="1">
        <f>VLOOKUP(A22,'SegEnds_NonXtal_Prot#'!A:AL,31,FALSE)-VLOOKUP(A22,'SegEnds_NonXtal_Prot#'!A:AL,28,FALSE)</f>
        <v>61</v>
      </c>
      <c r="AJ22" s="1">
        <f>VLOOKUP(A22,'SegEnds_NonXtal_Prot#'!A:AL,34,FALSE)-VLOOKUP(A22,'SegEnds_NonXtal_Prot#'!A:AL,31,FALSE)</f>
        <v>34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294</v>
      </c>
      <c r="B23" s="1" t="str">
        <f>VLOOKUP(A23,Xtal_Templ!A:B,2,FALSE)</f>
        <v>agtr1_human</v>
      </c>
      <c r="C23" s="5">
        <f>VLOOKUP($B23&amp;"__wt",'SegEnds_Xtal_BW#'!$A:$Z,3,FALSE)</f>
        <v>28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67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7">
        <f>VLOOKUP($B23&amp;"__wt",'SegEnds_Xtal_BW#'!$A:$Z,15,FALSE)</f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34</v>
      </c>
      <c r="T23" s="1">
        <f t="array" ref="T23">INDEX(ICL3_classA!$G$2:$G$37,MATCH(MIN(ABS(AI23-ICL3_classA!$F$2:$F$37)),ABS(AI23-ICL3_classA!$F$2:$F$37),0))</f>
        <v>68</v>
      </c>
      <c r="U23" s="1">
        <f t="array" ref="U23">INDEX(ICL3_classA!$H$2:$H$37,MATCH(MIN(ABS(AI23-ICL3_classA!$F$2:$F$37)),ABS(AI23-ICL3_classA!$F$2:$F$37),0))</f>
        <v>30</v>
      </c>
      <c r="V23" s="1">
        <v>61</v>
      </c>
      <c r="W23" s="1">
        <v>32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61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27</v>
      </c>
      <c r="AC23" s="1" t="e">
        <f>VLOOKUP(A23,'SegEnds_NonXtal_Prot#'!A:AL,10,FALSE)-VLOOKUP(A23,'SegEnds_NonXtal_Prot#'!A:AL,7,FALSE)</f>
        <v>#VALUE!</v>
      </c>
      <c r="AD23" s="1" t="e">
        <f>VLOOKUP(A23,'SegEnds_NonXtal_Prot#'!A:AL,13,FALSE)-VLOOKUP(A23,'SegEnds_NonXtal_Prot#'!A:AL,10,FALSE)</f>
        <v>#VALUE!</v>
      </c>
      <c r="AE23" s="1">
        <f>VLOOKUP(A23,'SegEnds_NonXtal_Prot#'!A:AL,16,FALSE)-VLOOKUP(A23,'SegEnds_NonXtal_Prot#'!A:AL,10,FALSE)</f>
        <v>53</v>
      </c>
      <c r="AF23" s="1">
        <f>VLOOKUP(A23,'SegEnds_NonXtal_Prot#'!A:AL,22,FALSE)-VLOOKUP(A23,'SegEnds_NonXtal_Prot#'!A:AL,19,FALSE)</f>
        <v>20</v>
      </c>
      <c r="AG23" s="1" t="e">
        <f>VLOOKUP(A23,'SegEnds_NonXtal_Prot#'!A:AL,28,FALSE)-VLOOKUP(A23,'SegEnds_NonXtal_Prot#'!A:AL,25,FALSE)</f>
        <v>#VALUE!</v>
      </c>
      <c r="AH23" s="1">
        <f>VLOOKUP(A23,'SegEnds_NonXtal_Prot#'!A:AL,28,FALSE)-VLOOKUP(A23,'SegEnds_NonXtal_Prot#'!A:AL,22,FALSE)</f>
        <v>44</v>
      </c>
      <c r="AI23" s="1">
        <f>VLOOKUP(A23,'SegEnds_NonXtal_Prot#'!A:AL,31,FALSE)-VLOOKUP(A23,'SegEnds_NonXtal_Prot#'!A:AL,28,FALSE)</f>
        <v>42</v>
      </c>
      <c r="AJ23" s="1">
        <f>VLOOKUP(A23,'SegEnds_NonXtal_Prot#'!A:AL,34,FALSE)-VLOOKUP(A23,'SegEnds_NonXtal_Prot#'!A:AL,31,FALSE)</f>
        <v>34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NoXtal</v>
      </c>
    </row>
    <row r="24" spans="1:38" x14ac:dyDescent="0.2">
      <c r="A24" s="1" t="s">
        <v>302</v>
      </c>
      <c r="B24" s="1" t="str">
        <f>VLOOKUP(A24,Xtal_Templ!A:B,2,FALSE)</f>
        <v>cxcr4_human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f>VLOOKUP($B24&amp;"__wt",'SegEnds_Xtal_BW#'!$A:$Z,8,FALSE)</f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21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7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32</v>
      </c>
      <c r="T24" s="1">
        <f t="array" ref="T24">INDEX(ICL3_classA!$G$2:$G$37,MATCH(MIN(ABS(AI24-ICL3_classA!$F$2:$F$37)),ABS(AI24-ICL3_classA!$F$2:$F$37),0))</f>
        <v>68</v>
      </c>
      <c r="U24" s="1">
        <f t="array" ref="U24">INDEX(ICL3_classA!$H$2:$H$37,MATCH(MIN(ABS(AI24-ICL3_classA!$F$2:$F$37)),ABS(AI24-ICL3_classA!$F$2:$F$37),0))</f>
        <v>30</v>
      </c>
      <c r="V24" s="1">
        <v>61</v>
      </c>
      <c r="W24" s="1">
        <v>32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27</v>
      </c>
      <c r="AC24" s="1" t="e">
        <f>VLOOKUP(A24,'SegEnds_NonXtal_Prot#'!A:AL,10,FALSE)-VLOOKUP(A24,'SegEnds_NonXtal_Prot#'!A:AL,7,FALSE)</f>
        <v>#VALUE!</v>
      </c>
      <c r="AD24" s="1" t="e">
        <f>VLOOKUP(A24,'SegEnds_NonXtal_Prot#'!A:AL,13,FALSE)-VLOOKUP(A24,'SegEnds_NonXtal_Prot#'!A:AL,10,FALSE)</f>
        <v>#VALUE!</v>
      </c>
      <c r="AE24" s="1">
        <f>VLOOKUP(A24,'SegEnds_NonXtal_Prot#'!A:AL,16,FALSE)-VLOOKUP(A24,'SegEnds_NonXtal_Prot#'!A:AL,10,FALSE)</f>
        <v>52</v>
      </c>
      <c r="AF24" s="1">
        <f>VLOOKUP(A24,'SegEnds_NonXtal_Prot#'!A:AL,22,FALSE)-VLOOKUP(A24,'SegEnds_NonXtal_Prot#'!A:AL,19,FALSE)</f>
        <v>20</v>
      </c>
      <c r="AG24" s="1" t="e">
        <f>VLOOKUP(A24,'SegEnds_NonXtal_Prot#'!A:AL,28,FALSE)-VLOOKUP(A24,'SegEnds_NonXtal_Prot#'!A:AL,25,FALSE)</f>
        <v>#VALUE!</v>
      </c>
      <c r="AH24" s="1">
        <f>VLOOKUP(A24,'SegEnds_NonXtal_Prot#'!A:AL,28,FALSE)-VLOOKUP(A24,'SegEnds_NonXtal_Prot#'!A:AL,22,FALSE)</f>
        <v>42</v>
      </c>
      <c r="AI24" s="1">
        <f>VLOOKUP(A24,'SegEnds_NonXtal_Prot#'!A:AL,31,FALSE)-VLOOKUP(A24,'SegEnds_NonXtal_Prot#'!A:AL,28,FALSE)</f>
        <v>42</v>
      </c>
      <c r="AJ24" s="1">
        <f>VLOOKUP(A24,'SegEnds_NonXtal_Prot#'!A:AL,34,FALSE)-VLOOKUP(A24,'SegEnds_NonXtal_Prot#'!A:AL,31,FALSE)</f>
        <v>34</v>
      </c>
      <c r="AK24" s="1">
        <f>VLOOKUP(A24,'SegEnds_NonXtal_Prot#'!A:AL,37,FALSE)-VLOOKUP(A24,'SegEnds_NonXtal_Prot#'!A:AL,34,FALSE)</f>
        <v>10</v>
      </c>
      <c r="AL24" s="1" t="str">
        <f>IF(ISERROR(MATCH(A24,'SegEnds_Xtal_Prot#'!B:B, 0)), "NoXtal", "Xtal")</f>
        <v>NoXtal</v>
      </c>
    </row>
    <row r="25" spans="1:38" x14ac:dyDescent="0.2">
      <c r="A25" s="1" t="s">
        <v>303</v>
      </c>
      <c r="B25" s="1" t="str">
        <f>VLOOKUP(A25,Xtal_Templ!A:B,2,FALSE)</f>
        <v>c5ar1_human</v>
      </c>
      <c r="C25" s="5">
        <f>VLOOKUP($B25&amp;"__wt",'SegEnds_Xtal_BW#'!$A:$Z,3,FALSE)</f>
        <v>29</v>
      </c>
      <c r="D25" s="1">
        <f>VLOOKUP($B25&amp;"__wt",'SegEnds_Xtal_BW#'!$A:$Z,4,FALSE)</f>
        <v>60</v>
      </c>
      <c r="E25" s="1" t="str">
        <f>VLOOKUP($B25&amp;"__wt",'SegEnds_Xtal_BW#'!$A:$Z,5,FALSE)</f>
        <v>-</v>
      </c>
      <c r="F25" s="1" t="str">
        <f>VLOOKUP($B25&amp;"__wt",'SegEnds_Xtal_BW#'!$A:$Z,6,FALSE)</f>
        <v>-</v>
      </c>
      <c r="G25" s="1">
        <v>37</v>
      </c>
      <c r="H25" s="12">
        <f>VLOOKUP($B25&amp;"__wt",'SegEnds_Xtal_BW#'!$A:$Z,8,FALSE)</f>
        <v>67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21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87"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31</v>
      </c>
      <c r="T25" s="1">
        <f t="array" ref="T25">INDEX(ICL3_classA!$G$2:$G$37,MATCH(MIN(ABS(AI25-ICL3_classA!$F$2:$F$37)),ABS(AI25-ICL3_classA!$F$2:$F$37),0))</f>
        <v>68</v>
      </c>
      <c r="U25" s="1">
        <f t="array" ref="U25">INDEX(ICL3_classA!$H$2:$H$37,MATCH(MIN(ABS(AI25-ICL3_classA!$F$2:$F$37)),ABS(AI25-ICL3_classA!$F$2:$F$37),0))</f>
        <v>30</v>
      </c>
      <c r="V25" s="1">
        <v>61</v>
      </c>
      <c r="W25" s="1">
        <v>32</v>
      </c>
      <c r="X25" s="108">
        <v>56</v>
      </c>
      <c r="Y25" s="1">
        <f>VLOOKUP($B25&amp;"__wt",'SegEnds_Xtal_BW#'!$A:$Z,25,FALSE)</f>
        <v>47</v>
      </c>
      <c r="Z25" s="1">
        <f>VLOOKUP($B25&amp;"__wt",'SegEnds_Xtal_BW#'!$A:$Z,26,FALSE)</f>
        <v>56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27</v>
      </c>
      <c r="AC25" s="1" t="e">
        <f>VLOOKUP(A25,'SegEnds_NonXtal_Prot#'!A:AL,10,FALSE)-VLOOKUP(A25,'SegEnds_NonXtal_Prot#'!A:AL,7,FALSE)</f>
        <v>#VALUE!</v>
      </c>
      <c r="AD25" s="1" t="e">
        <f>VLOOKUP(A25,'SegEnds_NonXtal_Prot#'!A:AL,13,FALSE)-VLOOKUP(A25,'SegEnds_NonXtal_Prot#'!A:AL,10,FALSE)</f>
        <v>#VALUE!</v>
      </c>
      <c r="AE25" s="1">
        <f>VLOOKUP(A25,'SegEnds_NonXtal_Prot#'!A:AL,16,FALSE)-VLOOKUP(A25,'SegEnds_NonXtal_Prot#'!A:AL,10,FALSE)</f>
        <v>52</v>
      </c>
      <c r="AF25" s="1">
        <f>VLOOKUP(A25,'SegEnds_NonXtal_Prot#'!A:AL,22,FALSE)-VLOOKUP(A25,'SegEnds_NonXtal_Prot#'!A:AL,19,FALSE)</f>
        <v>20</v>
      </c>
      <c r="AG25" s="1" t="e">
        <f>VLOOKUP(A25,'SegEnds_NonXtal_Prot#'!A:AL,28,FALSE)-VLOOKUP(A25,'SegEnds_NonXtal_Prot#'!A:AL,25,FALSE)</f>
        <v>#VALUE!</v>
      </c>
      <c r="AH25" s="1">
        <f>VLOOKUP(A25,'SegEnds_NonXtal_Prot#'!A:AL,28,FALSE)-VLOOKUP(A25,'SegEnds_NonXtal_Prot#'!A:AL,22,FALSE)</f>
        <v>43</v>
      </c>
      <c r="AI25" s="1">
        <f>VLOOKUP(A25,'SegEnds_NonXtal_Prot#'!A:AL,31,FALSE)-VLOOKUP(A25,'SegEnds_NonXtal_Prot#'!A:AL,28,FALSE)</f>
        <v>43</v>
      </c>
      <c r="AJ25" s="1">
        <f>VLOOKUP(A25,'SegEnds_NonXtal_Prot#'!A:AL,34,FALSE)-VLOOKUP(A25,'SegEnds_NonXtal_Prot#'!A:AL,31,FALSE)</f>
        <v>34</v>
      </c>
      <c r="AK25" s="1">
        <f>VLOOKUP(A25,'SegEnds_NonXtal_Prot#'!A:AL,37,FALSE)-VLOOKUP(A25,'SegEnds_NonXtal_Prot#'!A:AL,34,FALSE)</f>
        <v>10</v>
      </c>
      <c r="AL25" s="1" t="str">
        <f>IF(ISERROR(MATCH(A25,'SegEnds_Xtal_Prot#'!B:B, 0)), "NoXtal", "Xtal")</f>
        <v>NoXtal</v>
      </c>
    </row>
    <row r="26" spans="1:38" x14ac:dyDescent="0.2">
      <c r="A26" s="1" t="s">
        <v>304</v>
      </c>
      <c r="B26" s="1" t="str">
        <f>VLOOKUP(A26,Xtal_Templ!A:B,2,FALSE)</f>
        <v>agtr1_human</v>
      </c>
      <c r="C26" s="5">
        <f>VLOOKUP($B26&amp;"__wt",'SegEnds_Xtal_BW#'!$A:$Z,3,FALSE)</f>
        <v>28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v>63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08">
        <v>24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7"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34</v>
      </c>
      <c r="T26" s="1">
        <f t="array" ref="T26">INDEX(ICL3_classA!$G$2:$G$37,MATCH(MIN(ABS(AI26-ICL3_classA!$F$2:$F$37)),ABS(AI26-ICL3_classA!$F$2:$F$37),0))</f>
        <v>67</v>
      </c>
      <c r="U26" s="1">
        <f t="array" ref="U26">INDEX(ICL3_classA!$H$2:$H$37,MATCH(MIN(ABS(AI26-ICL3_classA!$F$2:$F$37)),ABS(AI26-ICL3_classA!$F$2:$F$37),0))</f>
        <v>30</v>
      </c>
      <c r="V26" s="1">
        <v>61</v>
      </c>
      <c r="W26" s="1">
        <v>32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61</v>
      </c>
      <c r="AA26" s="27" t="str">
        <f>VLOOKUP(A26,Classification!A:B,2,FALSE)</f>
        <v>A</v>
      </c>
      <c r="AB26" s="1">
        <f>VLOOKUP(A26,'SegEnds_NonXtal_Prot#'!A:AL,10,FALSE)-VLOOKUP(A26,'SegEnds_NonXtal_Prot#'!A:AL,4,FALSE)</f>
        <v>27</v>
      </c>
      <c r="AC26" s="1" t="e">
        <f>VLOOKUP(A26,'SegEnds_NonXtal_Prot#'!A:AL,10,FALSE)-VLOOKUP(A26,'SegEnds_NonXtal_Prot#'!A:AL,7,FALSE)</f>
        <v>#VALUE!</v>
      </c>
      <c r="AD26" s="1" t="e">
        <f>VLOOKUP(A26,'SegEnds_NonXtal_Prot#'!A:AL,13,FALSE)-VLOOKUP(A26,'SegEnds_NonXtal_Prot#'!A:AL,10,FALSE)</f>
        <v>#VALUE!</v>
      </c>
      <c r="AE26" s="1">
        <f>VLOOKUP(A26,'SegEnds_NonXtal_Prot#'!A:AL,16,FALSE)-VLOOKUP(A26,'SegEnds_NonXtal_Prot#'!A:AL,10,FALSE)</f>
        <v>46</v>
      </c>
      <c r="AF26" s="1">
        <f>VLOOKUP(A26,'SegEnds_NonXtal_Prot#'!A:AL,22,FALSE)-VLOOKUP(A26,'SegEnds_NonXtal_Prot#'!A:AL,19,FALSE)</f>
        <v>20</v>
      </c>
      <c r="AG26" s="1" t="e">
        <f>VLOOKUP(A26,'SegEnds_NonXtal_Prot#'!A:AL,28,FALSE)-VLOOKUP(A26,'SegEnds_NonXtal_Prot#'!A:AL,25,FALSE)</f>
        <v>#VALUE!</v>
      </c>
      <c r="AH26" s="1">
        <f>VLOOKUP(A26,'SegEnds_NonXtal_Prot#'!A:AL,28,FALSE)-VLOOKUP(A26,'SegEnds_NonXtal_Prot#'!A:AL,22,FALSE)</f>
        <v>42</v>
      </c>
      <c r="AI26" s="1">
        <f>VLOOKUP(A26,'SegEnds_NonXtal_Prot#'!A:AL,31,FALSE)-VLOOKUP(A26,'SegEnds_NonXtal_Prot#'!A:AL,28,FALSE)</f>
        <v>41</v>
      </c>
      <c r="AJ26" s="1">
        <f>VLOOKUP(A26,'SegEnds_NonXtal_Prot#'!A:AL,34,FALSE)-VLOOKUP(A26,'SegEnds_NonXtal_Prot#'!A:AL,31,FALSE)</f>
        <v>34</v>
      </c>
      <c r="AK26" s="1">
        <f>VLOOKUP(A26,'SegEnds_NonXtal_Prot#'!A:AL,37,FALSE)-VLOOKUP(A26,'SegEnds_NonXtal_Prot#'!A:AL,34,FALSE)</f>
        <v>10</v>
      </c>
      <c r="AL26" s="1" t="str">
        <f>IF(ISERROR(MATCH(A26,'SegEnds_Xtal_Prot#'!B:B, 0)), "NoXtal", "Xtal")</f>
        <v>NoXtal</v>
      </c>
    </row>
    <row r="27" spans="1:38" x14ac:dyDescent="0.2">
      <c r="A27" s="1" t="s">
        <v>381</v>
      </c>
      <c r="B27" s="1" t="str">
        <f>VLOOKUP(A27,Xtal_Templ!A:B,2,FALSE)</f>
        <v>oprk_human</v>
      </c>
      <c r="C27" s="5">
        <f>VLOOKUP($B27&amp;"__wt",'SegEnds_Xtal_BW#'!$A:$Z,3,FALSE)</f>
        <v>30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21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7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30</v>
      </c>
      <c r="T27" s="1">
        <f t="array" ref="T27">INDEX(ICL3_classA!$G$2:$G$37,MATCH(MIN(ABS(AI27-ICL3_classA!$F$2:$F$37)),ABS(AI27-ICL3_classA!$F$2:$F$37),0))</f>
        <v>68</v>
      </c>
      <c r="U27" s="1">
        <f t="array" ref="U27">INDEX(ICL3_classA!$H$2:$H$37,MATCH(MIN(ABS(AI27-ICL3_classA!$F$2:$F$37)),ABS(AI27-ICL3_classA!$F$2:$F$37),0))</f>
        <v>23</v>
      </c>
      <c r="V27" s="1">
        <v>61</v>
      </c>
      <c r="W27" s="1">
        <v>32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28</v>
      </c>
      <c r="AC27" s="1">
        <f>VLOOKUP(A27,'SegEnds_NonXtal_Prot#'!A:AL,10,FALSE)-VLOOKUP(A27,'SegEnds_NonXtal_Prot#'!A:AL,7,FALSE)</f>
        <v>15</v>
      </c>
      <c r="AD27" s="1">
        <f>VLOOKUP(A27,'SegEnds_NonXtal_Prot#'!A:AL,13,FALSE)-VLOOKUP(A27,'SegEnds_NonXtal_Prot#'!A:AL,10,FALSE)</f>
        <v>19</v>
      </c>
      <c r="AE27" s="1">
        <f>VLOOKUP(A27,'SegEnds_NonXtal_Prot#'!A:AL,16,FALSE)-VLOOKUP(A27,'SegEnds_NonXtal_Prot#'!A:AL,10,FALSE)</f>
        <v>51</v>
      </c>
      <c r="AF27" s="1">
        <f>VLOOKUP(A27,'SegEnds_NonXtal_Prot#'!A:AL,22,FALSE)-VLOOKUP(A27,'SegEnds_NonXtal_Prot#'!A:AL,19,FALSE)</f>
        <v>20</v>
      </c>
      <c r="AG27" s="1">
        <f>VLOOKUP(A27,'SegEnds_NonXtal_Prot#'!A:AL,28,FALSE)-VLOOKUP(A27,'SegEnds_NonXtal_Prot#'!A:AL,25,FALSE)</f>
        <v>27</v>
      </c>
      <c r="AH27" s="1">
        <f>VLOOKUP(A27,'SegEnds_NonXtal_Prot#'!A:AL,28,FALSE)-VLOOKUP(A27,'SegEnds_NonXtal_Prot#'!A:AL,22,FALSE)</f>
        <v>53</v>
      </c>
      <c r="AI27" s="1">
        <f>VLOOKUP(A27,'SegEnds_NonXtal_Prot#'!A:AL,31,FALSE)-VLOOKUP(A27,'SegEnds_NonXtal_Prot#'!A:AL,28,FALSE)</f>
        <v>51</v>
      </c>
      <c r="AJ27" s="1">
        <f>VLOOKUP(A27,'SegEnds_NonXtal_Prot#'!A:AL,34,FALSE)-VLOOKUP(A27,'SegEnds_NonXtal_Prot#'!A:AL,31,FALSE)</f>
        <v>34</v>
      </c>
      <c r="AK27" s="1">
        <f>VLOOKUP(A27,'SegEnds_NonXtal_Prot#'!A:AL,37,FALSE)-VLOOKUP(A27,'SegEnds_NonXtal_Prot#'!A:AL,34,FALSE)</f>
        <v>10</v>
      </c>
      <c r="AL27" s="1" t="str">
        <f>IF(ISERROR(MATCH(A27,'SegEnds_Xtal_Prot#'!B:B, 0)), "NoXtal", "Xtal")</f>
        <v>NoXtal</v>
      </c>
    </row>
    <row r="28" spans="1:38" x14ac:dyDescent="0.2">
      <c r="A28" s="1" t="s">
        <v>384</v>
      </c>
      <c r="B28" s="1" t="str">
        <f>VLOOKUP(A28,Xtal_Templ!A:B,2,FALSE)</f>
        <v>oprk_human</v>
      </c>
      <c r="C28" s="5">
        <f>VLOOKUP($B28&amp;"__wt",'SegEnds_Xtal_BW#'!$A:$Z,3,FALSE)</f>
        <v>30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v>66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21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7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30</v>
      </c>
      <c r="T28" s="1">
        <f t="array" ref="T28">INDEX(ICL3_classA!$G$2:$G$37,MATCH(MIN(ABS(AI28-ICL3_classA!$F$2:$F$37)),ABS(AI28-ICL3_classA!$F$2:$F$37),0))</f>
        <v>68</v>
      </c>
      <c r="U28" s="1">
        <f t="array" ref="U28">INDEX(ICL3_classA!$H$2:$H$37,MATCH(MIN(ABS(AI28-ICL3_classA!$F$2:$F$37)),ABS(AI28-ICL3_classA!$F$2:$F$37),0))</f>
        <v>23</v>
      </c>
      <c r="V28" s="1">
        <v>61</v>
      </c>
      <c r="W28" s="1">
        <v>32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59</v>
      </c>
      <c r="AA28" s="27" t="str">
        <f>VLOOKUP(A28,Classification!A:B,2,FALSE)</f>
        <v>A</v>
      </c>
      <c r="AB28" s="1">
        <f>VLOOKUP(A28,'SegEnds_NonXtal_Prot#'!A:AL,10,FALSE)-VLOOKUP(A28,'SegEnds_NonXtal_Prot#'!A:AL,4,FALSE)</f>
        <v>28</v>
      </c>
      <c r="AC28" s="1">
        <f>VLOOKUP(A28,'SegEnds_NonXtal_Prot#'!A:AL,10,FALSE)-VLOOKUP(A28,'SegEnds_NonXtal_Prot#'!A:AL,7,FALSE)</f>
        <v>15</v>
      </c>
      <c r="AD28" s="1">
        <f>VLOOKUP(A28,'SegEnds_NonXtal_Prot#'!A:AL,13,FALSE)-VLOOKUP(A28,'SegEnds_NonXtal_Prot#'!A:AL,10,FALSE)</f>
        <v>19</v>
      </c>
      <c r="AE28" s="1">
        <f>VLOOKUP(A28,'SegEnds_NonXtal_Prot#'!A:AL,16,FALSE)-VLOOKUP(A28,'SegEnds_NonXtal_Prot#'!A:AL,10,FALSE)</f>
        <v>51</v>
      </c>
      <c r="AF28" s="1">
        <f>VLOOKUP(A28,'SegEnds_NonXtal_Prot#'!A:AL,22,FALSE)-VLOOKUP(A28,'SegEnds_NonXtal_Prot#'!A:AL,19,FALSE)</f>
        <v>20</v>
      </c>
      <c r="AG28" s="1">
        <f>VLOOKUP(A28,'SegEnds_NonXtal_Prot#'!A:AL,28,FALSE)-VLOOKUP(A28,'SegEnds_NonXtal_Prot#'!A:AL,25,FALSE)</f>
        <v>25</v>
      </c>
      <c r="AH28" s="1">
        <f>VLOOKUP(A28,'SegEnds_NonXtal_Prot#'!A:AL,28,FALSE)-VLOOKUP(A28,'SegEnds_NonXtal_Prot#'!A:AL,22,FALSE)</f>
        <v>52</v>
      </c>
      <c r="AI28" s="1">
        <f>VLOOKUP(A28,'SegEnds_NonXtal_Prot#'!A:AL,31,FALSE)-VLOOKUP(A28,'SegEnds_NonXtal_Prot#'!A:AL,28,FALSE)</f>
        <v>51</v>
      </c>
      <c r="AJ28" s="1">
        <f>VLOOKUP(A28,'SegEnds_NonXtal_Prot#'!A:AL,34,FALSE)-VLOOKUP(A28,'SegEnds_NonXtal_Prot#'!A:AL,31,FALSE)</f>
        <v>34</v>
      </c>
      <c r="AK28" s="1">
        <f>VLOOKUP(A28,'SegEnds_NonXtal_Prot#'!A:AL,37,FALSE)-VLOOKUP(A28,'SegEnds_NonXtal_Prot#'!A:AL,34,FALSE)</f>
        <v>10</v>
      </c>
      <c r="AL28" s="1" t="str">
        <f>IF(ISERROR(MATCH(A28,'SegEnds_Xtal_Prot#'!B:B, 0)), "NoXtal", "Xtal")</f>
        <v>NoXtal</v>
      </c>
    </row>
    <row r="29" spans="1:38" x14ac:dyDescent="0.2">
      <c r="A29" s="1" t="s">
        <v>130</v>
      </c>
      <c r="B29" s="1" t="str">
        <f>VLOOKUP(A29,Xtal_Templ!A:B,2,FALSE)</f>
        <v>5ht1b_human</v>
      </c>
      <c r="C29" s="5">
        <f>VLOOKUP($B29&amp;"__wt",'SegEnds_Xtal_BW#'!$A:$Z,3,FALSE)</f>
        <v>28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f>VLOOKUP($B29&amp;"__wt",'SegEnds_Xtal_BW#'!$A:$Z,8,FALSE)</f>
        <v>68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18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63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35</v>
      </c>
      <c r="T29" s="1">
        <f t="array" ref="T29">INDEX(ICL3_classA!$G$2:$G$37,MATCH(MIN(ABS(AI29-ICL3_classA!$F$2:$F$37)),ABS(AI29-ICL3_classA!$F$2:$F$37),0))</f>
        <v>76</v>
      </c>
      <c r="U29" s="1">
        <f t="array" ref="U29">INDEX(ICL3_classA!$H$2:$H$37,MATCH(MIN(ABS(AI29-ICL3_classA!$F$2:$F$37)),ABS(AI29-ICL3_classA!$F$2:$F$37),0))</f>
        <v>24</v>
      </c>
      <c r="V29" s="1">
        <v>61</v>
      </c>
      <c r="W29" s="1">
        <v>31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58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>
        <f>VLOOKUP(A29,'SegEnds_NonXtal_Prot#'!A:AL,10,FALSE)-VLOOKUP(A29,'SegEnds_NonXtal_Prot#'!A:AL,7,FALSE)</f>
        <v>15</v>
      </c>
      <c r="AD29" s="1">
        <f>VLOOKUP(A29,'SegEnds_NonXtal_Prot#'!A:AL,13,FALSE)-VLOOKUP(A29,'SegEnds_NonXtal_Prot#'!A:AL,10,FALSE)</f>
        <v>20</v>
      </c>
      <c r="AE29" s="1">
        <f>VLOOKUP(A29,'SegEnds_NonXtal_Prot#'!A:AL,16,FALSE)-VLOOKUP(A29,'SegEnds_NonXtal_Prot#'!A:AL,10,FALSE)</f>
        <v>52</v>
      </c>
      <c r="AF29" s="1">
        <f>VLOOKUP(A29,'SegEnds_NonXtal_Prot#'!A:AL,22,FALSE)-VLOOKUP(A29,'SegEnds_NonXtal_Prot#'!A:AL,19,FALSE)</f>
        <v>20</v>
      </c>
      <c r="AG29" s="1">
        <f>VLOOKUP(A29,'SegEnds_NonXtal_Prot#'!A:AL,28,FALSE)-VLOOKUP(A29,'SegEnds_NonXtal_Prot#'!A:AL,25,FALSE)</f>
        <v>21</v>
      </c>
      <c r="AH29" s="1">
        <f>VLOOKUP(A29,'SegEnds_NonXtal_Prot#'!A:AL,28,FALSE)-VLOOKUP(A29,'SegEnds_NonXtal_Prot#'!A:AL,22,FALSE)</f>
        <v>47</v>
      </c>
      <c r="AI29" s="1">
        <f>VLOOKUP(A29,'SegEnds_NonXtal_Prot#'!A:AL,31,FALSE)-VLOOKUP(A29,'SegEnds_NonXtal_Prot#'!A:AL,28,FALSE)</f>
        <v>112</v>
      </c>
      <c r="AJ29" s="1">
        <f>VLOOKUP(A29,'SegEnds_NonXtal_Prot#'!A:AL,34,FALSE)-VLOOKUP(A29,'SegEnds_NonXtal_Prot#'!A:AL,31,FALSE)</f>
        <v>35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1" t="s">
        <v>134</v>
      </c>
      <c r="B30" s="1" t="str">
        <f>VLOOKUP(A30,Xtal_Templ!A:B,2,FALSE)</f>
        <v>adrb2_human</v>
      </c>
      <c r="C30" s="5">
        <f>VLOOKUP($B30&amp;"__wt",'SegEnds_Xtal_BW#'!$A:$Z,3,FALSE)</f>
        <v>25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f>VLOOKUP($B30&amp;"__wt",'SegEnds_Xtal_BW#'!$A:$Z,8,FALSE)</f>
        <v>67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18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57</v>
      </c>
      <c r="O30" s="87"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35</v>
      </c>
      <c r="T30" s="1">
        <f t="array" ref="T30">INDEX(ICL3_classA!$G$2:$G$37,MATCH(MIN(ABS(AI30-ICL3_classA!$F$2:$F$37)),ABS(AI30-ICL3_classA!$F$2:$F$37),0))</f>
        <v>76</v>
      </c>
      <c r="U30" s="1">
        <f t="array" ref="U30">INDEX(ICL3_classA!$H$2:$H$37,MATCH(MIN(ABS(AI30-ICL3_classA!$F$2:$F$37)),ABS(AI30-ICL3_classA!$F$2:$F$37),0))</f>
        <v>24</v>
      </c>
      <c r="V30" s="1">
        <v>61</v>
      </c>
      <c r="W30" s="1">
        <v>31</v>
      </c>
      <c r="X30" s="126">
        <v>56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29</v>
      </c>
      <c r="AC30" s="1">
        <f>VLOOKUP(A30,'SegEnds_NonXtal_Prot#'!A:AL,10,FALSE)-VLOOKUP(A30,'SegEnds_NonXtal_Prot#'!A:AL,7,FALSE)</f>
        <v>16</v>
      </c>
      <c r="AD30" s="1">
        <f>VLOOKUP(A30,'SegEnds_NonXtal_Prot#'!A:AL,13,FALSE)-VLOOKUP(A30,'SegEnds_NonXtal_Prot#'!A:AL,10,FALSE)</f>
        <v>20</v>
      </c>
      <c r="AE30" s="1">
        <f>VLOOKUP(A30,'SegEnds_NonXtal_Prot#'!A:AL,16,FALSE)-VLOOKUP(A30,'SegEnds_NonXtal_Prot#'!A:AL,10,FALSE)</f>
        <v>52</v>
      </c>
      <c r="AF30" s="1">
        <f>VLOOKUP(A30,'SegEnds_NonXtal_Prot#'!A:AL,22,FALSE)-VLOOKUP(A30,'SegEnds_NonXtal_Prot#'!A:AL,19,FALSE)</f>
        <v>20</v>
      </c>
      <c r="AG30" s="1">
        <f>VLOOKUP(A30,'SegEnds_NonXtal_Prot#'!A:AL,28,FALSE)-VLOOKUP(A30,'SegEnds_NonXtal_Prot#'!A:AL,25,FALSE)</f>
        <v>20</v>
      </c>
      <c r="AH30" s="1">
        <f>VLOOKUP(A30,'SegEnds_NonXtal_Prot#'!A:AL,28,FALSE)-VLOOKUP(A30,'SegEnds_NonXtal_Prot#'!A:AL,22,FALSE)</f>
        <v>58</v>
      </c>
      <c r="AI30" s="1">
        <f>VLOOKUP(A30,'SegEnds_NonXtal_Prot#'!A:AL,31,FALSE)-VLOOKUP(A30,'SegEnds_NonXtal_Prot#'!A:AL,28,FALSE)</f>
        <v>70</v>
      </c>
      <c r="AJ30" s="1">
        <f>VLOOKUP(A30,'SegEnds_NonXtal_Prot#'!A:AL,34,FALSE)-VLOOKUP(A30,'SegEnds_NonXtal_Prot#'!A:AL,31,FALSE)</f>
        <v>35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ht="17" customHeight="1" x14ac:dyDescent="0.2">
      <c r="A31" s="1" t="s">
        <v>135</v>
      </c>
      <c r="B31" s="1" t="str">
        <f>VLOOKUP(A31,Xtal_Templ!A:B,2,FALSE)</f>
        <v>5ht1b_human</v>
      </c>
      <c r="C31" s="5">
        <f>VLOOKUP($B31&amp;"__wt",'SegEnds_Xtal_BW#'!$A:$Z,3,FALSE)</f>
        <v>28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f>VLOOKUP($B31&amp;"__wt",'SegEnds_Xtal_BW#'!$A:$Z,8,FALSE)</f>
        <v>68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18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f>VLOOKUP($B31&amp;"__wt",'SegEnds_Xtal_BW#'!$A:$Z,14,FALSE)</f>
        <v>57</v>
      </c>
      <c r="O31" s="87">
        <f>VLOOKUP($B31&amp;"__wt",'SegEnds_Xtal_BW#'!$A:$Z,15,FALSE)</f>
        <v>38</v>
      </c>
      <c r="P31" s="1">
        <f>VLOOKUP($B31&amp;"__wt",'SegEnds_Xtal_BW#'!$A:$Z,16,FALSE)</f>
        <v>63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35</v>
      </c>
      <c r="T31" s="1">
        <f t="array" ref="T31">INDEX(ICL3_classA!$G$2:$G$37,MATCH(MIN(ABS(AI31-ICL3_classA!$F$2:$F$37)),ABS(AI31-ICL3_classA!$F$2:$F$37),0))</f>
        <v>76</v>
      </c>
      <c r="U31" s="1">
        <f t="array" ref="U31">INDEX(ICL3_classA!$H$2:$H$37,MATCH(MIN(ABS(AI31-ICL3_classA!$F$2:$F$37)),ABS(AI31-ICL3_classA!$F$2:$F$37),0))</f>
        <v>24</v>
      </c>
      <c r="V31" s="1">
        <v>61</v>
      </c>
      <c r="W31" s="1">
        <v>31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58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21</v>
      </c>
      <c r="AE31" s="1">
        <f>VLOOKUP(A31,'SegEnds_NonXtal_Prot#'!A:AL,16,FALSE)-VLOOKUP(A31,'SegEnds_NonXtal_Prot#'!A:AL,10,FALSE)</f>
        <v>53</v>
      </c>
      <c r="AF31" s="1">
        <f>VLOOKUP(A31,'SegEnds_NonXtal_Prot#'!A:AL,22,FALSE)-VLOOKUP(A31,'SegEnds_NonXtal_Prot#'!A:AL,19,FALSE)</f>
        <v>20</v>
      </c>
      <c r="AG31" s="1">
        <f>VLOOKUP(A31,'SegEnds_NonXtal_Prot#'!A:AL,28,FALSE)-VLOOKUP(A31,'SegEnds_NonXtal_Prot#'!A:AL,25,FALSE)</f>
        <v>20</v>
      </c>
      <c r="AH31" s="1">
        <f>VLOOKUP(A31,'SegEnds_NonXtal_Prot#'!A:AL,28,FALSE)-VLOOKUP(A31,'SegEnds_NonXtal_Prot#'!A:AL,22,FALSE)</f>
        <v>46</v>
      </c>
      <c r="AI31" s="1">
        <f>VLOOKUP(A31,'SegEnds_NonXtal_Prot#'!A:AL,31,FALSE)-VLOOKUP(A31,'SegEnds_NonXtal_Prot#'!A:AL,28,FALSE)</f>
        <v>88</v>
      </c>
      <c r="AJ31" s="1">
        <f>VLOOKUP(A31,'SegEnds_NonXtal_Prot#'!A:AL,34,FALSE)-VLOOKUP(A31,'SegEnds_NonXtal_Prot#'!A:AL,31,FALSE)</f>
        <v>35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1" t="s">
        <v>146</v>
      </c>
      <c r="B32" s="1" t="str">
        <f>VLOOKUP(A32,Xtal_Templ!A:B,2,FALSE)</f>
        <v>acm1_human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f>VLOOKUP($B32&amp;"__wt",'SegEnds_Xtal_BW#'!$A:$Z,8,FALSE)</f>
        <v>68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f>VLOOKUP($B32&amp;"__wt",'SegEnds_Xtal_BW#'!$A:$Z,14,FALSE)</f>
        <v>57</v>
      </c>
      <c r="O32" s="87">
        <f>VLOOKUP($B32&amp;"__wt",'SegEnds_Xtal_BW#'!$A:$Z,15,FALSE)</f>
        <v>38</v>
      </c>
      <c r="P32" s="1">
        <f>VLOOKUP($B32&amp;"__wt",'SegEnds_Xtal_BW#'!$A:$Z,16,FALSE)</f>
        <v>69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35</v>
      </c>
      <c r="T32" s="1">
        <f t="array" ref="T32">INDEX(ICL3_classA!$G$2:$G$37,MATCH(MIN(ABS(AI32-ICL3_classA!$F$2:$F$37)),ABS(AI32-ICL3_classA!$F$2:$F$37),0))</f>
        <v>75</v>
      </c>
      <c r="U32" s="1">
        <f t="array" ref="U32">INDEX(ICL3_classA!$H$2:$H$37,MATCH(MIN(ABS(AI32-ICL3_classA!$F$2:$F$37)),ABS(AI32-ICL3_classA!$F$2:$F$37),0))</f>
        <v>24</v>
      </c>
      <c r="V32" s="1">
        <v>61</v>
      </c>
      <c r="W32" s="1">
        <v>31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20</v>
      </c>
      <c r="AE32" s="1">
        <f>VLOOKUP(A32,'SegEnds_NonXtal_Prot#'!A:AL,16,FALSE)-VLOOKUP(A32,'SegEnds_NonXtal_Prot#'!A:AL,10,FALSE)</f>
        <v>52</v>
      </c>
      <c r="AF32" s="1">
        <f>VLOOKUP(A32,'SegEnds_NonXtal_Prot#'!A:AL,22,FALSE)-VLOOKUP(A32,'SegEnds_NonXtal_Prot#'!A:AL,19,FALSE)</f>
        <v>20</v>
      </c>
      <c r="AG32" s="1">
        <f>VLOOKUP(A32,'SegEnds_NonXtal_Prot#'!A:AL,28,FALSE)-VLOOKUP(A32,'SegEnds_NonXtal_Prot#'!A:AL,25,FALSE)</f>
        <v>22</v>
      </c>
      <c r="AH32" s="1">
        <f>VLOOKUP(A32,'SegEnds_NonXtal_Prot#'!A:AL,28,FALSE)-VLOOKUP(A32,'SegEnds_NonXtal_Prot#'!A:AL,22,FALSE)</f>
        <v>50</v>
      </c>
      <c r="AI32" s="1">
        <f>VLOOKUP(A32,'SegEnds_NonXtal_Prot#'!A:AL,31,FALSE)-VLOOKUP(A32,'SegEnds_NonXtal_Prot#'!A:AL,28,FALSE)</f>
        <v>180</v>
      </c>
      <c r="AJ32" s="1">
        <f>VLOOKUP(A32,'SegEnds_NonXtal_Prot#'!A:AL,34,FALSE)-VLOOKUP(A32,'SegEnds_NonXtal_Prot#'!A:AL,31,FALSE)</f>
        <v>35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Xtal</v>
      </c>
    </row>
    <row r="33" spans="1:38" x14ac:dyDescent="0.2">
      <c r="A33" s="1" t="s">
        <v>147</v>
      </c>
      <c r="B33" s="1" t="str">
        <f>VLOOKUP(A33,Xtal_Templ!A:B,2,FALSE)</f>
        <v>acm2_human</v>
      </c>
      <c r="C33" s="5">
        <f>VLOOKUP($B33&amp;"__wt",'SegEnds_Xtal_BW#'!$A:$Z,3,FALSE)</f>
        <v>28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f>VLOOKUP($B33&amp;"__wt",'SegEnds_Xtal_BW#'!$A:$Z,8,FALSE)</f>
        <v>68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7">
        <f>VLOOKUP($B33&amp;"__wt",'SegEnds_Xtal_BW#'!$A:$Z,15,FALSE)</f>
        <v>38</v>
      </c>
      <c r="P33" s="1">
        <f>VLOOKUP($B33&amp;"__wt",'SegEnds_Xtal_BW#'!$A:$Z,16,FALSE)</f>
        <v>69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35</v>
      </c>
      <c r="T33" s="1">
        <f t="array" ref="T33">INDEX(ICL3_classA!$G$2:$G$37,MATCH(MIN(ABS(AI33-ICL3_classA!$F$2:$F$37)),ABS(AI33-ICL3_classA!$F$2:$F$37),0))</f>
        <v>75</v>
      </c>
      <c r="U33" s="1">
        <f t="array" ref="U33">INDEX(ICL3_classA!$H$2:$H$37,MATCH(MIN(ABS(AI33-ICL3_classA!$F$2:$F$37)),ABS(AI33-ICL3_classA!$F$2:$F$37),0))</f>
        <v>24</v>
      </c>
      <c r="V33" s="1">
        <v>61</v>
      </c>
      <c r="W33" s="1">
        <v>31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20</v>
      </c>
      <c r="AE33" s="1">
        <f>VLOOKUP(A33,'SegEnds_NonXtal_Prot#'!A:AL,16,FALSE)-VLOOKUP(A33,'SegEnds_NonXtal_Prot#'!A:AL,10,FALSE)</f>
        <v>52</v>
      </c>
      <c r="AF33" s="1">
        <f>VLOOKUP(A33,'SegEnds_NonXtal_Prot#'!A:AL,22,FALSE)-VLOOKUP(A33,'SegEnds_NonXtal_Prot#'!A:AL,19,FALSE)</f>
        <v>20</v>
      </c>
      <c r="AG33" s="1">
        <f>VLOOKUP(A33,'SegEnds_NonXtal_Prot#'!A:AL,28,FALSE)-VLOOKUP(A33,'SegEnds_NonXtal_Prot#'!A:AL,25,FALSE)</f>
        <v>22</v>
      </c>
      <c r="AH33" s="1">
        <f>VLOOKUP(A33,'SegEnds_NonXtal_Prot#'!A:AL,28,FALSE)-VLOOKUP(A33,'SegEnds_NonXtal_Prot#'!A:AL,22,FALSE)</f>
        <v>50</v>
      </c>
      <c r="AI33" s="1">
        <f>VLOOKUP(A33,'SegEnds_NonXtal_Prot#'!A:AL,31,FALSE)-VLOOKUP(A33,'SegEnds_NonXtal_Prot#'!A:AL,28,FALSE)</f>
        <v>204</v>
      </c>
      <c r="AJ33" s="1">
        <f>VLOOKUP(A33,'SegEnds_NonXtal_Prot#'!A:AL,34,FALSE)-VLOOKUP(A33,'SegEnds_NonXtal_Prot#'!A:AL,31,FALSE)</f>
        <v>35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Xtal</v>
      </c>
    </row>
    <row r="34" spans="1:38" x14ac:dyDescent="0.2">
      <c r="A34" s="1" t="s">
        <v>148</v>
      </c>
      <c r="B34" s="1" t="str">
        <f>VLOOKUP(A34,Xtal_Templ!A:B,2,FALSE)</f>
        <v>acm3_rat</v>
      </c>
      <c r="C34" s="5">
        <f>VLOOKUP($B34&amp;"__wt",'SegEnds_Xtal_BW#'!$A:$Z,3,FALSE)</f>
        <v>28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f>VLOOKUP($B34&amp;"__wt",'SegEnds_Xtal_BW#'!$A:$Z,8,FALSE)</f>
        <v>67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7">
        <v>38</v>
      </c>
      <c r="P34" s="1">
        <f>VLOOKUP($B34&amp;"__wt",'SegEnds_Xtal_BW#'!$A:$Z,16,FALSE)</f>
        <v>69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35</v>
      </c>
      <c r="T34" s="1">
        <f t="array" ref="T34">INDEX(ICL3_classA!$G$2:$G$37,MATCH(MIN(ABS(AI34-ICL3_classA!$F$2:$F$37)),ABS(AI34-ICL3_classA!$F$2:$F$37),0))</f>
        <v>75</v>
      </c>
      <c r="U34" s="1">
        <f t="array" ref="U34">INDEX(ICL3_classA!$H$2:$H$37,MATCH(MIN(ABS(AI34-ICL3_classA!$F$2:$F$37)),ABS(AI34-ICL3_classA!$F$2:$F$37),0))</f>
        <v>24</v>
      </c>
      <c r="V34" s="1">
        <v>61</v>
      </c>
      <c r="W34" s="1">
        <v>31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60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">
        <f>VLOOKUP(A34,'SegEnds_NonXtal_Prot#'!A:AL,10,FALSE)-VLOOKUP(A34,'SegEnds_NonXtal_Prot#'!A:AL,7,FALSE)</f>
        <v>15</v>
      </c>
      <c r="AD34" s="1">
        <f>VLOOKUP(A34,'SegEnds_NonXtal_Prot#'!A:AL,13,FALSE)-VLOOKUP(A34,'SegEnds_NonXtal_Prot#'!A:AL,10,FALSE)</f>
        <v>20</v>
      </c>
      <c r="AE34" s="1">
        <f>VLOOKUP(A34,'SegEnds_NonXtal_Prot#'!A:AL,16,FALSE)-VLOOKUP(A34,'SegEnds_NonXtal_Prot#'!A:AL,10,FALSE)</f>
        <v>52</v>
      </c>
      <c r="AF34" s="1">
        <f>VLOOKUP(A34,'SegEnds_NonXtal_Prot#'!A:AL,22,FALSE)-VLOOKUP(A34,'SegEnds_NonXtal_Prot#'!A:AL,19,FALSE)</f>
        <v>20</v>
      </c>
      <c r="AG34" s="1">
        <f>VLOOKUP(A34,'SegEnds_NonXtal_Prot#'!A:AL,28,FALSE)-VLOOKUP(A34,'SegEnds_NonXtal_Prot#'!A:AL,25,FALSE)</f>
        <v>22</v>
      </c>
      <c r="AH34" s="1">
        <f>VLOOKUP(A34,'SegEnds_NonXtal_Prot#'!A:AL,28,FALSE)-VLOOKUP(A34,'SegEnds_NonXtal_Prot#'!A:AL,22,FALSE)</f>
        <v>50</v>
      </c>
      <c r="AI34" s="1">
        <f>VLOOKUP(A34,'SegEnds_NonXtal_Prot#'!A:AL,31,FALSE)-VLOOKUP(A34,'SegEnds_NonXtal_Prot#'!A:AL,28,FALSE)</f>
        <v>263</v>
      </c>
      <c r="AJ34" s="1">
        <f>VLOOKUP(A34,'SegEnds_NonXtal_Prot#'!A:AL,34,FALSE)-VLOOKUP(A34,'SegEnds_NonXtal_Prot#'!A:AL,31,FALSE)</f>
        <v>35</v>
      </c>
      <c r="AK34" s="1">
        <f>VLOOKUP(A34,'SegEnds_NonXtal_Prot#'!A:AL,37,FALSE)-VLOOKUP(A34,'SegEnds_NonXtal_Prot#'!A:AL,34,FALSE)</f>
        <v>10</v>
      </c>
      <c r="AL34" s="1" t="str">
        <f>IF(ISERROR(MATCH(A34,'SegEnds_Xtal_Prot#'!B:B, 0)), "NoXtal", "Xtal")</f>
        <v>NoXtal</v>
      </c>
    </row>
    <row r="35" spans="1:38" x14ac:dyDescent="0.2">
      <c r="A35" s="4" t="s">
        <v>910</v>
      </c>
      <c r="B35" s="4" t="str">
        <f>VLOOKUP(A35,Xtal_Templ!A:B,2,FALSE)</f>
        <v>acm3_rat</v>
      </c>
      <c r="C35" s="5">
        <f>VLOOKUP($B35&amp;"__wt",'SegEnds_Xtal_BW#'!$A:$Z,3,FALSE)</f>
        <v>28</v>
      </c>
      <c r="D35" s="4">
        <f>VLOOKUP($B35&amp;"__wt",'SegEnds_Xtal_BW#'!$A:$Z,4,FALSE)</f>
        <v>60</v>
      </c>
      <c r="E35" s="4">
        <f>VLOOKUP($B35&amp;"__wt",'SegEnds_Xtal_BW#'!$A:$Z,5,FALSE)</f>
        <v>48</v>
      </c>
      <c r="F35" s="4">
        <f>VLOOKUP($B35&amp;"__wt",'SegEnds_Xtal_BW#'!$A:$Z,6,FALSE)</f>
        <v>51</v>
      </c>
      <c r="G35" s="4">
        <v>37</v>
      </c>
      <c r="H35" s="11">
        <f>VLOOKUP($B35&amp;"__wt",'SegEnds_Xtal_BW#'!$A:$Z,8,FALSE)</f>
        <v>67</v>
      </c>
      <c r="I35" s="4">
        <f>VLOOKUP($B35&amp;"__wt",'SegEnds_Xtal_BW#'!$A:$Z,9,FALSE)</f>
        <v>49</v>
      </c>
      <c r="J35" s="4">
        <f>VLOOKUP($B35&amp;"__wt",'SegEnds_Xtal_BW#'!$A:$Z,10,FALSE)</f>
        <v>52</v>
      </c>
      <c r="K35" s="11">
        <v>18</v>
      </c>
      <c r="L35" s="4">
        <f>VLOOKUP($B35&amp;"__wt",'SegEnds_Xtal_BW#'!$A:$Z,12,FALSE)</f>
        <v>56</v>
      </c>
      <c r="M35" s="4">
        <f>VLOOKUP($B35&amp;"__wt",'SegEnds_Xtal_BW#'!$A:$Z,13,FALSE)</f>
        <v>50</v>
      </c>
      <c r="N35" s="12">
        <f>VLOOKUP($B35&amp;"__wt",'SegEnds_Xtal_BW#'!$A:$Z,14,FALSE)</f>
        <v>57</v>
      </c>
      <c r="O35" s="87">
        <f>VLOOKUP($B35&amp;"__wt",'SegEnds_Xtal_BW#'!$A:$Z,15,FALSE)</f>
        <v>38</v>
      </c>
      <c r="P35" s="4">
        <f>VLOOKUP($B35&amp;"__wt",'SegEnds_Xtal_BW#'!$A:$Z,16,FALSE)</f>
        <v>69</v>
      </c>
      <c r="Q35" s="4">
        <f>VLOOKUP($B35&amp;"__wt",'SegEnds_Xtal_BW#'!$A:$Z,17,FALSE)</f>
        <v>50</v>
      </c>
      <c r="R35" s="4">
        <f>VLOOKUP($B35&amp;"__wt",'SegEnds_Xtal_BW#'!$A:$Z,18,FALSE)</f>
        <v>52</v>
      </c>
      <c r="S35" s="1">
        <f>VLOOKUP($B35&amp;"__wt",'SegEnds_Xtal_BW#'!$A:$Z,19,FALSE)</f>
        <v>35</v>
      </c>
      <c r="T35" s="4">
        <f t="array" ref="T35">INDEX(ICL3_classA!$G$2:$G$37,MATCH(MIN(ABS(AI35-ICL3_classA!$F$2:$F$37)),ABS(AI35-ICL3_classA!$F$2:$F$37),0))</f>
        <v>75</v>
      </c>
      <c r="U35" s="4">
        <f t="array" ref="U35">INDEX(ICL3_classA!$H$2:$H$37,MATCH(MIN(ABS(AI35-ICL3_classA!$F$2:$F$37)),ABS(AI35-ICL3_classA!$F$2:$F$37),0))</f>
        <v>24</v>
      </c>
      <c r="V35" s="4">
        <v>61</v>
      </c>
      <c r="W35" s="4">
        <v>31</v>
      </c>
      <c r="X35" s="4">
        <f>VLOOKUP($B35&amp;"__wt",'SegEnds_Xtal_BW#'!$A:$Z,24,FALSE)</f>
        <v>56</v>
      </c>
      <c r="Y35" s="4">
        <f>VLOOKUP($B35&amp;"__wt",'SegEnds_Xtal_BW#'!$A:$Z,25,FALSE)</f>
        <v>47</v>
      </c>
      <c r="Z35" s="4">
        <f>VLOOKUP($B35&amp;"__wt",'SegEnds_Xtal_BW#'!$A:$Z,26,FALSE)</f>
        <v>60</v>
      </c>
      <c r="AA35" s="27" t="str">
        <f>VLOOKUP(A35,Classification!A:B,2,FALSE)</f>
        <v>A</v>
      </c>
      <c r="AB35" s="1">
        <f>VLOOKUP(A35,'SegEnds_NonXtal_Prot#'!A:AL,10,FALSE)-VLOOKUP(A35,'SegEnds_NonXtal_Prot#'!A:AL,4,FALSE)</f>
        <v>28</v>
      </c>
      <c r="AC35" s="4">
        <f>VLOOKUP(A35,'SegEnds_NonXtal_Prot#'!A:AL,10,FALSE)-VLOOKUP(A35,'SegEnds_NonXtal_Prot#'!A:AL,7,FALSE)</f>
        <v>15</v>
      </c>
      <c r="AD35" s="4">
        <f>VLOOKUP(A35,'SegEnds_NonXtal_Prot#'!A:AL,13,FALSE)-VLOOKUP(A35,'SegEnds_NonXtal_Prot#'!A:AL,10,FALSE)</f>
        <v>20</v>
      </c>
      <c r="AE35" s="4">
        <f>VLOOKUP(A35,'SegEnds_NonXtal_Prot#'!A:AL,16,FALSE)-VLOOKUP(A35,'SegEnds_NonXtal_Prot#'!A:AL,10,FALSE)</f>
        <v>52</v>
      </c>
      <c r="AF35" s="1">
        <f>VLOOKUP(A35,'SegEnds_NonXtal_Prot#'!A:AL,22,FALSE)-VLOOKUP(A35,'SegEnds_NonXtal_Prot#'!A:AL,19,FALSE)</f>
        <v>20</v>
      </c>
      <c r="AG35" s="4">
        <f>VLOOKUP(A35,'SegEnds_NonXtal_Prot#'!A:AL,28,FALSE)-VLOOKUP(A35,'SegEnds_NonXtal_Prot#'!A:AL,25,FALSE)</f>
        <v>22</v>
      </c>
      <c r="AH35" s="1">
        <f>VLOOKUP(A35,'SegEnds_NonXtal_Prot#'!A:AL,28,FALSE)-VLOOKUP(A35,'SegEnds_NonXtal_Prot#'!A:AL,22,FALSE)</f>
        <v>50</v>
      </c>
      <c r="AI35" s="4">
        <f>VLOOKUP(A35,'SegEnds_NonXtal_Prot#'!A:AL,31,FALSE)-VLOOKUP(A35,'SegEnds_NonXtal_Prot#'!A:AL,28,FALSE)</f>
        <v>263</v>
      </c>
      <c r="AJ35" s="4">
        <f>VLOOKUP(A35,'SegEnds_NonXtal_Prot#'!A:AL,34,FALSE)-VLOOKUP(A35,'SegEnds_NonXtal_Prot#'!A:AL,31,FALSE)</f>
        <v>35</v>
      </c>
      <c r="AK35" s="1">
        <f>VLOOKUP(A35,'SegEnds_NonXtal_Prot#'!A:AL,37,FALSE)-VLOOKUP(A35,'SegEnds_NonXtal_Prot#'!A:AL,34,FALSE)</f>
        <v>10</v>
      </c>
      <c r="AL35" s="1" t="str">
        <f>IF(ISERROR(MATCH(A35,'SegEnds_Xtal_Prot#'!B:B, 0)), "NoXtal", "Xtal")</f>
        <v>Xtal</v>
      </c>
    </row>
    <row r="36" spans="1:38" x14ac:dyDescent="0.2">
      <c r="A36" s="1" t="s">
        <v>149</v>
      </c>
      <c r="B36" s="1" t="str">
        <f>VLOOKUP(A36,Xtal_Templ!A:B,2,FALSE)</f>
        <v>acm4_human</v>
      </c>
      <c r="C36" s="5">
        <f>VLOOKUP($B36&amp;"__wt",'SegEnds_Xtal_BW#'!$A:$Z,3,FALSE)</f>
        <v>26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67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f>VLOOKUP($B36&amp;"__wt",'SegEnds_Xtal_BW#'!$A:$Z,14,FALSE)</f>
        <v>57</v>
      </c>
      <c r="O36" s="87">
        <f>VLOOKUP($B36&amp;"__wt",'SegEnds_Xtal_BW#'!$A:$Z,15,FALSE)</f>
        <v>38</v>
      </c>
      <c r="P36" s="1">
        <f>VLOOKUP($B36&amp;"__wt",'SegEnds_Xtal_BW#'!$A:$Z,16,FALSE)</f>
        <v>69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f>VLOOKUP($B36&amp;"__wt",'SegEnds_Xtal_BW#'!$A:$Z,19,FALSE)</f>
        <v>35</v>
      </c>
      <c r="T36" s="1">
        <f t="array" ref="T36">INDEX(ICL3_classA!$G$2:$G$37,MATCH(MIN(ABS(AI36-ICL3_classA!$F$2:$F$37)),ABS(AI36-ICL3_classA!$F$2:$F$37),0))</f>
        <v>75</v>
      </c>
      <c r="U36" s="1">
        <f t="array" ref="U36">INDEX(ICL3_classA!$H$2:$H$37,MATCH(MIN(ABS(AI36-ICL3_classA!$F$2:$F$37)),ABS(AI36-ICL3_classA!$F$2:$F$37),0))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59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28</v>
      </c>
      <c r="AC36" s="1">
        <f>VLOOKUP(A36,'SegEnds_NonXtal_Prot#'!A:AL,10,FALSE)-VLOOKUP(A36,'SegEnds_NonXtal_Prot#'!A:AL,7,FALSE)</f>
        <v>15</v>
      </c>
      <c r="AD36" s="1">
        <f>VLOOKUP(A36,'SegEnds_NonXtal_Prot#'!A:AL,13,FALSE)-VLOOKUP(A36,'SegEnds_NonXtal_Prot#'!A:AL,10,FALSE)</f>
        <v>20</v>
      </c>
      <c r="AE36" s="1">
        <f>VLOOKUP(A36,'SegEnds_NonXtal_Prot#'!A:AL,16,FALSE)-VLOOKUP(A36,'SegEnds_NonXtal_Prot#'!A:AL,10,FALSE)</f>
        <v>52</v>
      </c>
      <c r="AF36" s="1">
        <f>VLOOKUP(A36,'SegEnds_NonXtal_Prot#'!A:AL,22,FALSE)-VLOOKUP(A36,'SegEnds_NonXtal_Prot#'!A:AL,19,FALSE)</f>
        <v>20</v>
      </c>
      <c r="AG36" s="1">
        <f>VLOOKUP(A36,'SegEnds_NonXtal_Prot#'!A:AL,28,FALSE)-VLOOKUP(A36,'SegEnds_NonXtal_Prot#'!A:AL,25,FALSE)</f>
        <v>22</v>
      </c>
      <c r="AH36" s="1">
        <f>VLOOKUP(A36,'SegEnds_NonXtal_Prot#'!A:AL,28,FALSE)-VLOOKUP(A36,'SegEnds_NonXtal_Prot#'!A:AL,22,FALSE)</f>
        <v>50</v>
      </c>
      <c r="AI36" s="1">
        <f>VLOOKUP(A36,'SegEnds_NonXtal_Prot#'!A:AL,31,FALSE)-VLOOKUP(A36,'SegEnds_NonXtal_Prot#'!A:AL,28,FALSE)</f>
        <v>208</v>
      </c>
      <c r="AJ36" s="1">
        <f>VLOOKUP(A36,'SegEnds_NonXtal_Prot#'!A:AL,34,FALSE)-VLOOKUP(A36,'SegEnds_NonXtal_Prot#'!A:AL,31,FALSE)</f>
        <v>35</v>
      </c>
      <c r="AK36" s="1">
        <f>VLOOKUP(A36,'SegEnds_NonXtal_Prot#'!A:AL,37,FALSE)-VLOOKUP(A36,'SegEnds_NonXtal_Prot#'!A:AL,34,FALSE)</f>
        <v>10</v>
      </c>
      <c r="AL36" s="1" t="str">
        <f>IF(ISERROR(MATCH(A36,'SegEnds_Xtal_Prot#'!B:B, 0)), "NoXtal", "Xtal")</f>
        <v>Xtal</v>
      </c>
    </row>
    <row r="37" spans="1:38" x14ac:dyDescent="0.2">
      <c r="A37" s="1" t="s">
        <v>150</v>
      </c>
      <c r="B37" s="1" t="str">
        <f>VLOOKUP(A37,Xtal_Templ!A:B,2,FALSE)</f>
        <v>acm3_rat</v>
      </c>
      <c r="C37" s="5">
        <f>VLOOKUP($B37&amp;"__wt",'SegEnds_Xtal_BW#'!$A:$Z,3,FALSE)</f>
        <v>28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7">
        <v>38</v>
      </c>
      <c r="P37" s="1">
        <f>VLOOKUP($B37&amp;"__wt",'SegEnds_Xtal_BW#'!$A:$Z,16,FALSE)</f>
        <v>69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f>VLOOKUP($B37&amp;"__wt",'SegEnds_Xtal_BW#'!$A:$Z,19,FALSE)</f>
        <v>35</v>
      </c>
      <c r="T37" s="1">
        <f t="array" ref="T37">INDEX(ICL3_classA!$G$2:$G$37,MATCH(MIN(ABS(AI37-ICL3_classA!$F$2:$F$37)),ABS(AI37-ICL3_classA!$F$2:$F$37),0))</f>
        <v>75</v>
      </c>
      <c r="U37" s="1">
        <f t="array" ref="U37">INDEX(ICL3_classA!$H$2:$H$37,MATCH(MIN(ABS(AI37-ICL3_classA!$F$2:$F$37)),ABS(AI37-ICL3_classA!$F$2:$F$37),0))</f>
        <v>24</v>
      </c>
      <c r="V37" s="1">
        <v>61</v>
      </c>
      <c r="W37" s="1">
        <v>31</v>
      </c>
      <c r="X37" s="1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60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20</v>
      </c>
      <c r="AE37" s="1">
        <f>VLOOKUP(A37,'SegEnds_NonXtal_Prot#'!A:AL,16,FALSE)-VLOOKUP(A37,'SegEnds_NonXtal_Prot#'!A:AL,10,FALSE)</f>
        <v>52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22</v>
      </c>
      <c r="AH37" s="1">
        <f>VLOOKUP(A37,'SegEnds_NonXtal_Prot#'!A:AL,28,FALSE)-VLOOKUP(A37,'SegEnds_NonXtal_Prot#'!A:AL,22,FALSE)</f>
        <v>50</v>
      </c>
      <c r="AI37" s="1">
        <f>VLOOKUP(A37,'SegEnds_NonXtal_Prot#'!A:AL,31,FALSE)-VLOOKUP(A37,'SegEnds_NonXtal_Prot#'!A:AL,28,FALSE)</f>
        <v>252</v>
      </c>
      <c r="AJ37" s="1">
        <f>VLOOKUP(A37,'SegEnds_NonXtal_Prot#'!A:AL,34,FALSE)-VLOOKUP(A37,'SegEnds_NonXtal_Prot#'!A:AL,31,FALSE)</f>
        <v>35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125</v>
      </c>
      <c r="B38" s="1" t="str">
        <f>VLOOKUP(A38,Xtal_Templ!A:B,2,FALSE)</f>
        <v>adrb2_human</v>
      </c>
      <c r="C38" s="5">
        <f>VLOOKUP($B38&amp;"__wt",'SegEnds_Xtal_BW#'!$A:$Z,3,FALSE)</f>
        <v>25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67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7">
        <v>38</v>
      </c>
      <c r="P38" s="1">
        <f>VLOOKUP($B38&amp;"__wt",'SegEnds_Xtal_BW#'!$A:$Z,16,FALSE)</f>
        <v>64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f>VLOOKUP($B38&amp;"__wt",'SegEnds_Xtal_BW#'!$A:$Z,19,FALSE)</f>
        <v>35</v>
      </c>
      <c r="T38" s="1">
        <f t="array" ref="T38">INDEX(ICL3_classA!$G$2:$G$37,MATCH(MIN(ABS(AI38-ICL3_classA!$F$2:$F$37)),ABS(AI38-ICL3_classA!$F$2:$F$37),0))</f>
        <v>74</v>
      </c>
      <c r="U38" s="1">
        <f t="array" ref="U38">INDEX(ICL3_classA!$H$2:$H$37,MATCH(MIN(ABS(AI38-ICL3_classA!$F$2:$F$37)),ABS(AI38-ICL3_classA!$F$2:$F$37),0))</f>
        <v>24</v>
      </c>
      <c r="V38" s="1">
        <v>61</v>
      </c>
      <c r="W38" s="1">
        <v>31</v>
      </c>
      <c r="X38" s="1">
        <f>VLOOKUP($B38&amp;"__wt",'SegEnds_Xtal_BW#'!$A:$Z,24,FALSE)</f>
        <v>55</v>
      </c>
      <c r="Y38" s="1">
        <f>VLOOKUP($B38&amp;"__wt",'SegEnds_Xtal_BW#'!$A:$Z,25,FALSE)</f>
        <v>47</v>
      </c>
      <c r="Z38" s="1">
        <f>VLOOKUP($B38&amp;"__wt",'SegEnds_Xtal_BW#'!$A:$Z,26,FALSE)</f>
        <v>59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>
        <f>VLOOKUP(A38,'SegEnds_NonXtal_Prot#'!A:AL,13,FALSE)-VLOOKUP(A38,'SegEnds_NonXtal_Prot#'!A:AL,10,FALSE)</f>
        <v>20</v>
      </c>
      <c r="AE38" s="1">
        <f>VLOOKUP(A38,'SegEnds_NonXtal_Prot#'!A:AL,16,FALSE)-VLOOKUP(A38,'SegEnds_NonXtal_Prot#'!A:AL,10,FALSE)</f>
        <v>52</v>
      </c>
      <c r="AF38" s="1">
        <f>VLOOKUP(A38,'SegEnds_NonXtal_Prot#'!A:AL,22,FALSE)-VLOOKUP(A38,'SegEnds_NonXtal_Prot#'!A:AL,19,FALSE)</f>
        <v>20</v>
      </c>
      <c r="AG38" s="1">
        <f>VLOOKUP(A38,'SegEnds_NonXtal_Prot#'!A:AL,28,FALSE)-VLOOKUP(A38,'SegEnds_NonXtal_Prot#'!A:AL,25,FALSE)</f>
        <v>20</v>
      </c>
      <c r="AH38" s="1">
        <f>VLOOKUP(A38,'SegEnds_NonXtal_Prot#'!A:AL,28,FALSE)-VLOOKUP(A38,'SegEnds_NonXtal_Prot#'!A:AL,22,FALSE)</f>
        <v>53</v>
      </c>
      <c r="AI38" s="1">
        <f>VLOOKUP(A38,'SegEnds_NonXtal_Prot#'!A:AL,31,FALSE)-VLOOKUP(A38,'SegEnds_NonXtal_Prot#'!A:AL,28,FALSE)</f>
        <v>103</v>
      </c>
      <c r="AJ38" s="1">
        <f>VLOOKUP(A38,'SegEnds_NonXtal_Prot#'!A:AL,34,FALSE)-VLOOKUP(A38,'SegEnds_NonXtal_Prot#'!A:AL,31,FALSE)</f>
        <v>35</v>
      </c>
      <c r="AK38" s="1">
        <f>VLOOKUP(A38,'SegEnds_NonXtal_Prot#'!A:AL,37,FALSE)-VLOOKUP(A38,'SegEnds_NonXtal_Prot#'!A:AL,34,FALSE)</f>
        <v>9</v>
      </c>
      <c r="AL38" s="1" t="str">
        <f>IF(ISERROR(MATCH(A38,'SegEnds_Xtal_Prot#'!B:B, 0)), "NoXtal", "Xtal")</f>
        <v>NoXtal</v>
      </c>
    </row>
    <row r="39" spans="1:38" x14ac:dyDescent="0.2">
      <c r="A39" s="1" t="s">
        <v>912</v>
      </c>
      <c r="B39" s="1" t="str">
        <f>VLOOKUP(A39,Xtal_Templ!A:B,2,FALSE)</f>
        <v>adrb1_melga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67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f>VLOOKUP($B39&amp;"__wt",'SegEnds_Xtal_BW#'!$A:$Z,14,FALSE)</f>
        <v>57</v>
      </c>
      <c r="O39" s="87">
        <f>VLOOKUP($B39&amp;"__wt",'SegEnds_Xtal_BW#'!$A:$Z,15,FALSE)</f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35</v>
      </c>
      <c r="T39" s="1">
        <f t="array" ref="T39">INDEX(ICL3_classA!$G$2:$G$37,MATCH(MIN(ABS(AI39-ICL3_classA!$F$2:$F$37)),ABS(AI39-ICL3_classA!$F$2:$F$37),0))</f>
        <v>76</v>
      </c>
      <c r="U39" s="1">
        <v>20</v>
      </c>
      <c r="V39" s="1">
        <v>61</v>
      </c>
      <c r="W39" s="1">
        <v>31</v>
      </c>
      <c r="X39" s="1">
        <f>VLOOKUP($B39&amp;"__wt",'SegEnds_Xtal_BW#'!$A:$Z,24,FALSE)</f>
        <v>55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>
        <f>VLOOKUP(A39,'SegEnds_NonXtal_Prot#'!A:AL,13,FALSE)-VLOOKUP(A39,'SegEnds_NonXtal_Prot#'!A:AL,10,FALSE)</f>
        <v>20</v>
      </c>
      <c r="AE39" s="1">
        <f>VLOOKUP(A39,'SegEnds_NonXtal_Prot#'!A:AL,16,FALSE)-VLOOKUP(A39,'SegEnds_NonXtal_Prot#'!A:AL,10,FALSE)</f>
        <v>52</v>
      </c>
      <c r="AF39" s="1">
        <f>VLOOKUP(A39,'SegEnds_NonXtal_Prot#'!A:AL,22,FALSE)-VLOOKUP(A39,'SegEnds_NonXtal_Prot#'!A:AL,19,FALSE)</f>
        <v>20</v>
      </c>
      <c r="AG39" s="1">
        <f>VLOOKUP(A39,'SegEnds_NonXtal_Prot#'!A:AL,28,FALSE)-VLOOKUP(A39,'SegEnds_NonXtal_Prot#'!A:AL,25,FALSE)</f>
        <v>20</v>
      </c>
      <c r="AH39" s="1">
        <f>VLOOKUP(A39,'SegEnds_NonXtal_Prot#'!A:AL,28,FALSE)-VLOOKUP(A39,'SegEnds_NonXtal_Prot#'!A:AL,22,FALSE)</f>
        <v>53</v>
      </c>
      <c r="AI39" s="1">
        <f>VLOOKUP(A39,'SegEnds_NonXtal_Prot#'!A:AL,31,FALSE)-VLOOKUP(A39,'SegEnds_NonXtal_Prot#'!A:AL,28,FALSE)</f>
        <v>86</v>
      </c>
      <c r="AJ39" s="1">
        <f>VLOOKUP(A39,'SegEnds_NonXtal_Prot#'!A:AL,34,FALSE)-VLOOKUP(A39,'SegEnds_NonXtal_Prot#'!A:AL,31,FALSE)</f>
        <v>35</v>
      </c>
      <c r="AK39" s="1">
        <f>VLOOKUP(A39,'SegEnds_NonXtal_Prot#'!A:AL,37,FALSE)-VLOOKUP(A39,'SegEnds_NonXtal_Prot#'!A:AL,34,FALSE)</f>
        <v>9</v>
      </c>
      <c r="AL39" s="1" t="str">
        <f>IF(ISERROR(MATCH(A39,'SegEnds_Xtal_Prot#'!B:B, 0)), "NoXtal", "Xtal")</f>
        <v>Xtal</v>
      </c>
    </row>
    <row r="40" spans="1:38" x14ac:dyDescent="0.2">
      <c r="A40" s="1" t="s">
        <v>126</v>
      </c>
      <c r="B40" s="1" t="str">
        <f>VLOOKUP(A40,Xtal_Templ!A:B,2,FALSE)</f>
        <v>adrb2_human</v>
      </c>
      <c r="C40" s="5">
        <f>VLOOKUP($B40&amp;"__wt",'SegEnds_Xtal_BW#'!$A:$Z,3,FALSE)</f>
        <v>25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67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f>VLOOKUP($B40&amp;"__wt",'SegEnds_Xtal_BW#'!$A:$Z,14,FALSE)</f>
        <v>57</v>
      </c>
      <c r="O40" s="87">
        <f>VLOOKUP($B40&amp;"__wt",'SegEnds_Xtal_BW#'!$A:$Z,15,FALSE)</f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f>VLOOKUP($B40&amp;"__wt",'SegEnds_Xtal_BW#'!$A:$Z,19,FALSE)</f>
        <v>35</v>
      </c>
      <c r="T40" s="1">
        <f t="array" ref="T40">INDEX(ICL3_classA!$G$2:$G$37,MATCH(MIN(ABS(AI40-ICL3_classA!$F$2:$F$37)),ABS(AI40-ICL3_classA!$F$2:$F$37),0))</f>
        <v>76</v>
      </c>
      <c r="U40" s="1">
        <f t="array" ref="U40">INDEX(ICL3_classA!$H$2:$H$37,MATCH(MIN(ABS(AI40-ICL3_classA!$F$2:$F$37)),ABS(AI40-ICL3_classA!$F$2:$F$37),0))</f>
        <v>24</v>
      </c>
      <c r="V40" s="1">
        <v>61</v>
      </c>
      <c r="W40" s="1">
        <v>31</v>
      </c>
      <c r="X40" s="1">
        <f>VLOOKUP($B40&amp;"__wt",'SegEnds_Xtal_BW#'!$A:$Z,24,FALSE)</f>
        <v>55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28</v>
      </c>
      <c r="AC40" s="1">
        <f>VLOOKUP(A40,'SegEnds_NonXtal_Prot#'!A:AL,10,FALSE)-VLOOKUP(A40,'SegEnds_NonXtal_Prot#'!A:AL,7,FALSE)</f>
        <v>15</v>
      </c>
      <c r="AD40" s="1">
        <f>VLOOKUP(A40,'SegEnds_NonXtal_Prot#'!A:AL,13,FALSE)-VLOOKUP(A40,'SegEnds_NonXtal_Prot#'!A:AL,10,FALSE)</f>
        <v>20</v>
      </c>
      <c r="AE40" s="1">
        <f>VLOOKUP(A40,'SegEnds_NonXtal_Prot#'!A:AL,16,FALSE)-VLOOKUP(A40,'SegEnds_NonXtal_Prot#'!A:AL,10,FALSE)</f>
        <v>52</v>
      </c>
      <c r="AF40" s="1">
        <f>VLOOKUP(A40,'SegEnds_NonXtal_Prot#'!A:AL,22,FALSE)-VLOOKUP(A40,'SegEnds_NonXtal_Prot#'!A:AL,19,FALSE)</f>
        <v>20</v>
      </c>
      <c r="AG40" s="1">
        <f>VLOOKUP(A40,'SegEnds_NonXtal_Prot#'!A:AL,28,FALSE)-VLOOKUP(A40,'SegEnds_NonXtal_Prot#'!A:AL,25,FALSE)</f>
        <v>20</v>
      </c>
      <c r="AH40" s="1">
        <f>VLOOKUP(A40,'SegEnds_NonXtal_Prot#'!A:AL,28,FALSE)-VLOOKUP(A40,'SegEnds_NonXtal_Prot#'!A:AL,22,FALSE)</f>
        <v>53</v>
      </c>
      <c r="AI40" s="1">
        <f>VLOOKUP(A40,'SegEnds_NonXtal_Prot#'!A:AL,31,FALSE)-VLOOKUP(A40,'SegEnds_NonXtal_Prot#'!A:AL,28,FALSE)</f>
        <v>77</v>
      </c>
      <c r="AJ40" s="1">
        <f>VLOOKUP(A40,'SegEnds_NonXtal_Prot#'!A:AL,34,FALSE)-VLOOKUP(A40,'SegEnds_NonXtal_Prot#'!A:AL,31,FALSE)</f>
        <v>35</v>
      </c>
      <c r="AK40" s="1">
        <f>VLOOKUP(A40,'SegEnds_NonXtal_Prot#'!A:AL,37,FALSE)-VLOOKUP(A40,'SegEnds_NonXtal_Prot#'!A:AL,34,FALSE)</f>
        <v>9</v>
      </c>
      <c r="AL40" s="1" t="str">
        <f>IF(ISERROR(MATCH(A40,'SegEnds_Xtal_Prot#'!B:B, 0)), "NoXtal", "Xtal")</f>
        <v>Xtal</v>
      </c>
    </row>
    <row r="41" spans="1:38" x14ac:dyDescent="0.2">
      <c r="A41" s="1" t="s">
        <v>191</v>
      </c>
      <c r="B41" s="1" t="str">
        <f>VLOOKUP(A41,Xtal_Templ!A:B,2,FALSE)</f>
        <v>drd2_human</v>
      </c>
      <c r="C41" s="5">
        <f>VLOOKUP($B41&amp;"__wt",'SegEnds_Xtal_BW#'!$A:$Z,3,FALSE)</f>
        <v>29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68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58</v>
      </c>
      <c r="O41" s="87">
        <v>38</v>
      </c>
      <c r="P41" s="1">
        <f>VLOOKUP($B41&amp;"__wt",'SegEnds_Xtal_BW#'!$A:$Z,16,FALSE)</f>
        <v>62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35</v>
      </c>
      <c r="T41" s="1">
        <f t="array" ref="T41">INDEX(ICL3_classA!$G$2:$G$37,MATCH(MIN(ABS(AI41-ICL3_classA!$F$2:$F$37)),ABS(AI41-ICL3_classA!$F$2:$F$37),0))</f>
        <v>75</v>
      </c>
      <c r="U41" s="1">
        <f t="array" ref="U41">INDEX(ICL3_classA!$H$2:$H$37,MATCH(MIN(ABS(AI41-ICL3_classA!$F$2:$F$37)),ABS(AI41-ICL3_classA!$F$2:$F$37),0))</f>
        <v>24</v>
      </c>
      <c r="V41" s="1">
        <v>61</v>
      </c>
      <c r="W41" s="1">
        <v>31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28</v>
      </c>
      <c r="AC41" s="1">
        <f>VLOOKUP(A41,'SegEnds_NonXtal_Prot#'!A:AL,10,FALSE)-VLOOKUP(A41,'SegEnds_NonXtal_Prot#'!A:AL,7,FALSE)</f>
        <v>15</v>
      </c>
      <c r="AD41" s="1">
        <f>VLOOKUP(A41,'SegEnds_NonXtal_Prot#'!A:AL,13,FALSE)-VLOOKUP(A41,'SegEnds_NonXtal_Prot#'!A:AL,10,FALSE)</f>
        <v>20</v>
      </c>
      <c r="AE41" s="1">
        <f>VLOOKUP(A41,'SegEnds_NonXtal_Prot#'!A:AL,16,FALSE)-VLOOKUP(A41,'SegEnds_NonXtal_Prot#'!A:AL,10,FALSE)</f>
        <v>52</v>
      </c>
      <c r="AF41" s="1">
        <f>VLOOKUP(A41,'SegEnds_NonXtal_Prot#'!A:AL,22,FALSE)-VLOOKUP(A41,'SegEnds_NonXtal_Prot#'!A:AL,19,FALSE)</f>
        <v>21</v>
      </c>
      <c r="AG41" s="1">
        <f>VLOOKUP(A41,'SegEnds_NonXtal_Prot#'!A:AL,28,FALSE)-VLOOKUP(A41,'SegEnds_NonXtal_Prot#'!A:AL,25,FALSE)</f>
        <v>19</v>
      </c>
      <c r="AH41" s="1">
        <f>VLOOKUP(A41,'SegEnds_NonXtal_Prot#'!A:AL,28,FALSE)-VLOOKUP(A41,'SegEnds_NonXtal_Prot#'!A:AL,22,FALSE)</f>
        <v>41</v>
      </c>
      <c r="AI41" s="1">
        <f>VLOOKUP(A41,'SegEnds_NonXtal_Prot#'!A:AL,31,FALSE)-VLOOKUP(A41,'SegEnds_NonXtal_Prot#'!A:AL,28,FALSE)</f>
        <v>187</v>
      </c>
      <c r="AJ41" s="1">
        <f>VLOOKUP(A41,'SegEnds_NonXtal_Prot#'!A:AL,34,FALSE)-VLOOKUP(A41,'SegEnds_NonXtal_Prot#'!A:AL,31,FALSE)</f>
        <v>35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Xtal</v>
      </c>
    </row>
    <row r="42" spans="1:38" x14ac:dyDescent="0.2">
      <c r="A42" s="1" t="s">
        <v>226</v>
      </c>
      <c r="B42" s="1" t="str">
        <f>VLOOKUP(A42,Xtal_Templ!A:B,2,FALSE)</f>
        <v>p2y12_human</v>
      </c>
      <c r="C42" s="5">
        <f>VLOOKUP($B42&amp;"__wt",'SegEnds_Xtal_BW#'!$A:$Z,3,FALSE)</f>
        <v>28</v>
      </c>
      <c r="D42" s="1">
        <f>VLOOKUP($B42&amp;"__wt",'SegEnds_Xtal_BW#'!$A:$Z,4,FALSE)</f>
        <v>60</v>
      </c>
      <c r="E42" s="1" t="str">
        <f>VLOOKUP($B42&amp;"__wt",'SegEnds_Xtal_BW#'!$A:$Z,5,FALSE)</f>
        <v>-</v>
      </c>
      <c r="F42" s="1" t="str">
        <f>VLOOKUP($B42&amp;"__wt",'SegEnds_Xtal_BW#'!$A:$Z,6,FALSE)</f>
        <v>-</v>
      </c>
      <c r="G42" s="1">
        <v>37</v>
      </c>
      <c r="H42" s="12">
        <f>VLOOKUP($B42&amp;"__wt",'SegEnds_Xtal_BW#'!$A:$Z,8,FALSE)</f>
        <v>66</v>
      </c>
      <c r="I42" s="1" t="str">
        <f>VLOOKUP($B42&amp;"__wt",'SegEnds_Xtal_BW#'!$A:$Z,9,FALSE)</f>
        <v>-</v>
      </c>
      <c r="J42" s="1" t="str">
        <f>VLOOKUP($B42&amp;"__wt",'SegEnds_Xtal_BW#'!$A:$Z,10,FALSE)</f>
        <v>-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v>57</v>
      </c>
      <c r="O42" s="87">
        <f>VLOOKUP($B42&amp;"__wt",'SegEnds_Xtal_BW#'!$A:$Z,15,FALSE)</f>
        <v>38</v>
      </c>
      <c r="P42" s="1">
        <v>63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v>35</v>
      </c>
      <c r="T42" s="1">
        <f t="array" ref="T42">INDEX(ICL3_classA!$G$2:$G$37,MATCH(MIN(ABS(AI42-ICL3_classA!$F$2:$F$37)),ABS(AI42-ICL3_classA!$F$2:$F$37),0))</f>
        <v>73</v>
      </c>
      <c r="U42" s="1">
        <f t="array" ref="U42">INDEX(ICL3_classA!$H$2:$H$37,MATCH(MIN(ABS(AI42-ICL3_classA!$F$2:$F$37)),ABS(AI42-ICL3_classA!$F$2:$F$37),0))</f>
        <v>24</v>
      </c>
      <c r="V42" s="1">
        <v>61</v>
      </c>
      <c r="W42" s="1">
        <v>31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57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27</v>
      </c>
      <c r="AC42" s="1" t="e">
        <f>VLOOKUP(A42,'SegEnds_NonXtal_Prot#'!A:AL,10,FALSE)-VLOOKUP(A42,'SegEnds_NonXtal_Prot#'!A:AL,7,FALSE)</f>
        <v>#VALUE!</v>
      </c>
      <c r="AD42" s="1" t="e">
        <f>VLOOKUP(A42,'SegEnds_NonXtal_Prot#'!A:AL,13,FALSE)-VLOOKUP(A42,'SegEnds_NonXtal_Prot#'!A:AL,10,FALSE)</f>
        <v>#VALUE!</v>
      </c>
      <c r="AE42" s="1">
        <f>VLOOKUP(A42,'SegEnds_NonXtal_Prot#'!A:AL,16,FALSE)-VLOOKUP(A42,'SegEnds_NonXtal_Prot#'!A:AL,10,FALSE)</f>
        <v>54</v>
      </c>
      <c r="AF42" s="1" t="e">
        <f>VLOOKUP(A42,'SegEnds_NonXtal_Prot#'!A:AL,22,FALSE)-VLOOKUP(A42,'SegEnds_NonXtal_Prot#'!A:AL,19,FALSE)</f>
        <v>#VALUE!</v>
      </c>
      <c r="AG42" s="1">
        <f>VLOOKUP(A42,'SegEnds_NonXtal_Prot#'!A:AL,28,FALSE)-VLOOKUP(A42,'SegEnds_NonXtal_Prot#'!A:AL,25,FALSE)</f>
        <v>22</v>
      </c>
      <c r="AH42" s="1">
        <f>VLOOKUP(A42,'SegEnds_NonXtal_Prot#'!A:AL,28,FALSE)-VLOOKUP(A42,'SegEnds_NonXtal_Prot#'!A:AL,22,FALSE)</f>
        <v>49</v>
      </c>
      <c r="AI42" s="1">
        <f>VLOOKUP(A42,'SegEnds_NonXtal_Prot#'!A:AL,31,FALSE)-VLOOKUP(A42,'SegEnds_NonXtal_Prot#'!A:AL,28,FALSE)</f>
        <v>58</v>
      </c>
      <c r="AJ42" s="1">
        <f>VLOOKUP(A42,'SegEnds_NonXtal_Prot#'!A:AL,34,FALSE)-VLOOKUP(A42,'SegEnds_NonXtal_Prot#'!A:AL,31,FALSE)</f>
        <v>35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NoXtal</v>
      </c>
    </row>
    <row r="43" spans="1:38" x14ac:dyDescent="0.2">
      <c r="A43" s="1" t="s">
        <v>247</v>
      </c>
      <c r="B43" s="1" t="str">
        <f>VLOOKUP(A43,Xtal_Templ!A:B,2,FALSE)</f>
        <v>drd2_human</v>
      </c>
      <c r="C43" s="5">
        <f>VLOOKUP($B43&amp;"__wt",'SegEnds_Xtal_BW#'!$A:$Z,3,FALSE)</f>
        <v>29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68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7">
        <v>38</v>
      </c>
      <c r="P43" s="1">
        <f>VLOOKUP($B43&amp;"__wt",'SegEnds_Xtal_BW#'!$A:$Z,16,FALSE)</f>
        <v>62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v>35</v>
      </c>
      <c r="T43" s="1">
        <f t="array" ref="T43">INDEX(ICL3_classA!$G$2:$G$37,MATCH(MIN(ABS(AI43-ICL3_classA!$F$2:$F$37)),ABS(AI43-ICL3_classA!$F$2:$F$37),0))</f>
        <v>76</v>
      </c>
      <c r="U43" s="1">
        <f t="array" ref="U43">INDEX(ICL3_classA!$H$2:$H$37,MATCH(MIN(ABS(AI43-ICL3_classA!$F$2:$F$37)),ABS(AI43-ICL3_classA!$F$2:$F$37),0))</f>
        <v>24</v>
      </c>
      <c r="V43" s="1">
        <v>61</v>
      </c>
      <c r="W43" s="1">
        <v>31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59</v>
      </c>
      <c r="AA43" s="27" t="str">
        <f>VLOOKUP(A43,Classification!A:B,2,FALSE)</f>
        <v>A</v>
      </c>
      <c r="AB43" s="1">
        <f>VLOOKUP(A43,'SegEnds_NonXtal_Prot#'!A:AL,10,FALSE)-VLOOKUP(A43,'SegEnds_NonXtal_Prot#'!A:AL,4,FALSE)</f>
        <v>29</v>
      </c>
      <c r="AC43" s="1">
        <f>VLOOKUP(A43,'SegEnds_NonXtal_Prot#'!A:AL,10,FALSE)-VLOOKUP(A43,'SegEnds_NonXtal_Prot#'!A:AL,7,FALSE)</f>
        <v>16</v>
      </c>
      <c r="AD43" s="1" t="e">
        <f>VLOOKUP(A43,'SegEnds_NonXtal_Prot#'!A:AL,13,FALSE)-VLOOKUP(A43,'SegEnds_NonXtal_Prot#'!A:AL,10,FALSE)</f>
        <v>#VALUE!</v>
      </c>
      <c r="AE43" s="1">
        <f>VLOOKUP(A43,'SegEnds_NonXtal_Prot#'!A:AL,16,FALSE)-VLOOKUP(A43,'SegEnds_NonXtal_Prot#'!A:AL,10,FALSE)</f>
        <v>52</v>
      </c>
      <c r="AF43" s="1">
        <f>VLOOKUP(A43,'SegEnds_NonXtal_Prot#'!A:AL,22,FALSE)-VLOOKUP(A43,'SegEnds_NonXtal_Prot#'!A:AL,19,FALSE)</f>
        <v>20</v>
      </c>
      <c r="AG43" s="1">
        <f>VLOOKUP(A43,'SegEnds_NonXtal_Prot#'!A:AL,28,FALSE)-VLOOKUP(A43,'SegEnds_NonXtal_Prot#'!A:AL,25,FALSE)</f>
        <v>25</v>
      </c>
      <c r="AH43" s="1">
        <f>VLOOKUP(A43,'SegEnds_NonXtal_Prot#'!A:AL,28,FALSE)-VLOOKUP(A43,'SegEnds_NonXtal_Prot#'!A:AL,22,FALSE)</f>
        <v>53</v>
      </c>
      <c r="AI43" s="1">
        <f>VLOOKUP(A43,'SegEnds_NonXtal_Prot#'!A:AL,31,FALSE)-VLOOKUP(A43,'SegEnds_NonXtal_Prot#'!A:AL,28,FALSE)</f>
        <v>72</v>
      </c>
      <c r="AJ43" s="1">
        <f>VLOOKUP(A43,'SegEnds_NonXtal_Prot#'!A:AL,34,FALSE)-VLOOKUP(A43,'SegEnds_NonXtal_Prot#'!A:AL,31,FALSE)</f>
        <v>35</v>
      </c>
      <c r="AK43" s="1">
        <f>VLOOKUP(A43,'SegEnds_NonXtal_Prot#'!A:AL,37,FALSE)-VLOOKUP(A43,'SegEnds_NonXtal_Prot#'!A:AL,34,FALSE)</f>
        <v>10</v>
      </c>
      <c r="AL43" s="1" t="str">
        <f>IF(ISERROR(MATCH(A43,'SegEnds_Xtal_Prot#'!B:B, 0)), "NoXtal", "Xtal")</f>
        <v>NoXtal</v>
      </c>
    </row>
    <row r="44" spans="1:38" x14ac:dyDescent="0.2">
      <c r="A44" s="1" t="s">
        <v>267</v>
      </c>
      <c r="B44" s="1" t="str">
        <f>VLOOKUP(A44,Xtal_Templ!A:B,2,FALSE)</f>
        <v>drd2_human</v>
      </c>
      <c r="C44" s="5">
        <f>VLOOKUP($B44&amp;"__wt",'SegEnds_Xtal_BW#'!$A:$Z,3,FALSE)</f>
        <v>29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68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7">
        <v>38</v>
      </c>
      <c r="P44" s="1">
        <f>VLOOKUP($B44&amp;"__wt",'SegEnds_Xtal_BW#'!$A:$Z,16,FALSE)</f>
        <v>62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35</v>
      </c>
      <c r="T44" s="1">
        <f t="array" ref="T44">INDEX(ICL3_classA!$G$2:$G$37,MATCH(MIN(ABS(AI44-ICL3_classA!$F$2:$F$37)),ABS(AI44-ICL3_classA!$F$2:$F$37),0))</f>
        <v>76</v>
      </c>
      <c r="U44" s="1">
        <f t="array" ref="U44">INDEX(ICL3_classA!$H$2:$H$37,MATCH(MIN(ABS(AI44-ICL3_classA!$F$2:$F$37)),ABS(AI44-ICL3_classA!$F$2:$F$37),0))</f>
        <v>24</v>
      </c>
      <c r="V44" s="1">
        <v>61</v>
      </c>
      <c r="W44" s="1">
        <v>31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29</v>
      </c>
      <c r="AC44" s="1">
        <f>VLOOKUP(A44,'SegEnds_NonXtal_Prot#'!A:AL,10,FALSE)-VLOOKUP(A44,'SegEnds_NonXtal_Prot#'!A:AL,7,FALSE)</f>
        <v>16</v>
      </c>
      <c r="AD44" s="1" t="e">
        <f>VLOOKUP(A44,'SegEnds_NonXtal_Prot#'!A:AL,13,FALSE)-VLOOKUP(A44,'SegEnds_NonXtal_Prot#'!A:AL,10,FALSE)</f>
        <v>#VALUE!</v>
      </c>
      <c r="AE44" s="1">
        <f>VLOOKUP(A44,'SegEnds_NonXtal_Prot#'!A:AL,16,FALSE)-VLOOKUP(A44,'SegEnds_NonXtal_Prot#'!A:AL,10,FALSE)</f>
        <v>52</v>
      </c>
      <c r="AF44" s="1">
        <f>VLOOKUP(A44,'SegEnds_NonXtal_Prot#'!A:AL,22,FALSE)-VLOOKUP(A44,'SegEnds_NonXtal_Prot#'!A:AL,19,FALSE)</f>
        <v>20</v>
      </c>
      <c r="AG44" s="1">
        <f>VLOOKUP(A44,'SegEnds_NonXtal_Prot#'!A:AL,28,FALSE)-VLOOKUP(A44,'SegEnds_NonXtal_Prot#'!A:AL,25,FALSE)</f>
        <v>28</v>
      </c>
      <c r="AH44" s="1">
        <f>VLOOKUP(A44,'SegEnds_NonXtal_Prot#'!A:AL,28,FALSE)-VLOOKUP(A44,'SegEnds_NonXtal_Prot#'!A:AL,22,FALSE)</f>
        <v>53</v>
      </c>
      <c r="AI44" s="1">
        <f>VLOOKUP(A44,'SegEnds_NonXtal_Prot#'!A:AL,31,FALSE)-VLOOKUP(A44,'SegEnds_NonXtal_Prot#'!A:AL,28,FALSE)</f>
        <v>72</v>
      </c>
      <c r="AJ44" s="1">
        <f>VLOOKUP(A44,'SegEnds_NonXtal_Prot#'!A:AL,34,FALSE)-VLOOKUP(A44,'SegEnds_NonXtal_Prot#'!A:AL,31,FALSE)</f>
        <v>35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NoXtal</v>
      </c>
    </row>
    <row r="45" spans="1:38" x14ac:dyDescent="0.2">
      <c r="A45" s="1" t="s">
        <v>269</v>
      </c>
      <c r="B45" s="1" t="str">
        <f>VLOOKUP(A45,Xtal_Templ!A:B,2,FALSE)</f>
        <v>ox2r_human</v>
      </c>
      <c r="C45" s="5">
        <f>VLOOKUP($B45&amp;"__wt",'SegEnds_Xtal_BW#'!$A:$Z,3,FALSE)</f>
        <v>31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f>VLOOKUP($B45&amp;"__wt",'SegEnds_Xtal_BW#'!$A:$Z,8,FALSE)</f>
        <v>68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56</v>
      </c>
      <c r="O45" s="87">
        <f>VLOOKUP($B45&amp;"__wt",'SegEnds_Xtal_BW#'!$A:$Z,15,FALSE)</f>
        <v>38</v>
      </c>
      <c r="P45" s="1">
        <f>VLOOKUP($B45&amp;"__wt",'SegEnds_Xtal_BW#'!$A:$Z,16,FALSE)</f>
        <v>64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33</v>
      </c>
      <c r="T45" s="1">
        <f t="array" ref="T45">INDEX(ICL3_classA!$G$2:$G$37,MATCH(MIN(ABS(AI45-ICL3_classA!$F$2:$F$37)),ABS(AI45-ICL3_classA!$F$2:$F$37),0))</f>
        <v>73</v>
      </c>
      <c r="U45" s="1">
        <f t="array" ref="U45">INDEX(ICL3_classA!$H$2:$H$37,MATCH(MIN(ABS(AI45-ICL3_classA!$F$2:$F$37)),ABS(AI45-ICL3_classA!$F$2:$F$37),0))</f>
        <v>22</v>
      </c>
      <c r="V45" s="1"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58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28</v>
      </c>
      <c r="AC45" s="1">
        <f>VLOOKUP(A45,'SegEnds_NonXtal_Prot#'!A:AL,10,FALSE)-VLOOKUP(A45,'SegEnds_NonXtal_Prot#'!A:AL,7,FALSE)</f>
        <v>15</v>
      </c>
      <c r="AD45" s="1">
        <f>VLOOKUP(A45,'SegEnds_NonXtal_Prot#'!A:AL,13,FALSE)-VLOOKUP(A45,'SegEnds_NonXtal_Prot#'!A:AL,10,FALSE)</f>
        <v>20</v>
      </c>
      <c r="AE45" s="1">
        <f>VLOOKUP(A45,'SegEnds_NonXtal_Prot#'!A:AL,16,FALSE)-VLOOKUP(A45,'SegEnds_NonXtal_Prot#'!A:AL,10,FALSE)</f>
        <v>52</v>
      </c>
      <c r="AF45" s="1" t="e">
        <f>VLOOKUP(A45,'SegEnds_NonXtal_Prot#'!A:AL,22,FALSE)-VLOOKUP(A45,'SegEnds_NonXtal_Prot#'!A:AL,19,FALSE)</f>
        <v>#VALUE!</v>
      </c>
      <c r="AG45" s="1">
        <f>VLOOKUP(A45,'SegEnds_NonXtal_Prot#'!A:AL,28,FALSE)-VLOOKUP(A45,'SegEnds_NonXtal_Prot#'!A:AL,25,FALSE)</f>
        <v>27</v>
      </c>
      <c r="AH45" s="1">
        <f>VLOOKUP(A45,'SegEnds_NonXtal_Prot#'!A:AL,28,FALSE)-VLOOKUP(A45,'SegEnds_NonXtal_Prot#'!A:AL,22,FALSE)</f>
        <v>57</v>
      </c>
      <c r="AI45" s="1">
        <f>VLOOKUP(A45,'SegEnds_NonXtal_Prot#'!A:AL,31,FALSE)-VLOOKUP(A45,'SegEnds_NonXtal_Prot#'!A:AL,28,FALSE)</f>
        <v>56</v>
      </c>
      <c r="AJ45" s="1">
        <f>VLOOKUP(A45,'SegEnds_NonXtal_Prot#'!A:AL,34,FALSE)-VLOOKUP(A45,'SegEnds_NonXtal_Prot#'!A:AL,31,FALSE)</f>
        <v>35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NoXtal</v>
      </c>
    </row>
    <row r="46" spans="1:38" x14ac:dyDescent="0.2">
      <c r="A46" s="1" t="s">
        <v>278</v>
      </c>
      <c r="B46" s="1" t="str">
        <f>VLOOKUP(A46,Xtal_Templ!A:B,2,FALSE)</f>
        <v>hrh1_human</v>
      </c>
      <c r="C46" s="5">
        <f>VLOOKUP($B46&amp;"__wt",'SegEnds_Xtal_BW#'!$A:$Z,3,FALSE)</f>
        <v>34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f>VLOOKUP($B46&amp;"__wt",'SegEnds_Xtal_BW#'!$A:$Z,14,FALSE)</f>
        <v>57</v>
      </c>
      <c r="O46" s="87">
        <f>VLOOKUP($B46&amp;"__wt",'SegEnds_Xtal_BW#'!$A:$Z,15,FALSE)</f>
        <v>38</v>
      </c>
      <c r="P46" s="1">
        <f>VLOOKUP($B46&amp;"__wt",'SegEnds_Xtal_BW#'!$A:$Z,16,FALSE)</f>
        <v>62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INDEX(ICL3_classA!$G$2:$G$37,MATCH(MIN(ABS(AI46-ICL3_classA!$F$2:$F$37)),ABS(AI46-ICL3_classA!$F$2:$F$37),0))</f>
        <v>76</v>
      </c>
      <c r="U46" s="1">
        <f t="array" ref="U46">INDEX(ICL3_classA!$H$2:$H$37,MATCH(MIN(ABS(AI46-ICL3_classA!$F$2:$F$37)),ABS(AI46-ICL3_classA!$F$2:$F$37),0))</f>
        <v>24</v>
      </c>
      <c r="V46" s="1">
        <v>61</v>
      </c>
      <c r="W46" s="1">
        <v>31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28</v>
      </c>
      <c r="AC46" s="1">
        <f>VLOOKUP(A46,'SegEnds_NonXtal_Prot#'!A:AL,10,FALSE)-VLOOKUP(A46,'SegEnds_NonXtal_Prot#'!A:AL,7,FALSE)</f>
        <v>15</v>
      </c>
      <c r="AD46" s="1">
        <f>VLOOKUP(A46,'SegEnds_NonXtal_Prot#'!A:AL,13,FALSE)-VLOOKUP(A46,'SegEnds_NonXtal_Prot#'!A:AL,10,FALSE)</f>
        <v>20</v>
      </c>
      <c r="AE46" s="1">
        <f>VLOOKUP(A46,'SegEnds_NonXtal_Prot#'!A:AL,16,FALSE)-VLOOKUP(A46,'SegEnds_NonXtal_Prot#'!A:AL,10,FALSE)</f>
        <v>52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22</v>
      </c>
      <c r="AH46" s="1">
        <f>VLOOKUP(A46,'SegEnds_NonXtal_Prot#'!A:AL,28,FALSE)-VLOOKUP(A46,'SegEnds_NonXtal_Prot#'!A:AL,22,FALSE)</f>
        <v>50</v>
      </c>
      <c r="AI46" s="1">
        <f>VLOOKUP(A46,'SegEnds_NonXtal_Prot#'!A:AL,31,FALSE)-VLOOKUP(A46,'SegEnds_NonXtal_Prot#'!A:AL,28,FALSE)</f>
        <v>228</v>
      </c>
      <c r="AJ46" s="1">
        <f>VLOOKUP(A46,'SegEnds_NonXtal_Prot#'!A:AL,34,FALSE)-VLOOKUP(A46,'SegEnds_NonXtal_Prot#'!A:AL,31,FALSE)</f>
        <v>35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Xtal</v>
      </c>
    </row>
    <row r="47" spans="1:38" x14ac:dyDescent="0.2">
      <c r="A47" s="1" t="s">
        <v>103</v>
      </c>
      <c r="B47" s="1" t="str">
        <f>VLOOKUP(A47,Xtal_Templ!A:B,2,FALSE)</f>
        <v>lpar1_human</v>
      </c>
      <c r="C47" s="5">
        <f>VLOOKUP($B47&amp;"__wt",'SegEnds_Xtal_BW#'!$A:$Z,3,FALSE)</f>
        <v>30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63</v>
      </c>
      <c r="I47" s="1">
        <f>VLOOKUP($B47&amp;"__wt",'SegEnds_Xtal_BW#'!$A:$Z,9,FALSE)</f>
        <v>47</v>
      </c>
      <c r="J47" s="1">
        <f>VLOOKUP($B47&amp;"__wt",'SegEnds_Xtal_BW#'!$A:$Z,10,FALSE)</f>
        <v>53</v>
      </c>
      <c r="K47" s="12">
        <f>VLOOKUP($B47&amp;"__wt",'SegEnds_Xtal_BW#'!$A:$Z,11,FALSE)</f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f>VLOOKUP($B47&amp;"__wt",'SegEnds_Xtal_BW#'!$A:$Z,14,FALSE)</f>
        <v>56</v>
      </c>
      <c r="O47" s="87">
        <f>VLOOKUP($B47&amp;"__wt",'SegEnds_Xtal_BW#'!$A:$Z,15,FALSE)</f>
        <v>38</v>
      </c>
      <c r="P47" s="1">
        <f>VLOOKUP($B47&amp;"__wt",'SegEnds_Xtal_BW#'!$A:$Z,16,FALSE)</f>
        <v>63</v>
      </c>
      <c r="Q47" s="1" t="str">
        <f>VLOOKUP($B47&amp;"__wt",'SegEnds_Xtal_BW#'!$A:$Z,17,FALSE)</f>
        <v>-</v>
      </c>
      <c r="R47" s="1" t="str">
        <f>VLOOKUP($B47&amp;"__wt",'SegEnds_Xtal_BW#'!$A:$Z,18,FALSE)</f>
        <v>-</v>
      </c>
      <c r="S47" s="1">
        <f>VLOOKUP($B47&amp;"__wt",'SegEnds_Xtal_BW#'!$A:$Z,19,FALSE)</f>
        <v>36</v>
      </c>
      <c r="T47" s="1">
        <f t="array" ref="T47">INDEX(ICL3_classA!$G$2:$G$37,MATCH(MIN(ABS(AI47-ICL3_classA!$F$2:$F$37)),ABS(AI47-ICL3_classA!$F$2:$F$37),0))</f>
        <v>73</v>
      </c>
      <c r="U47" s="1">
        <f t="array" ref="U47">INDEX(ICL3_classA!$H$2:$H$37,MATCH(MIN(ABS(AI47-ICL3_classA!$F$2:$F$37)),ABS(AI47-ICL3_classA!$F$2:$F$37),0))</f>
        <v>22</v>
      </c>
      <c r="V47" s="1">
        <v>61</v>
      </c>
      <c r="W47" s="1">
        <v>30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28</v>
      </c>
      <c r="AC47" s="1">
        <f>VLOOKUP(A47,'SegEnds_NonXtal_Prot#'!A:AL,10,FALSE)-VLOOKUP(A47,'SegEnds_NonXtal_Prot#'!A:AL,7,FALSE)</f>
        <v>15</v>
      </c>
      <c r="AD47" s="1">
        <f>VLOOKUP(A47,'SegEnds_NonXtal_Prot#'!A:AL,13,FALSE)-VLOOKUP(A47,'SegEnds_NonXtal_Prot#'!A:AL,10,FALSE)</f>
        <v>18</v>
      </c>
      <c r="AE47" s="1">
        <f>VLOOKUP(A47,'SegEnds_NonXtal_Prot#'!A:AL,16,FALSE)-VLOOKUP(A47,'SegEnds_NonXtal_Prot#'!A:AL,10,FALSE)</f>
        <v>51</v>
      </c>
      <c r="AF47" s="1">
        <f>VLOOKUP(A47,'SegEnds_NonXtal_Prot#'!A:AL,22,FALSE)-VLOOKUP(A47,'SegEnds_NonXtal_Prot#'!A:AL,19,FALSE)</f>
        <v>19</v>
      </c>
      <c r="AG47" s="1" t="e">
        <f>VLOOKUP(A47,'SegEnds_NonXtal_Prot#'!A:AL,28,FALSE)-VLOOKUP(A47,'SegEnds_NonXtal_Prot#'!A:AL,25,FALSE)</f>
        <v>#VALUE!</v>
      </c>
      <c r="AH47" s="1">
        <f>VLOOKUP(A47,'SegEnds_NonXtal_Prot#'!A:AL,28,FALSE)-VLOOKUP(A47,'SegEnds_NonXtal_Prot#'!A:AL,22,FALSE)</f>
        <v>45</v>
      </c>
      <c r="AI47" s="1">
        <f>VLOOKUP(A47,'SegEnds_NonXtal_Prot#'!A:AL,31,FALSE)-VLOOKUP(A47,'SegEnds_NonXtal_Prot#'!A:AL,28,FALSE)</f>
        <v>56</v>
      </c>
      <c r="AJ47" s="1">
        <f>VLOOKUP(A47,'SegEnds_NonXtal_Prot#'!A:AL,34,FALSE)-VLOOKUP(A47,'SegEnds_NonXtal_Prot#'!A:AL,31,FALSE)</f>
        <v>35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Xtal</v>
      </c>
    </row>
    <row r="48" spans="1:38" x14ac:dyDescent="0.2">
      <c r="A48" s="1" t="s">
        <v>366</v>
      </c>
      <c r="B48" s="1" t="str">
        <f>VLOOKUP(A48,Xtal_Templ!A:B,2,FALSE)</f>
        <v>pe2r4_human</v>
      </c>
      <c r="C48" s="5">
        <f>VLOOKUP($B48&amp;"__wt",'SegEnds_Xtal_BW#'!$A:$Z,3,FALSE)</f>
        <v>33</v>
      </c>
      <c r="D48" s="1">
        <f>VLOOKUP($B48&amp;"__wt",'SegEnds_Xtal_BW#'!$A:$Z,4,FALSE)</f>
        <v>58</v>
      </c>
      <c r="E48" s="1" t="str">
        <f>VLOOKUP($B48&amp;"__wt",'SegEnds_Xtal_BW#'!$A:$Z,5,FALSE)</f>
        <v>-</v>
      </c>
      <c r="F48" s="1" t="str">
        <f>VLOOKUP($B48&amp;"__wt",'SegEnds_Xtal_BW#'!$A:$Z,6,FALSE)</f>
        <v>-</v>
      </c>
      <c r="G48" s="1">
        <v>37</v>
      </c>
      <c r="H48" s="12">
        <v>67</v>
      </c>
      <c r="I48" s="1">
        <f>VLOOKUP($B48&amp;"__wt",'SegEnds_Xtal_BW#'!$A:$Z,9,FALSE)</f>
        <v>49</v>
      </c>
      <c r="J48" s="1">
        <f>VLOOKUP($B48&amp;"__wt",'SegEnds_Xtal_BW#'!$A:$Z,10,FALSE)</f>
        <v>52</v>
      </c>
      <c r="K48" s="12">
        <v>18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7">
        <f>VLOOKUP($B48&amp;"__wt",'SegEnds_Xtal_BW#'!$A:$Z,15,FALSE)</f>
        <v>38</v>
      </c>
      <c r="P48" s="1">
        <f>VLOOKUP($B48&amp;"__wt",'SegEnds_Xtal_BW#'!$A:$Z,16,FALSE)</f>
        <v>63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33</v>
      </c>
      <c r="T48" s="1">
        <f t="array" ref="T48">INDEX(ICL3_classA!$G$2:$G$37,MATCH(MIN(ABS(AI48-ICL3_classA!$F$2:$F$37)),ABS(AI48-ICL3_classA!$F$2:$F$37),0))</f>
        <v>73</v>
      </c>
      <c r="U48" s="1">
        <f t="array" ref="U48">INDEX(ICL3_classA!$H$2:$H$37,MATCH(MIN(ABS(AI48-ICL3_classA!$F$2:$F$37)),ABS(AI48-ICL3_classA!$F$2:$F$37),0))</f>
        <v>22</v>
      </c>
      <c r="V48" s="1">
        <v>61</v>
      </c>
      <c r="W48" s="1">
        <v>31</v>
      </c>
      <c r="X48" s="108">
        <v>56</v>
      </c>
      <c r="Y48" s="1">
        <f>VLOOKUP($B48&amp;"__wt",'SegEnds_Xtal_BW#'!$A:$Z,25,FALSE)</f>
        <v>47</v>
      </c>
      <c r="Z48" s="1">
        <f>VLOOKUP($B48&amp;"__wt",'SegEnds_Xtal_BW#'!$A:$Z,26,FALSE)</f>
        <v>60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29</v>
      </c>
      <c r="AC48" s="1" t="e">
        <f>VLOOKUP(A48,'SegEnds_NonXtal_Prot#'!A:AL,10,FALSE)-VLOOKUP(A48,'SegEnds_NonXtal_Prot#'!A:AL,7,FALSE)</f>
        <v>#VALUE!</v>
      </c>
      <c r="AD48" s="1" t="e">
        <f>VLOOKUP(A48,'SegEnds_NonXtal_Prot#'!A:AL,13,FALSE)-VLOOKUP(A48,'SegEnds_NonXtal_Prot#'!A:AL,10,FALSE)</f>
        <v>#VALUE!</v>
      </c>
      <c r="AE48" s="1">
        <f>VLOOKUP(A48,'SegEnds_NonXtal_Prot#'!A:AL,16,FALSE)-VLOOKUP(A48,'SegEnds_NonXtal_Prot#'!A:AL,10,FALSE)</f>
        <v>57</v>
      </c>
      <c r="AF48" s="1">
        <f>VLOOKUP(A48,'SegEnds_NonXtal_Prot#'!A:AL,22,FALSE)-VLOOKUP(A48,'SegEnds_NonXtal_Prot#'!A:AL,19,FALSE)</f>
        <v>20</v>
      </c>
      <c r="AG48" s="1">
        <f>VLOOKUP(A48,'SegEnds_NonXtal_Prot#'!A:AL,28,FALSE)-VLOOKUP(A48,'SegEnds_NonXtal_Prot#'!A:AL,25,FALSE)</f>
        <v>27</v>
      </c>
      <c r="AH48" s="1">
        <f>VLOOKUP(A48,'SegEnds_NonXtal_Prot#'!A:AL,28,FALSE)-VLOOKUP(A48,'SegEnds_NonXtal_Prot#'!A:AL,22,FALSE)</f>
        <v>53</v>
      </c>
      <c r="AI48" s="1">
        <f>VLOOKUP(A48,'SegEnds_NonXtal_Prot#'!A:AL,31,FALSE)-VLOOKUP(A48,'SegEnds_NonXtal_Prot#'!A:AL,28,FALSE)</f>
        <v>57</v>
      </c>
      <c r="AJ48" s="1">
        <f>VLOOKUP(A48,'SegEnds_NonXtal_Prot#'!A:AL,34,FALSE)-VLOOKUP(A48,'SegEnds_NonXtal_Prot#'!A:AL,31,FALSE)</f>
        <v>35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NoXtal</v>
      </c>
    </row>
    <row r="49" spans="1:38" x14ac:dyDescent="0.2">
      <c r="A49" s="1" t="s">
        <v>375</v>
      </c>
      <c r="B49" s="1" t="str">
        <f>VLOOKUP(A49,Xtal_Templ!A:B,2,FALSE)</f>
        <v>aa1r_human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50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08">
        <v>56</v>
      </c>
      <c r="O49" s="87">
        <f>VLOOKUP($B49&amp;"__wt",'SegEnds_Xtal_BW#'!$A:$Z,15,FALSE)</f>
        <v>38</v>
      </c>
      <c r="P49" s="1">
        <f>VLOOKUP($B49&amp;"__wt",'SegEnds_Xtal_BW#'!$A:$Z,16,FALSE)</f>
        <v>63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v>35</v>
      </c>
      <c r="T49" s="1">
        <f t="array" ref="T49">INDEX(ICL3_classA!$G$2:$G$37,MATCH(MIN(ABS(AI49-ICL3_classA!$F$2:$F$37)),ABS(AI49-ICL3_classA!$F$2:$F$37),0))</f>
        <v>72</v>
      </c>
      <c r="U49" s="1">
        <f t="array" ref="U49">INDEX(ICL3_classA!$H$2:$H$37,MATCH(MIN(ABS(AI49-ICL3_classA!$F$2:$F$37)),ABS(AI49-ICL3_classA!$F$2:$F$37),0))</f>
        <v>24</v>
      </c>
      <c r="V49" s="1">
        <v>61</v>
      </c>
      <c r="W49" s="1">
        <v>31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69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 t="e">
        <f>VLOOKUP(A49,'SegEnds_NonXtal_Prot#'!A:AL,13,FALSE)-VLOOKUP(A49,'SegEnds_NonXtal_Prot#'!A:AL,10,FALSE)</f>
        <v>#VALUE!</v>
      </c>
      <c r="AE49" s="1">
        <f>VLOOKUP(A49,'SegEnds_NonXtal_Prot#'!A:AL,16,FALSE)-VLOOKUP(A49,'SegEnds_NonXtal_Prot#'!A:AL,10,FALSE)</f>
        <v>59</v>
      </c>
      <c r="AF49" s="1">
        <f>VLOOKUP(A49,'SegEnds_NonXtal_Prot#'!A:AL,22,FALSE)-VLOOKUP(A49,'SegEnds_NonXtal_Prot#'!A:AL,19,FALSE)</f>
        <v>19</v>
      </c>
      <c r="AG49" s="1">
        <f>VLOOKUP(A49,'SegEnds_NonXtal_Prot#'!A:AL,28,FALSE)-VLOOKUP(A49,'SegEnds_NonXtal_Prot#'!A:AL,25,FALSE)</f>
        <v>28</v>
      </c>
      <c r="AH49" s="1">
        <f>VLOOKUP(A49,'SegEnds_NonXtal_Prot#'!A:AL,28,FALSE)-VLOOKUP(A49,'SegEnds_NonXtal_Prot#'!A:AL,22,FALSE)</f>
        <v>55</v>
      </c>
      <c r="AI49" s="1">
        <f>VLOOKUP(A49,'SegEnds_NonXtal_Prot#'!A:AL,31,FALSE)-VLOOKUP(A49,'SegEnds_NonXtal_Prot#'!A:AL,28,FALSE)</f>
        <v>52</v>
      </c>
      <c r="AJ49" s="1">
        <f>VLOOKUP(A49,'SegEnds_NonXtal_Prot#'!A:AL,34,FALSE)-VLOOKUP(A49,'SegEnds_NonXtal_Prot#'!A:AL,31,FALSE)</f>
        <v>35</v>
      </c>
      <c r="AK49" s="1">
        <f>VLOOKUP(A49,'SegEnds_NonXtal_Prot#'!A:AL,37,FALSE)-VLOOKUP(A49,'SegEnds_NonXtal_Prot#'!A:AL,34,FALSE)</f>
        <v>10</v>
      </c>
      <c r="AL49" s="1" t="str">
        <f>IF(ISERROR(MATCH(A49,'SegEnds_Xtal_Prot#'!B:B, 0)), "NoXtal", "Xtal")</f>
        <v>NoXtal</v>
      </c>
    </row>
    <row r="50" spans="1:38" x14ac:dyDescent="0.2">
      <c r="A50" s="1" t="s">
        <v>376</v>
      </c>
      <c r="B50" s="1" t="str">
        <f>VLOOKUP(A50,Xtal_Templ!A:B,2,FALSE)</f>
        <v>aa1r_human</v>
      </c>
      <c r="C50" s="5">
        <f>VLOOKUP($B50&amp;"__wt",'SegEnds_Xtal_BW#'!$A:$Z,3,FALSE)</f>
        <v>29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67</v>
      </c>
      <c r="I50" s="1">
        <f>VLOOKUP($B50&amp;"__wt",'SegEnds_Xtal_BW#'!$A:$Z,9,FALSE)</f>
        <v>50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08">
        <v>56</v>
      </c>
      <c r="O50" s="87">
        <f>VLOOKUP($B50&amp;"__wt",'SegEnds_Xtal_BW#'!$A:$Z,15,FALSE)</f>
        <v>38</v>
      </c>
      <c r="P50" s="1">
        <f>VLOOKUP($B50&amp;"__wt",'SegEnds_Xtal_BW#'!$A:$Z,16,FALSE)</f>
        <v>63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v>35</v>
      </c>
      <c r="T50" s="1">
        <f t="array" ref="T50">INDEX(ICL3_classA!$G$2:$G$37,MATCH(MIN(ABS(AI50-ICL3_classA!$F$2:$F$37)),ABS(AI50-ICL3_classA!$F$2:$F$37),0))</f>
        <v>72</v>
      </c>
      <c r="U50" s="1">
        <f t="array" ref="U50">INDEX(ICL3_classA!$H$2:$H$37,MATCH(MIN(ABS(AI50-ICL3_classA!$F$2:$F$37)),ABS(AI50-ICL3_classA!$F$2:$F$37),0))</f>
        <v>24</v>
      </c>
      <c r="V50" s="1">
        <v>61</v>
      </c>
      <c r="W50" s="1">
        <v>31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69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>
        <f>VLOOKUP(A50,'SegEnds_NonXtal_Prot#'!A:AL,10,FALSE)-VLOOKUP(A50,'SegEnds_NonXtal_Prot#'!A:AL,7,FALSE)</f>
        <v>15</v>
      </c>
      <c r="AD50" s="1">
        <f>VLOOKUP(A50,'SegEnds_NonXtal_Prot#'!A:AL,13,FALSE)-VLOOKUP(A50,'SegEnds_NonXtal_Prot#'!A:AL,10,FALSE)</f>
        <v>24</v>
      </c>
      <c r="AE50" s="1">
        <f>VLOOKUP(A50,'SegEnds_NonXtal_Prot#'!A:AL,16,FALSE)-VLOOKUP(A50,'SegEnds_NonXtal_Prot#'!A:AL,10,FALSE)</f>
        <v>59</v>
      </c>
      <c r="AF50" s="1">
        <f>VLOOKUP(A50,'SegEnds_NonXtal_Prot#'!A:AL,22,FALSE)-VLOOKUP(A50,'SegEnds_NonXtal_Prot#'!A:AL,19,FALSE)</f>
        <v>19</v>
      </c>
      <c r="AG50" s="1">
        <f>VLOOKUP(A50,'SegEnds_NonXtal_Prot#'!A:AL,28,FALSE)-VLOOKUP(A50,'SegEnds_NonXtal_Prot#'!A:AL,25,FALSE)</f>
        <v>28</v>
      </c>
      <c r="AH50" s="1">
        <f>VLOOKUP(A50,'SegEnds_NonXtal_Prot#'!A:AL,28,FALSE)-VLOOKUP(A50,'SegEnds_NonXtal_Prot#'!A:AL,22,FALSE)</f>
        <v>55</v>
      </c>
      <c r="AI50" s="1">
        <f>VLOOKUP(A50,'SegEnds_NonXtal_Prot#'!A:AL,31,FALSE)-VLOOKUP(A50,'SegEnds_NonXtal_Prot#'!A:AL,28,FALSE)</f>
        <v>52</v>
      </c>
      <c r="AJ50" s="1">
        <f>VLOOKUP(A50,'SegEnds_NonXtal_Prot#'!A:AL,34,FALSE)-VLOOKUP(A50,'SegEnds_NonXtal_Prot#'!A:AL,31,FALSE)</f>
        <v>35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NoXtal</v>
      </c>
    </row>
    <row r="51" spans="1:38" x14ac:dyDescent="0.2">
      <c r="A51" s="1" t="s">
        <v>387</v>
      </c>
      <c r="B51" s="1" t="str">
        <f>VLOOKUP(A51,Xtal_Templ!A:B,2,FALSE)</f>
        <v>drd2_human</v>
      </c>
      <c r="C51" s="5">
        <f>VLOOKUP($B51&amp;"__wt",'SegEnds_Xtal_BW#'!$A:$Z,3,FALSE)</f>
        <v>29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f>VLOOKUP($B51&amp;"__wt",'SegEnds_Xtal_BW#'!$A:$Z,8,FALSE)</f>
        <v>68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18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7">
        <v>38</v>
      </c>
      <c r="P51" s="1">
        <f>VLOOKUP($B51&amp;"__wt",'SegEnds_Xtal_BW#'!$A:$Z,16,FALSE)</f>
        <v>62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v>35</v>
      </c>
      <c r="T51" s="1">
        <f t="array" ref="T51">INDEX(ICL3_classA!$G$2:$G$37,MATCH(MIN(ABS(AI51-ICL3_classA!$F$2:$F$37)),ABS(AI51-ICL3_classA!$F$2:$F$37),0))</f>
        <v>74</v>
      </c>
      <c r="U51" s="1">
        <f t="array" ref="U51">INDEX(ICL3_classA!$H$2:$H$37,MATCH(MIN(ABS(AI51-ICL3_classA!$F$2:$F$37)),ABS(AI51-ICL3_classA!$F$2:$F$37),0))</f>
        <v>21</v>
      </c>
      <c r="V51" s="1">
        <v>61</v>
      </c>
      <c r="W51" s="1">
        <v>31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59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>
        <f>VLOOKUP(A51,'SegEnds_NonXtal_Prot#'!A:AL,10,FALSE)-VLOOKUP(A51,'SegEnds_NonXtal_Prot#'!A:AL,7,FALSE)</f>
        <v>15</v>
      </c>
      <c r="AD51" s="1">
        <f>VLOOKUP(A51,'SegEnds_NonXtal_Prot#'!A:AL,13,FALSE)-VLOOKUP(A51,'SegEnds_NonXtal_Prot#'!A:AL,10,FALSE)</f>
        <v>20</v>
      </c>
      <c r="AE51" s="1">
        <f>VLOOKUP(A51,'SegEnds_NonXtal_Prot#'!A:AL,16,FALSE)-VLOOKUP(A51,'SegEnds_NonXtal_Prot#'!A:AL,10,FALSE)</f>
        <v>52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20</v>
      </c>
      <c r="AH51" s="1">
        <f>VLOOKUP(A51,'SegEnds_NonXtal_Prot#'!A:AL,28,FALSE)-VLOOKUP(A51,'SegEnds_NonXtal_Prot#'!A:AL,22,FALSE)</f>
        <v>54</v>
      </c>
      <c r="AI51" s="1">
        <f>VLOOKUP(A51,'SegEnds_NonXtal_Prot#'!A:AL,31,FALSE)-VLOOKUP(A51,'SegEnds_NonXtal_Prot#'!A:AL,28,FALSE)</f>
        <v>64</v>
      </c>
      <c r="AJ51" s="1">
        <f>VLOOKUP(A51,'SegEnds_NonXtal_Prot#'!A:AL,34,FALSE)-VLOOKUP(A51,'SegEnds_NonXtal_Prot#'!A:AL,31,FALSE)</f>
        <v>35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NoXtal</v>
      </c>
    </row>
    <row r="52" spans="1:38" x14ac:dyDescent="0.2">
      <c r="A52" s="1" t="s">
        <v>388</v>
      </c>
      <c r="B52" s="1" t="str">
        <f>VLOOKUP(A52,Xtal_Templ!A:B,2,FALSE)</f>
        <v>adrb2_human</v>
      </c>
      <c r="C52" s="5">
        <f>VLOOKUP($B52&amp;"__wt",'SegEnds_Xtal_BW#'!$A:$Z,3,FALSE)</f>
        <v>25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f>VLOOKUP($B52&amp;"__wt",'SegEnds_Xtal_BW#'!$A:$Z,8,FALSE)</f>
        <v>67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7">
        <f>VLOOKUP($B52&amp;"__wt",'SegEnds_Xtal_BW#'!$A:$Z,15,FALSE)</f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INDEX(ICL3_classA!$G$2:$G$37,MATCH(MIN(ABS(AI52-ICL3_classA!$F$2:$F$37)),ABS(AI52-ICL3_classA!$F$2:$F$37),0))</f>
        <v>73</v>
      </c>
      <c r="U52" s="1">
        <f t="array" ref="U52">INDEX(ICL3_classA!$H$2:$H$37,MATCH(MIN(ABS(AI52-ICL3_classA!$F$2:$F$37)),ABS(AI52-ICL3_classA!$F$2:$F$37),0))</f>
        <v>22</v>
      </c>
      <c r="V52" s="1">
        <v>61</v>
      </c>
      <c r="W52" s="1">
        <v>31</v>
      </c>
      <c r="X52" s="108"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28</v>
      </c>
      <c r="AC52" s="1">
        <f>VLOOKUP(A52,'SegEnds_NonXtal_Prot#'!A:AL,10,FALSE)-VLOOKUP(A52,'SegEnds_NonXtal_Prot#'!A:AL,7,FALSE)</f>
        <v>15</v>
      </c>
      <c r="AD52" s="1">
        <f>VLOOKUP(A52,'SegEnds_NonXtal_Prot#'!A:AL,13,FALSE)-VLOOKUP(A52,'SegEnds_NonXtal_Prot#'!A:AL,10,FALSE)</f>
        <v>20</v>
      </c>
      <c r="AE52" s="1">
        <f>VLOOKUP(A52,'SegEnds_NonXtal_Prot#'!A:AL,16,FALSE)-VLOOKUP(A52,'SegEnds_NonXtal_Prot#'!A:AL,10,FALSE)</f>
        <v>52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20</v>
      </c>
      <c r="AH52" s="1">
        <f>VLOOKUP(A52,'SegEnds_NonXtal_Prot#'!A:AL,28,FALSE)-VLOOKUP(A52,'SegEnds_NonXtal_Prot#'!A:AL,22,FALSE)</f>
        <v>53</v>
      </c>
      <c r="AI52" s="1">
        <f>VLOOKUP(A52,'SegEnds_NonXtal_Prot#'!A:AL,31,FALSE)-VLOOKUP(A52,'SegEnds_NonXtal_Prot#'!A:AL,28,FALSE)</f>
        <v>56</v>
      </c>
      <c r="AJ52" s="1">
        <f>VLOOKUP(A52,'SegEnds_NonXtal_Prot#'!A:AL,34,FALSE)-VLOOKUP(A52,'SegEnds_NonXtal_Prot#'!A:AL,31,FALSE)</f>
        <v>35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389</v>
      </c>
      <c r="B53" s="1" t="str">
        <f>VLOOKUP(A53,Xtal_Templ!A:B,2,FALSE)</f>
        <v>drd2_human</v>
      </c>
      <c r="C53" s="5">
        <f>VLOOKUP($B53&amp;"__wt",'SegEnds_Xtal_BW#'!$A:$Z,3,FALSE)</f>
        <v>29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68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87">
        <f>VLOOKUP($B53&amp;"__wt",'SegEnds_Xtal_BW#'!$A:$Z,15,FALSE)</f>
        <v>38</v>
      </c>
      <c r="P53" s="1">
        <f>VLOOKUP($B53&amp;"__wt",'SegEnds_Xtal_BW#'!$A:$Z,16,FALSE)</f>
        <v>62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INDEX(ICL3_classA!$G$2:$G$37,MATCH(MIN(ABS(AI53-ICL3_classA!$F$2:$F$37)),ABS(AI53-ICL3_classA!$F$2:$F$37),0))</f>
        <v>74</v>
      </c>
      <c r="U53" s="1">
        <f t="array" ref="U53">INDEX(ICL3_classA!$H$2:$H$37,MATCH(MIN(ABS(AI53-ICL3_classA!$F$2:$F$37)),ABS(AI53-ICL3_classA!$F$2:$F$37),0))</f>
        <v>21</v>
      </c>
      <c r="V53" s="1">
        <v>61</v>
      </c>
      <c r="W53" s="1">
        <v>31</v>
      </c>
      <c r="X53" s="108">
        <v>56</v>
      </c>
      <c r="Y53" s="1">
        <f>VLOOKUP($B53&amp;"__wt",'SegEnds_Xtal_BW#'!$A:$Z,25,FALSE)</f>
        <v>47</v>
      </c>
      <c r="Z53" s="1">
        <f>VLOOKUP($B53&amp;"__wt",'SegEnds_Xtal_BW#'!$A:$Z,26,FALSE)</f>
        <v>59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20</v>
      </c>
      <c r="AE53" s="1">
        <f>VLOOKUP(A53,'SegEnds_NonXtal_Prot#'!A:AL,16,FALSE)-VLOOKUP(A53,'SegEnds_NonXtal_Prot#'!A:AL,10,FALSE)</f>
        <v>52</v>
      </c>
      <c r="AF53" s="1">
        <f>VLOOKUP(A53,'SegEnds_NonXtal_Prot#'!A:AL,22,FALSE)-VLOOKUP(A53,'SegEnds_NonXtal_Prot#'!A:AL,19,FALSE)</f>
        <v>20</v>
      </c>
      <c r="AG53" s="1">
        <f>VLOOKUP(A53,'SegEnds_NonXtal_Prot#'!A:AL,28,FALSE)-VLOOKUP(A53,'SegEnds_NonXtal_Prot#'!A:AL,25,FALSE)</f>
        <v>20</v>
      </c>
      <c r="AH53" s="1">
        <f>VLOOKUP(A53,'SegEnds_NonXtal_Prot#'!A:AL,28,FALSE)-VLOOKUP(A53,'SegEnds_NonXtal_Prot#'!A:AL,22,FALSE)</f>
        <v>53</v>
      </c>
      <c r="AI53" s="1">
        <f>VLOOKUP(A53,'SegEnds_NonXtal_Prot#'!A:AL,31,FALSE)-VLOOKUP(A53,'SegEnds_NonXtal_Prot#'!A:AL,28,FALSE)</f>
        <v>62</v>
      </c>
      <c r="AJ53" s="1">
        <f>VLOOKUP(A53,'SegEnds_NonXtal_Prot#'!A:AL,34,FALSE)-VLOOKUP(A53,'SegEnds_NonXtal_Prot#'!A:AL,31,FALSE)</f>
        <v>35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NoXtal</v>
      </c>
    </row>
    <row r="54" spans="1:38" x14ac:dyDescent="0.2">
      <c r="A54" s="1" t="s">
        <v>390</v>
      </c>
      <c r="B54" s="1" t="str">
        <f>VLOOKUP(A54,Xtal_Templ!A:B,2,FALSE)</f>
        <v>5ht1b_human</v>
      </c>
      <c r="C54" s="5">
        <f>VLOOKUP($B54&amp;"__wt",'SegEnds_Xtal_BW#'!$A:$Z,3,FALSE)</f>
        <v>28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68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v>57</v>
      </c>
      <c r="O54" s="87">
        <v>38</v>
      </c>
      <c r="P54" s="1">
        <f>VLOOKUP($B54&amp;"__wt",'SegEnds_Xtal_BW#'!$A:$Z,16,FALSE)</f>
        <v>63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v>35</v>
      </c>
      <c r="T54" s="1">
        <f t="array" ref="T54">INDEX(ICL3_classA!$G$2:$G$37,MATCH(MIN(ABS(AI54-ICL3_classA!$F$2:$F$37)),ABS(AI54-ICL3_classA!$F$2:$F$37),0))</f>
        <v>73</v>
      </c>
      <c r="U54" s="1">
        <f t="array" ref="U54">INDEX(ICL3_classA!$H$2:$H$37,MATCH(MIN(ABS(AI54-ICL3_classA!$F$2:$F$37)),ABS(AI54-ICL3_classA!$F$2:$F$37),0))</f>
        <v>22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58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20</v>
      </c>
      <c r="AE54" s="1">
        <f>VLOOKUP(A54,'SegEnds_NonXtal_Prot#'!A:AL,16,FALSE)-VLOOKUP(A54,'SegEnds_NonXtal_Prot#'!A:AL,10,FALSE)</f>
        <v>52</v>
      </c>
      <c r="AF54" s="1">
        <f>VLOOKUP(A54,'SegEnds_NonXtal_Prot#'!A:AL,22,FALSE)-VLOOKUP(A54,'SegEnds_NonXtal_Prot#'!A:AL,19,FALSE)</f>
        <v>20</v>
      </c>
      <c r="AG54" s="1">
        <f>VLOOKUP(A54,'SegEnds_NonXtal_Prot#'!A:AL,28,FALSE)-VLOOKUP(A54,'SegEnds_NonXtal_Prot#'!A:AL,25,FALSE)</f>
        <v>19</v>
      </c>
      <c r="AH54" s="1">
        <f>VLOOKUP(A54,'SegEnds_NonXtal_Prot#'!A:AL,28,FALSE)-VLOOKUP(A54,'SegEnds_NonXtal_Prot#'!A:AL,22,FALSE)</f>
        <v>52</v>
      </c>
      <c r="AI54" s="1">
        <f>VLOOKUP(A54,'SegEnds_NonXtal_Prot#'!A:AL,31,FALSE)-VLOOKUP(A54,'SegEnds_NonXtal_Prot#'!A:AL,28,FALSE)</f>
        <v>56</v>
      </c>
      <c r="AJ54" s="1">
        <f>VLOOKUP(A54,'SegEnds_NonXtal_Prot#'!A:AL,34,FALSE)-VLOOKUP(A54,'SegEnds_NonXtal_Prot#'!A:AL,31,FALSE)</f>
        <v>35</v>
      </c>
      <c r="AK54" s="1">
        <f>VLOOKUP(A54,'SegEnds_NonXtal_Prot#'!A:AL,37,FALSE)-VLOOKUP(A54,'SegEnds_NonXtal_Prot#'!A:AL,34,FALSE)</f>
        <v>10</v>
      </c>
      <c r="AL54" s="1" t="str">
        <f>IF(ISERROR(MATCH(A54,'SegEnds_Xtal_Prot#'!B:B, 0)), "NoXtal", "Xtal")</f>
        <v>NoXtal</v>
      </c>
    </row>
    <row r="55" spans="1:38" x14ac:dyDescent="0.2">
      <c r="A55" s="1" t="s">
        <v>391</v>
      </c>
      <c r="B55" s="1" t="str">
        <f>VLOOKUP(A55,Xtal_Templ!A:B,2,FALSE)</f>
        <v>5ht1b_human</v>
      </c>
      <c r="C55" s="5">
        <f>VLOOKUP($B55&amp;"__wt",'SegEnds_Xtal_BW#'!$A:$Z,3,FALSE)</f>
        <v>28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68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7">
        <v>38</v>
      </c>
      <c r="P55" s="1">
        <f>VLOOKUP($B55&amp;"__wt",'SegEnds_Xtal_BW#'!$A:$Z,16,FALSE)</f>
        <v>63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INDEX(ICL3_classA!$G$2:$G$37,MATCH(MIN(ABS(AI55-ICL3_classA!$F$2:$F$37)),ABS(AI55-ICL3_classA!$F$2:$F$37),0))</f>
        <v>74</v>
      </c>
      <c r="U55" s="1">
        <f t="array" ref="U55">INDEX(ICL3_classA!$H$2:$H$37,MATCH(MIN(ABS(AI55-ICL3_classA!$F$2:$F$37)),ABS(AI55-ICL3_classA!$F$2:$F$37),0))</f>
        <v>21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58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20</v>
      </c>
      <c r="AE55" s="1">
        <f>VLOOKUP(A55,'SegEnds_NonXtal_Prot#'!A:AL,16,FALSE)-VLOOKUP(A55,'SegEnds_NonXtal_Prot#'!A:AL,10,FALSE)</f>
        <v>52</v>
      </c>
      <c r="AF55" s="1">
        <f>VLOOKUP(A55,'SegEnds_NonXtal_Prot#'!A:AL,22,FALSE)-VLOOKUP(A55,'SegEnds_NonXtal_Prot#'!A:AL,19,FALSE)</f>
        <v>20</v>
      </c>
      <c r="AG55" s="1">
        <f>VLOOKUP(A55,'SegEnds_NonXtal_Prot#'!A:AL,28,FALSE)-VLOOKUP(A55,'SegEnds_NonXtal_Prot#'!A:AL,25,FALSE)</f>
        <v>19</v>
      </c>
      <c r="AH55" s="1">
        <f>VLOOKUP(A55,'SegEnds_NonXtal_Prot#'!A:AL,28,FALSE)-VLOOKUP(A55,'SegEnds_NonXtal_Prot#'!A:AL,22,FALSE)</f>
        <v>52</v>
      </c>
      <c r="AI55" s="1">
        <f>VLOOKUP(A55,'SegEnds_NonXtal_Prot#'!A:AL,31,FALSE)-VLOOKUP(A55,'SegEnds_NonXtal_Prot#'!A:AL,28,FALSE)</f>
        <v>64</v>
      </c>
      <c r="AJ55" s="1">
        <f>VLOOKUP(A55,'SegEnds_NonXtal_Prot#'!A:AL,34,FALSE)-VLOOKUP(A55,'SegEnds_NonXtal_Prot#'!A:AL,31,FALSE)</f>
        <v>35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1" t="s">
        <v>392</v>
      </c>
      <c r="B56" s="1" t="str">
        <f>VLOOKUP(A56,Xtal_Templ!A:B,2,FALSE)</f>
        <v>5ht1b_human</v>
      </c>
      <c r="C56" s="5">
        <f>VLOOKUP($B56&amp;"__wt",'SegEnds_Xtal_BW#'!$A:$Z,3,FALSE)</f>
        <v>28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68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7">
        <v>38</v>
      </c>
      <c r="P56" s="1">
        <f>VLOOKUP($B56&amp;"__wt",'SegEnds_Xtal_BW#'!$A:$Z,16,FALSE)</f>
        <v>63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v>35</v>
      </c>
      <c r="T56" s="1">
        <f t="array" ref="T56">INDEX(ICL3_classA!$G$2:$G$37,MATCH(MIN(ABS(AI56-ICL3_classA!$F$2:$F$37)),ABS(AI56-ICL3_classA!$F$2:$F$37),0))</f>
        <v>74</v>
      </c>
      <c r="U56" s="1">
        <f t="array" ref="U56">INDEX(ICL3_classA!$H$2:$H$37,MATCH(MIN(ABS(AI56-ICL3_classA!$F$2:$F$37)),ABS(AI56-ICL3_classA!$F$2:$F$37),0))</f>
        <v>21</v>
      </c>
      <c r="V56" s="1">
        <v>61</v>
      </c>
      <c r="W56" s="1">
        <v>31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58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28</v>
      </c>
      <c r="AC56" s="1">
        <f>VLOOKUP(A56,'SegEnds_NonXtal_Prot#'!A:AL,10,FALSE)-VLOOKUP(A56,'SegEnds_NonXtal_Prot#'!A:AL,7,FALSE)</f>
        <v>15</v>
      </c>
      <c r="AD56" s="1">
        <f>VLOOKUP(A56,'SegEnds_NonXtal_Prot#'!A:AL,13,FALSE)-VLOOKUP(A56,'SegEnds_NonXtal_Prot#'!A:AL,10,FALSE)</f>
        <v>20</v>
      </c>
      <c r="AE56" s="1">
        <f>VLOOKUP(A56,'SegEnds_NonXtal_Prot#'!A:AL,16,FALSE)-VLOOKUP(A56,'SegEnds_NonXtal_Prot#'!A:AL,10,FALSE)</f>
        <v>52</v>
      </c>
      <c r="AF56" s="1">
        <f>VLOOKUP(A56,'SegEnds_NonXtal_Prot#'!A:AL,22,FALSE)-VLOOKUP(A56,'SegEnds_NonXtal_Prot#'!A:AL,19,FALSE)</f>
        <v>20</v>
      </c>
      <c r="AG56" s="1">
        <f>VLOOKUP(A56,'SegEnds_NonXtal_Prot#'!A:AL,28,FALSE)-VLOOKUP(A56,'SegEnds_NonXtal_Prot#'!A:AL,25,FALSE)</f>
        <v>19</v>
      </c>
      <c r="AH56" s="1">
        <f>VLOOKUP(A56,'SegEnds_NonXtal_Prot#'!A:AL,28,FALSE)-VLOOKUP(A56,'SegEnds_NonXtal_Prot#'!A:AL,22,FALSE)</f>
        <v>52</v>
      </c>
      <c r="AI56" s="1">
        <f>VLOOKUP(A56,'SegEnds_NonXtal_Prot#'!A:AL,31,FALSE)-VLOOKUP(A56,'SegEnds_NonXtal_Prot#'!A:AL,28,FALSE)</f>
        <v>64</v>
      </c>
      <c r="AJ56" s="1">
        <f>VLOOKUP(A56,'SegEnds_NonXtal_Prot#'!A:AL,34,FALSE)-VLOOKUP(A56,'SegEnds_NonXtal_Prot#'!A:AL,31,FALSE)</f>
        <v>35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NoXtal</v>
      </c>
    </row>
    <row r="57" spans="1:38" x14ac:dyDescent="0.2">
      <c r="A57" s="1" t="s">
        <v>393</v>
      </c>
      <c r="B57" s="1" t="str">
        <f>VLOOKUP(A57,Xtal_Templ!A:B,2,FALSE)</f>
        <v>5ht1b_human</v>
      </c>
      <c r="C57" s="5">
        <f>VLOOKUP($B57&amp;"__wt",'SegEnds_Xtal_BW#'!$A:$Z,3,FALSE)</f>
        <v>28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68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7">
        <v>38</v>
      </c>
      <c r="P57" s="1">
        <f>VLOOKUP($B57&amp;"__wt",'SegEnds_Xtal_BW#'!$A:$Z,16,FALSE)</f>
        <v>63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v>35</v>
      </c>
      <c r="T57" s="1">
        <f t="array" ref="T57">INDEX(ICL3_classA!$G$2:$G$37,MATCH(MIN(ABS(AI57-ICL3_classA!$F$2:$F$37)),ABS(AI57-ICL3_classA!$F$2:$F$37),0))</f>
        <v>74</v>
      </c>
      <c r="U57" s="1">
        <f t="array" ref="U57">INDEX(ICL3_classA!$H$2:$H$37,MATCH(MIN(ABS(AI57-ICL3_classA!$F$2:$F$37)),ABS(AI57-ICL3_classA!$F$2:$F$37),0))</f>
        <v>21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58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20</v>
      </c>
      <c r="AE57" s="1">
        <f>VLOOKUP(A57,'SegEnds_NonXtal_Prot#'!A:AL,16,FALSE)-VLOOKUP(A57,'SegEnds_NonXtal_Prot#'!A:AL,10,FALSE)</f>
        <v>52</v>
      </c>
      <c r="AF57" s="1">
        <f>VLOOKUP(A57,'SegEnds_NonXtal_Prot#'!A:AL,22,FALSE)-VLOOKUP(A57,'SegEnds_NonXtal_Prot#'!A:AL,19,FALSE)</f>
        <v>20</v>
      </c>
      <c r="AG57" s="1">
        <f>VLOOKUP(A57,'SegEnds_NonXtal_Prot#'!A:AL,28,FALSE)-VLOOKUP(A57,'SegEnds_NonXtal_Prot#'!A:AL,25,FALSE)</f>
        <v>19</v>
      </c>
      <c r="AH57" s="1">
        <f>VLOOKUP(A57,'SegEnds_NonXtal_Prot#'!A:AL,28,FALSE)-VLOOKUP(A57,'SegEnds_NonXtal_Prot#'!A:AL,22,FALSE)</f>
        <v>52</v>
      </c>
      <c r="AI57" s="1">
        <f>VLOOKUP(A57,'SegEnds_NonXtal_Prot#'!A:AL,31,FALSE)-VLOOKUP(A57,'SegEnds_NonXtal_Prot#'!A:AL,28,FALSE)</f>
        <v>64</v>
      </c>
      <c r="AJ57" s="1">
        <f>VLOOKUP(A57,'SegEnds_NonXtal_Prot#'!A:AL,34,FALSE)-VLOOKUP(A57,'SegEnds_NonXtal_Prot#'!A:AL,31,FALSE)</f>
        <v>35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NoXtal</v>
      </c>
    </row>
    <row r="58" spans="1:38" x14ac:dyDescent="0.2">
      <c r="A58" s="1" t="s">
        <v>131</v>
      </c>
      <c r="B58" s="1" t="str">
        <f>VLOOKUP(A58,Xtal_Templ!A:B,2,FALSE)</f>
        <v>5ht1b_human</v>
      </c>
      <c r="C58" s="5">
        <f>VLOOKUP($B58&amp;"__wt",'SegEnds_Xtal_BW#'!$A:$Z,3,FALSE)</f>
        <v>28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68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v>35</v>
      </c>
      <c r="T58" s="1">
        <f t="array" ref="T58">INDEX(ICL3_classA!$G$2:$G$37,MATCH(MIN(ABS(AI58-ICL3_classA!$F$2:$F$37)),ABS(AI58-ICL3_classA!$F$2:$F$37),0))</f>
        <v>76</v>
      </c>
      <c r="U58" s="1">
        <f t="array" ref="U58">INDEX(ICL3_classA!$H$2:$H$37,MATCH(MIN(ABS(AI58-ICL3_classA!$F$2:$F$37)),ABS(AI58-ICL3_classA!$F$2:$F$37),0))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20</v>
      </c>
      <c r="AE58" s="1">
        <f>VLOOKUP(A58,'SegEnds_NonXtal_Prot#'!A:AL,16,FALSE)-VLOOKUP(A58,'SegEnds_NonXtal_Prot#'!A:AL,10,FALSE)</f>
        <v>52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21</v>
      </c>
      <c r="AH58" s="1">
        <f>VLOOKUP(A58,'SegEnds_NonXtal_Prot#'!A:AL,28,FALSE)-VLOOKUP(A58,'SegEnds_NonXtal_Prot#'!A:AL,22,FALSE)</f>
        <v>45</v>
      </c>
      <c r="AI58" s="1">
        <f>VLOOKUP(A58,'SegEnds_NonXtal_Prot#'!A:AL,31,FALSE)-VLOOKUP(A58,'SegEnds_NonXtal_Prot#'!A:AL,28,FALSE)</f>
        <v>115</v>
      </c>
      <c r="AJ58" s="1">
        <f>VLOOKUP(A58,'SegEnds_NonXtal_Prot#'!A:AL,34,FALSE)-VLOOKUP(A58,'SegEnds_NonXtal_Prot#'!A:AL,31,FALSE)</f>
        <v>36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138</v>
      </c>
      <c r="B59" s="1" t="str">
        <f>VLOOKUP(A59,Xtal_Templ!A:B,2,FALSE)</f>
        <v>aa1r_human</v>
      </c>
      <c r="C59" s="5">
        <f>VLOOKUP($B59&amp;"__wt",'SegEnds_Xtal_BW#'!$A:$Z,3,FALSE)</f>
        <v>29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66</v>
      </c>
      <c r="I59" s="1">
        <f>VLOOKUP($B59&amp;"__wt",'SegEnds_Xtal_BW#'!$A:$Z,9,FALSE)</f>
        <v>50</v>
      </c>
      <c r="J59" s="1">
        <f>VLOOKUP($B59&amp;"__wt",'SegEnds_Xtal_BW#'!$A:$Z,10,FALSE)</f>
        <v>52</v>
      </c>
      <c r="K59" s="12">
        <v>24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v>38</v>
      </c>
      <c r="P59" s="1">
        <f>VLOOKUP($B59&amp;"__wt",'SegEnds_Xtal_BW#'!$A:$Z,16,FALSE)</f>
        <v>63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34</v>
      </c>
      <c r="T59" s="1">
        <f t="array" ref="T59">INDEX(ICL3_classA!$G$2:$G$37,MATCH(MIN(ABS(AI59-ICL3_classA!$F$2:$F$37)),ABS(AI59-ICL3_classA!$F$2:$F$37),0))</f>
        <v>73</v>
      </c>
      <c r="U59" s="1">
        <f t="array" ref="U59">INDEX(ICL3_classA!$H$2:$H$37,MATCH(MIN(ABS(AI59-ICL3_classA!$F$2:$F$37)),ABS(AI59-ICL3_classA!$F$2:$F$37),0))</f>
        <v>22</v>
      </c>
      <c r="V59" s="1">
        <v>61</v>
      </c>
      <c r="W59" s="1">
        <v>31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69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>
        <f>VLOOKUP(A59,'SegEnds_NonXtal_Prot#'!A:AL,13,FALSE)-VLOOKUP(A59,'SegEnds_NonXtal_Prot#'!A:AL,10,FALSE)</f>
        <v>18</v>
      </c>
      <c r="AE59" s="1">
        <f>VLOOKUP(A59,'SegEnds_NonXtal_Prot#'!A:AL,16,FALSE)-VLOOKUP(A59,'SegEnds_NonXtal_Prot#'!A:AL,10,FALSE)</f>
        <v>50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23</v>
      </c>
      <c r="AH59" s="1">
        <f>VLOOKUP(A59,'SegEnds_NonXtal_Prot#'!A:AL,28,FALSE)-VLOOKUP(A59,'SegEnds_NonXtal_Prot#'!A:AL,22,FALSE)</f>
        <v>60</v>
      </c>
      <c r="AI59" s="1">
        <f>VLOOKUP(A59,'SegEnds_NonXtal_Prot#'!A:AL,31,FALSE)-VLOOKUP(A59,'SegEnds_NonXtal_Prot#'!A:AL,28,FALSE)</f>
        <v>57</v>
      </c>
      <c r="AJ59" s="1">
        <f>VLOOKUP(A59,'SegEnds_NonXtal_Prot#'!A:AL,34,FALSE)-VLOOKUP(A59,'SegEnds_NonXtal_Prot#'!A:AL,31,FALSE)</f>
        <v>36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Xtal</v>
      </c>
    </row>
    <row r="60" spans="1:38" x14ac:dyDescent="0.2">
      <c r="A60" s="1" t="s">
        <v>152</v>
      </c>
      <c r="B60" s="1" t="str">
        <f>VLOOKUP(A60,Xtal_Templ!A:B,2,FALSE)</f>
        <v>adrb2_human</v>
      </c>
      <c r="C60" s="5">
        <f>VLOOKUP($B60&amp;"__wt",'SegEnds_Xtal_BW#'!$A:$Z,3,FALSE)</f>
        <v>25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67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v>38</v>
      </c>
      <c r="P60" s="1">
        <f>VLOOKUP($B60&amp;"__wt",'SegEnds_Xtal_BW#'!$A:$Z,16,FALSE)</f>
        <v>64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INDEX(ICL3_classA!$G$2:$G$37,MATCH(MIN(ABS(AI60-ICL3_classA!$F$2:$F$37)),ABS(AI60-ICL3_classA!$F$2:$F$37),0))</f>
        <v>76</v>
      </c>
      <c r="U60" s="1">
        <f t="array" ref="U60">INDEX(ICL3_classA!$H$2:$H$37,MATCH(MIN(ABS(AI60-ICL3_classA!$F$2:$F$37)),ABS(AI60-ICL3_classA!$F$2:$F$37),0))</f>
        <v>24</v>
      </c>
      <c r="V60" s="1">
        <v>61</v>
      </c>
      <c r="W60" s="1">
        <v>31</v>
      </c>
      <c r="X60" s="108">
        <v>56</v>
      </c>
      <c r="Y60" s="1">
        <f>VLOOKUP($B60&amp;"__wt",'SegEnds_Xtal_BW#'!$A:$Z,25,FALSE)</f>
        <v>47</v>
      </c>
      <c r="Z60" s="1">
        <f>VLOOKUP($B60&amp;"__wt",'SegEnds_Xtal_BW#'!$A:$Z,26,FALSE)</f>
        <v>59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>
        <f>VLOOKUP(A60,'SegEnds_NonXtal_Prot#'!A:AL,10,FALSE)-VLOOKUP(A60,'SegEnds_NonXtal_Prot#'!A:AL,7,FALSE)</f>
        <v>15</v>
      </c>
      <c r="AD60" s="1">
        <f>VLOOKUP(A60,'SegEnds_NonXtal_Prot#'!A:AL,13,FALSE)-VLOOKUP(A60,'SegEnds_NonXtal_Prot#'!A:AL,10,FALSE)</f>
        <v>20</v>
      </c>
      <c r="AE60" s="1">
        <f>VLOOKUP(A60,'SegEnds_NonXtal_Prot#'!A:AL,16,FALSE)-VLOOKUP(A60,'SegEnds_NonXtal_Prot#'!A:AL,10,FALSE)</f>
        <v>52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20</v>
      </c>
      <c r="AH60" s="1">
        <f>VLOOKUP(A60,'SegEnds_NonXtal_Prot#'!A:AL,28,FALSE)-VLOOKUP(A60,'SegEnds_NonXtal_Prot#'!A:AL,22,FALSE)</f>
        <v>45</v>
      </c>
      <c r="AI60" s="1">
        <f>VLOOKUP(A60,'SegEnds_NonXtal_Prot#'!A:AL,31,FALSE)-VLOOKUP(A60,'SegEnds_NonXtal_Prot#'!A:AL,28,FALSE)</f>
        <v>91</v>
      </c>
      <c r="AJ60" s="1">
        <f>VLOOKUP(A60,'SegEnds_NonXtal_Prot#'!A:AL,34,FALSE)-VLOOKUP(A60,'SegEnds_NonXtal_Prot#'!A:AL,31,FALSE)</f>
        <v>36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" t="s">
        <v>153</v>
      </c>
      <c r="B61" s="1" t="str">
        <f>VLOOKUP(A61,Xtal_Templ!A:B,2,FALSE)</f>
        <v>drd2_human</v>
      </c>
      <c r="C61" s="5">
        <f>VLOOKUP($B61&amp;"__wt",'SegEnds_Xtal_BW#'!$A:$Z,3,FALSE)</f>
        <v>29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68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v>38</v>
      </c>
      <c r="P61" s="1">
        <f>VLOOKUP($B61&amp;"__wt",'SegEnds_Xtal_BW#'!$A:$Z,16,FALSE)</f>
        <v>62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INDEX(ICL3_classA!$G$2:$G$37,MATCH(MIN(ABS(AI61-ICL3_classA!$F$2:$F$37)),ABS(AI61-ICL3_classA!$F$2:$F$37),0))</f>
        <v>74</v>
      </c>
      <c r="U61" s="1">
        <f t="array" ref="U61">INDEX(ICL3_classA!$H$2:$H$37,MATCH(MIN(ABS(AI61-ICL3_classA!$F$2:$F$37)),ABS(AI61-ICL3_classA!$F$2:$F$37),0))</f>
        <v>24</v>
      </c>
      <c r="V61" s="1">
        <v>61</v>
      </c>
      <c r="W61" s="1">
        <v>31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28</v>
      </c>
      <c r="AC61" s="1">
        <f>VLOOKUP(A61,'SegEnds_NonXtal_Prot#'!A:AL,10,FALSE)-VLOOKUP(A61,'SegEnds_NonXtal_Prot#'!A:AL,7,FALSE)</f>
        <v>15</v>
      </c>
      <c r="AD61" s="1">
        <f>VLOOKUP(A61,'SegEnds_NonXtal_Prot#'!A:AL,13,FALSE)-VLOOKUP(A61,'SegEnds_NonXtal_Prot#'!A:AL,10,FALSE)</f>
        <v>20</v>
      </c>
      <c r="AE61" s="1">
        <f>VLOOKUP(A61,'SegEnds_NonXtal_Prot#'!A:AL,16,FALSE)-VLOOKUP(A61,'SegEnds_NonXtal_Prot#'!A:AL,10,FALSE)</f>
        <v>52</v>
      </c>
      <c r="AF61" s="1">
        <f>VLOOKUP(A61,'SegEnds_NonXtal_Prot#'!A:AL,22,FALSE)-VLOOKUP(A61,'SegEnds_NonXtal_Prot#'!A:AL,19,FALSE)</f>
        <v>20</v>
      </c>
      <c r="AG61" s="1">
        <f>VLOOKUP(A61,'SegEnds_NonXtal_Prot#'!A:AL,28,FALSE)-VLOOKUP(A61,'SegEnds_NonXtal_Prot#'!A:AL,25,FALSE)</f>
        <v>20</v>
      </c>
      <c r="AH61" s="1">
        <f>VLOOKUP(A61,'SegEnds_NonXtal_Prot#'!A:AL,28,FALSE)-VLOOKUP(A61,'SegEnds_NonXtal_Prot#'!A:AL,22,FALSE)</f>
        <v>45</v>
      </c>
      <c r="AI61" s="1">
        <f>VLOOKUP(A61,'SegEnds_NonXtal_Prot#'!A:AL,31,FALSE)-VLOOKUP(A61,'SegEnds_NonXtal_Prot#'!A:AL,28,FALSE)</f>
        <v>94</v>
      </c>
      <c r="AJ61" s="1">
        <f>VLOOKUP(A61,'SegEnds_NonXtal_Prot#'!A:AL,34,FALSE)-VLOOKUP(A61,'SegEnds_NonXtal_Prot#'!A:AL,31,FALSE)</f>
        <v>36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154</v>
      </c>
      <c r="B62" s="1" t="str">
        <f>VLOOKUP(A62,Xtal_Templ!A:B,2,FALSE)</f>
        <v>adrb2_human</v>
      </c>
      <c r="C62" s="5">
        <f>VLOOKUP($B62&amp;"__wt",'SegEnds_Xtal_BW#'!$A:$Z,3,FALSE)</f>
        <v>25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v>35</v>
      </c>
      <c r="T62" s="1">
        <f t="array" ref="T62">INDEX(ICL3_classA!$G$2:$G$37,MATCH(MIN(ABS(AI62-ICL3_classA!$F$2:$F$37)),ABS(AI62-ICL3_classA!$F$2:$F$37),0))</f>
        <v>74</v>
      </c>
      <c r="U62" s="1">
        <f t="array" ref="U62">INDEX(ICL3_classA!$H$2:$H$37,MATCH(MIN(ABS(AI62-ICL3_classA!$F$2:$F$37)),ABS(AI62-ICL3_classA!$F$2:$F$37),0))</f>
        <v>24</v>
      </c>
      <c r="V62" s="1">
        <v>61</v>
      </c>
      <c r="W62" s="1">
        <v>31</v>
      </c>
      <c r="X62" s="108">
        <v>56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28</v>
      </c>
      <c r="AC62" s="1">
        <f>VLOOKUP(A62,'SegEnds_NonXtal_Prot#'!A:AL,10,FALSE)-VLOOKUP(A62,'SegEnds_NonXtal_Prot#'!A:AL,7,FALSE)</f>
        <v>15</v>
      </c>
      <c r="AD62" s="1">
        <f>VLOOKUP(A62,'SegEnds_NonXtal_Prot#'!A:AL,13,FALSE)-VLOOKUP(A62,'SegEnds_NonXtal_Prot#'!A:AL,10,FALSE)</f>
        <v>20</v>
      </c>
      <c r="AE62" s="1">
        <f>VLOOKUP(A62,'SegEnds_NonXtal_Prot#'!A:AL,16,FALSE)-VLOOKUP(A62,'SegEnds_NonXtal_Prot#'!A:AL,10,FALSE)</f>
        <v>52</v>
      </c>
      <c r="AF62" s="1">
        <f>VLOOKUP(A62,'SegEnds_NonXtal_Prot#'!A:AL,22,FALSE)-VLOOKUP(A62,'SegEnds_NonXtal_Prot#'!A:AL,19,FALSE)</f>
        <v>20</v>
      </c>
      <c r="AG62" s="1">
        <f>VLOOKUP(A62,'SegEnds_NonXtal_Prot#'!A:AL,28,FALSE)-VLOOKUP(A62,'SegEnds_NonXtal_Prot#'!A:AL,25,FALSE)</f>
        <v>20</v>
      </c>
      <c r="AH62" s="1">
        <f>VLOOKUP(A62,'SegEnds_NonXtal_Prot#'!A:AL,28,FALSE)-VLOOKUP(A62,'SegEnds_NonXtal_Prot#'!A:AL,22,FALSE)</f>
        <v>45</v>
      </c>
      <c r="AI62" s="1">
        <f>VLOOKUP(A62,'SegEnds_NonXtal_Prot#'!A:AL,31,FALSE)-VLOOKUP(A62,'SegEnds_NonXtal_Prot#'!A:AL,28,FALSE)</f>
        <v>97</v>
      </c>
      <c r="AJ62" s="1">
        <f>VLOOKUP(A62,'SegEnds_NonXtal_Prot#'!A:AL,34,FALSE)-VLOOKUP(A62,'SegEnds_NonXtal_Prot#'!A:AL,31,FALSE)</f>
        <v>36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102</v>
      </c>
      <c r="B63" s="1" t="str">
        <f>VLOOKUP(A63,Xtal_Templ!A:B,2,FALSE)</f>
        <v>adrb2_human</v>
      </c>
      <c r="C63" s="5">
        <f>VLOOKUP($B63&amp;"__wt",'SegEnds_Xtal_BW#'!$A:$Z,3,FALSE)</f>
        <v>25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67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7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v>35</v>
      </c>
      <c r="T63" s="1">
        <f t="array" ref="T63">INDEX(ICL3_classA!$G$2:$G$37,MATCH(MIN(ABS(AI63-ICL3_classA!$F$2:$F$37)),ABS(AI63-ICL3_classA!$F$2:$F$37),0))</f>
        <v>76</v>
      </c>
      <c r="U63" s="1">
        <f t="array" ref="U63">INDEX(ICL3_classA!$H$2:$H$37,MATCH(MIN(ABS(AI63-ICL3_classA!$F$2:$F$37)),ABS(AI63-ICL3_classA!$F$2:$F$37),0))</f>
        <v>24</v>
      </c>
      <c r="V63" s="1">
        <v>61</v>
      </c>
      <c r="W63" s="1">
        <v>31</v>
      </c>
      <c r="X63" s="125">
        <f>VLOOKUP($B63&amp;"__wt",'SegEnds_Xtal_BW#'!$A:$Z,24,FALSE)</f>
        <v>55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28</v>
      </c>
      <c r="AC63" s="1">
        <f>VLOOKUP(A63,'SegEnds_NonXtal_Prot#'!A:AL,10,FALSE)-VLOOKUP(A63,'SegEnds_NonXtal_Prot#'!A:AL,7,FALSE)</f>
        <v>15</v>
      </c>
      <c r="AD63" s="1">
        <f>VLOOKUP(A63,'SegEnds_NonXtal_Prot#'!A:AL,13,FALSE)-VLOOKUP(A63,'SegEnds_NonXtal_Prot#'!A:AL,10,FALSE)</f>
        <v>20</v>
      </c>
      <c r="AE63" s="1">
        <f>VLOOKUP(A63,'SegEnds_NonXtal_Prot#'!A:AL,16,FALSE)-VLOOKUP(A63,'SegEnds_NonXtal_Prot#'!A:AL,10,FALSE)</f>
        <v>52</v>
      </c>
      <c r="AF63" s="1">
        <f>VLOOKUP(A63,'SegEnds_NonXtal_Prot#'!A:AL,22,FALSE)-VLOOKUP(A63,'SegEnds_NonXtal_Prot#'!A:AL,19,FALSE)</f>
        <v>20</v>
      </c>
      <c r="AG63" s="1">
        <f>VLOOKUP(A63,'SegEnds_NonXtal_Prot#'!A:AL,28,FALSE)-VLOOKUP(A63,'SegEnds_NonXtal_Prot#'!A:AL,25,FALSE)</f>
        <v>20</v>
      </c>
      <c r="AH63" s="1">
        <f>VLOOKUP(A63,'SegEnds_NonXtal_Prot#'!A:AL,28,FALSE)-VLOOKUP(A63,'SegEnds_NonXtal_Prot#'!A:AL,22,FALSE)</f>
        <v>54</v>
      </c>
      <c r="AI63" s="1">
        <f>VLOOKUP(A63,'SegEnds_NonXtal_Prot#'!A:AL,31,FALSE)-VLOOKUP(A63,'SegEnds_NonXtal_Prot#'!A:AL,28,FALSE)</f>
        <v>91</v>
      </c>
      <c r="AJ63" s="1">
        <f>VLOOKUP(A63,'SegEnds_NonXtal_Prot#'!A:AL,34,FALSE)-VLOOKUP(A63,'SegEnds_NonXtal_Prot#'!A:AL,31,FALSE)</f>
        <v>36</v>
      </c>
      <c r="AK63" s="1">
        <f>VLOOKUP(A63,'SegEnds_NonXtal_Prot#'!A:AL,37,FALSE)-VLOOKUP(A63,'SegEnds_NonXtal_Prot#'!A:AL,34,FALSE)</f>
        <v>9</v>
      </c>
      <c r="AL63" s="1" t="str">
        <f>IF(ISERROR(MATCH(A63,'SegEnds_Xtal_Prot#'!B:B, 0)), "NoXtal", "Xtal")</f>
        <v>NoXtal</v>
      </c>
    </row>
    <row r="64" spans="1:38" x14ac:dyDescent="0.2">
      <c r="A64" s="1" t="s">
        <v>182</v>
      </c>
      <c r="B64" s="1" t="str">
        <f>VLOOKUP(A64,Xtal_Templ!A:B,2,FALSE)</f>
        <v>cnr1_human</v>
      </c>
      <c r="C64" s="5">
        <f>VLOOKUP($B64&amp;"__wt",'SegEnds_Xtal_BW#'!$A:$Z,3,FALSE)</f>
        <v>28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f>VLOOKUP($B64&amp;"__wt",'SegEnds_Xtal_BW#'!$A:$Z,7,FALSE)</f>
        <v>37</v>
      </c>
      <c r="H64" s="12">
        <f>VLOOKUP($B64&amp;"__wt",'SegEnds_Xtal_BW#'!$A:$Z,8,FALSE)</f>
        <v>66</v>
      </c>
      <c r="I64" s="1" t="str">
        <f>VLOOKUP($B64&amp;"__wt",'SegEnds_Xtal_BW#'!$A:$Z,9,FALSE)</f>
        <v>-</v>
      </c>
      <c r="J64" s="1" t="str">
        <f>VLOOKUP($B64&amp;"__wt",'SegEnds_Xtal_BW#'!$A:$Z,10,FALSE)</f>
        <v>-</v>
      </c>
      <c r="K64" s="12">
        <f>VLOOKUP($B64&amp;"__wt",'SegEnds_Xtal_BW#'!$A:$Z,11,FALSE)</f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7">
        <f>VLOOKUP($B64&amp;"__wt",'SegEnds_Xtal_BW#'!$A:$Z,15,FALSE)</f>
        <v>38</v>
      </c>
      <c r="P64" s="1">
        <f>VLOOKUP($B64&amp;"__wt",'SegEnds_Xtal_BW#'!$A:$Z,16,FALSE)</f>
        <v>63</v>
      </c>
      <c r="Q64" s="1" t="str">
        <f>VLOOKUP($B64&amp;"__wt",'SegEnds_Xtal_BW#'!$A:$Z,17,FALSE)</f>
        <v>-</v>
      </c>
      <c r="R64" s="1" t="str">
        <f>VLOOKUP($B64&amp;"__wt",'SegEnds_Xtal_BW#'!$A:$Z,18,FALSE)</f>
        <v>-</v>
      </c>
      <c r="S64" s="1">
        <f>VLOOKUP($B64&amp;"__wt",'SegEnds_Xtal_BW#'!$A:$Z,19,FALSE)</f>
        <v>36</v>
      </c>
      <c r="T64" s="1">
        <f t="array" ref="T64">INDEX(ICL3_classA!$G$2:$G$37,MATCH(MIN(ABS(AI64-ICL3_classA!$F$2:$F$37)),ABS(AI64-ICL3_classA!$F$2:$F$37),0))</f>
        <v>76</v>
      </c>
      <c r="U64" s="1">
        <f t="array" ref="U64">INDEX(ICL3_classA!$H$2:$H$37,MATCH(MIN(ABS(AI64-ICL3_classA!$F$2:$F$37)),ABS(AI64-ICL3_classA!$F$2:$F$37),0))</f>
        <v>24</v>
      </c>
      <c r="V64" s="1">
        <f>VLOOKUP($B64&amp;"__wt",'SegEnds_Xtal_BW#'!$A:$Z,22,FALSE)</f>
        <v>61</v>
      </c>
      <c r="W64" s="1">
        <f>VLOOKUP($B64&amp;"__wt",'SegEnds_Xtal_BW#'!$A:$Z,23,FALSE)</f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29</v>
      </c>
      <c r="AC64" s="1">
        <f>VLOOKUP(A64,'SegEnds_NonXtal_Prot#'!A:AL,10,FALSE)-VLOOKUP(A64,'SegEnds_NonXtal_Prot#'!A:AL,7,FALSE)</f>
        <v>16</v>
      </c>
      <c r="AD64" s="1" t="e">
        <f>VLOOKUP(A64,'SegEnds_NonXtal_Prot#'!A:AL,13,FALSE)-VLOOKUP(A64,'SegEnds_NonXtal_Prot#'!A:AL,10,FALSE)</f>
        <v>#VALUE!</v>
      </c>
      <c r="AE64" s="1">
        <f>VLOOKUP(A64,'SegEnds_NonXtal_Prot#'!A:AL,16,FALSE)-VLOOKUP(A64,'SegEnds_NonXtal_Prot#'!A:AL,10,FALSE)</f>
        <v>51</v>
      </c>
      <c r="AF64" s="1">
        <f>VLOOKUP(A64,'SegEnds_NonXtal_Prot#'!A:AL,22,FALSE)-VLOOKUP(A64,'SegEnds_NonXtal_Prot#'!A:AL,19,FALSE)</f>
        <v>20</v>
      </c>
      <c r="AG64" s="1" t="e">
        <f>VLOOKUP(A64,'SegEnds_NonXtal_Prot#'!A:AL,28,FALSE)-VLOOKUP(A64,'SegEnds_NonXtal_Prot#'!A:AL,25,FALSE)</f>
        <v>#VALUE!</v>
      </c>
      <c r="AH64" s="1">
        <f>VLOOKUP(A64,'SegEnds_NonXtal_Prot#'!A:AL,28,FALSE)-VLOOKUP(A64,'SegEnds_NonXtal_Prot#'!A:AL,22,FALSE)</f>
        <v>45</v>
      </c>
      <c r="AI64" s="1">
        <f>VLOOKUP(A64,'SegEnds_NonXtal_Prot#'!A:AL,31,FALSE)-VLOOKUP(A64,'SegEnds_NonXtal_Prot#'!A:AL,28,FALSE)</f>
        <v>72</v>
      </c>
      <c r="AJ64" s="1">
        <f>VLOOKUP(A64,'SegEnds_NonXtal_Prot#'!A:AL,34,FALSE)-VLOOKUP(A64,'SegEnds_NonXtal_Prot#'!A:AL,31,FALSE)</f>
        <v>36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Xtal</v>
      </c>
    </row>
    <row r="65" spans="1:38" x14ac:dyDescent="0.2">
      <c r="A65" s="1" t="s">
        <v>183</v>
      </c>
      <c r="B65" s="1" t="str">
        <f>VLOOKUP(A65,Xtal_Templ!A:B,2,FALSE)</f>
        <v>cnr2_human</v>
      </c>
      <c r="C65" s="5">
        <f>VLOOKUP($B65&amp;"__wt",'SegEnds_Xtal_BW#'!$A:$Z,3,FALSE)</f>
        <v>28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v>48</v>
      </c>
      <c r="J65" s="1">
        <v>52</v>
      </c>
      <c r="K65" s="12"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7">
        <f>VLOOKUP($B65&amp;"__wt",'SegEnds_Xtal_BW#'!$A:$Z,15,FALSE)</f>
        <v>38</v>
      </c>
      <c r="P65" s="1">
        <f>VLOOKUP($B65&amp;"__wt",'SegEnds_Xtal_BW#'!$A:$Z,16,FALSE)</f>
        <v>63</v>
      </c>
      <c r="Q65" s="1" t="str">
        <f>VLOOKUP($B65&amp;"__wt",'SegEnds_Xtal_BW#'!$A:$Z,17,FALSE)</f>
        <v>-</v>
      </c>
      <c r="R65" s="1" t="str">
        <f>VLOOKUP($B65&amp;"__wt",'SegEnds_Xtal_BW#'!$A:$Z,18,FALSE)</f>
        <v>-</v>
      </c>
      <c r="S65" s="1">
        <f>VLOOKUP($B65&amp;"__wt",'SegEnds_Xtal_BW#'!$A:$Z,19,FALSE)</f>
        <v>36</v>
      </c>
      <c r="T65" s="1">
        <f t="array" ref="T65">INDEX(ICL3_classA!$G$2:$G$37,MATCH(MIN(ABS(AI65-ICL3_classA!$F$2:$F$37)),ABS(AI65-ICL3_classA!$F$2:$F$37),0))</f>
        <v>74</v>
      </c>
      <c r="U65" s="1">
        <f t="array" ref="U65">INDEX(ICL3_classA!$H$2:$H$37,MATCH(MIN(ABS(AI65-ICL3_classA!$F$2:$F$37)),ABS(AI65-ICL3_classA!$F$2:$F$37),0))</f>
        <v>21</v>
      </c>
      <c r="V65" s="1">
        <f>VLOOKUP($B65&amp;"__wt",'SegEnds_Xtal_BW#'!$A:$Z,22,FALSE)</f>
        <v>61</v>
      </c>
      <c r="W65" s="1">
        <f>VLOOKUP($B65&amp;"__wt",'SegEnds_Xtal_BW#'!$A:$Z,23,FALSE)</f>
        <v>28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63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29</v>
      </c>
      <c r="AC65" s="1">
        <f>VLOOKUP(A65,'SegEnds_NonXtal_Prot#'!A:AL,10,FALSE)-VLOOKUP(A65,'SegEnds_NonXtal_Prot#'!A:AL,7,FALSE)</f>
        <v>16</v>
      </c>
      <c r="AD65" s="1" t="e">
        <f>VLOOKUP(A65,'SegEnds_NonXtal_Prot#'!A:AL,13,FALSE)-VLOOKUP(A65,'SegEnds_NonXtal_Prot#'!A:AL,10,FALSE)</f>
        <v>#VALUE!</v>
      </c>
      <c r="AE65" s="1">
        <f>VLOOKUP(A65,'SegEnds_NonXtal_Prot#'!A:AL,16,FALSE)-VLOOKUP(A65,'SegEnds_NonXtal_Prot#'!A:AL,10,FALSE)</f>
        <v>51</v>
      </c>
      <c r="AF65" s="1">
        <f>VLOOKUP(A65,'SegEnds_NonXtal_Prot#'!A:AL,22,FALSE)-VLOOKUP(A65,'SegEnds_NonXtal_Prot#'!A:AL,19,FALSE)</f>
        <v>20</v>
      </c>
      <c r="AG65" s="1" t="e">
        <f>VLOOKUP(A65,'SegEnds_NonXtal_Prot#'!A:AL,28,FALSE)-VLOOKUP(A65,'SegEnds_NonXtal_Prot#'!A:AL,25,FALSE)</f>
        <v>#VALUE!</v>
      </c>
      <c r="AH65" s="1">
        <f>VLOOKUP(A65,'SegEnds_NonXtal_Prot#'!A:AL,28,FALSE)-VLOOKUP(A65,'SegEnds_NonXtal_Prot#'!A:AL,22,FALSE)</f>
        <v>43</v>
      </c>
      <c r="AI65" s="1">
        <f>VLOOKUP(A65,'SegEnds_NonXtal_Prot#'!A:AL,31,FALSE)-VLOOKUP(A65,'SegEnds_NonXtal_Prot#'!A:AL,28,FALSE)</f>
        <v>59</v>
      </c>
      <c r="AJ65" s="1">
        <f>VLOOKUP(A65,'SegEnds_NonXtal_Prot#'!A:AL,34,FALSE)-VLOOKUP(A65,'SegEnds_NonXtal_Prot#'!A:AL,31,FALSE)</f>
        <v>36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Xtal</v>
      </c>
    </row>
    <row r="66" spans="1:38" x14ac:dyDescent="0.2">
      <c r="A66" s="1" t="s">
        <v>192</v>
      </c>
      <c r="B66" s="1" t="str">
        <f>VLOOKUP(A66,Xtal_Templ!A:B,2,FALSE)</f>
        <v>drd3_human</v>
      </c>
      <c r="C66" s="5">
        <f>VLOOKUP($B66&amp;"__wt",'SegEnds_Xtal_BW#'!$A:$Z,3,FALSE)</f>
        <v>29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58</v>
      </c>
      <c r="O66" s="87">
        <f>VLOOKUP($B66&amp;"__wt",'SegEnds_Xtal_BW#'!$A:$Z,15,FALSE)</f>
        <v>38</v>
      </c>
      <c r="P66" s="1">
        <f>VLOOKUP($B66&amp;"__wt",'SegEnds_Xtal_BW#'!$A:$Z,16,FALSE)</f>
        <v>63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INDEX(ICL3_classA!$G$2:$G$37,MATCH(MIN(ABS(AI66-ICL3_classA!$F$2:$F$37)),ABS(AI66-ICL3_classA!$F$2:$F$37),0))</f>
        <v>76</v>
      </c>
      <c r="U66" s="1">
        <f t="array" ref="U66">INDEX(ICL3_classA!$H$2:$H$37,MATCH(MIN(ABS(AI66-ICL3_classA!$F$2:$F$37)),ABS(AI66-ICL3_classA!$F$2:$F$37),0))</f>
        <v>24</v>
      </c>
      <c r="V66" s="1">
        <f>VLOOKUP($B66&amp;"__wt",'SegEnds_Xtal_BW#'!$A:$Z,22,FALSE)</f>
        <v>60</v>
      </c>
      <c r="W66" s="1">
        <v>31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>
        <f>VLOOKUP(A66,'SegEnds_NonXtal_Prot#'!A:AL,10,FALSE)-VLOOKUP(A66,'SegEnds_NonXtal_Prot#'!A:AL,7,FALSE)</f>
        <v>15</v>
      </c>
      <c r="AD66" s="1">
        <f>VLOOKUP(A66,'SegEnds_NonXtal_Prot#'!A:AL,13,FALSE)-VLOOKUP(A66,'SegEnds_NonXtal_Prot#'!A:AL,10,FALSE)</f>
        <v>21</v>
      </c>
      <c r="AE66" s="1">
        <f>VLOOKUP(A66,'SegEnds_NonXtal_Prot#'!A:AL,16,FALSE)-VLOOKUP(A66,'SegEnds_NonXtal_Prot#'!A:AL,10,FALSE)</f>
        <v>53</v>
      </c>
      <c r="AF66" s="1">
        <f>VLOOKUP(A66,'SegEnds_NonXtal_Prot#'!A:AL,22,FALSE)-VLOOKUP(A66,'SegEnds_NonXtal_Prot#'!A:AL,19,FALSE)</f>
        <v>23</v>
      </c>
      <c r="AG66" s="1">
        <f>VLOOKUP(A66,'SegEnds_NonXtal_Prot#'!A:AL,28,FALSE)-VLOOKUP(A66,'SegEnds_NonXtal_Prot#'!A:AL,25,FALSE)</f>
        <v>19</v>
      </c>
      <c r="AH66" s="1">
        <f>VLOOKUP(A66,'SegEnds_NonXtal_Prot#'!A:AL,28,FALSE)-VLOOKUP(A66,'SegEnds_NonXtal_Prot#'!A:AL,22,FALSE)</f>
        <v>42</v>
      </c>
      <c r="AI66" s="1">
        <f>VLOOKUP(A66,'SegEnds_NonXtal_Prot#'!A:AL,31,FALSE)-VLOOKUP(A66,'SegEnds_NonXtal_Prot#'!A:AL,28,FALSE)</f>
        <v>144</v>
      </c>
      <c r="AJ66" s="1">
        <f>VLOOKUP(A66,'SegEnds_NonXtal_Prot#'!A:AL,34,FALSE)-VLOOKUP(A66,'SegEnds_NonXtal_Prot#'!A:AL,31,FALSE)</f>
        <v>36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Xtal</v>
      </c>
    </row>
    <row r="67" spans="1:38" x14ac:dyDescent="0.2">
      <c r="A67" s="1" t="s">
        <v>193</v>
      </c>
      <c r="B67" s="1" t="str">
        <f>VLOOKUP(A67,Xtal_Templ!A:B,2,FALSE)</f>
        <v>drd4_human</v>
      </c>
      <c r="C67" s="5">
        <f>VLOOKUP($B67&amp;"__wt",'SegEnds_Xtal_BW#'!$A:$Z,3,FALSE)</f>
        <v>29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38</v>
      </c>
      <c r="H67" s="12">
        <f>VLOOKUP($B67&amp;"__wt",'SegEnds_Xtal_BW#'!$A:$Z,8,FALSE)</f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19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f>VLOOKUP($B67&amp;"__wt",'SegEnds_Xtal_BW#'!$A:$Z,14,FALSE)</f>
        <v>57</v>
      </c>
      <c r="O67" s="87">
        <f>VLOOKUP($B67&amp;"__wt",'SegEnds_Xtal_BW#'!$A:$Z,15,FALSE)</f>
        <v>38</v>
      </c>
      <c r="P67" s="1">
        <f>VLOOKUP($B67&amp;"__wt",'SegEnds_Xtal_BW#'!$A:$Z,16,FALSE)</f>
        <v>63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v>35</v>
      </c>
      <c r="T67" s="1">
        <f t="array" ref="T67">INDEX(ICL3_classA!$G$2:$G$37,MATCH(MIN(ABS(AI67-ICL3_classA!$F$2:$F$37)),ABS(AI67-ICL3_classA!$F$2:$F$37),0))</f>
        <v>75</v>
      </c>
      <c r="U67" s="1">
        <f t="array" ref="U67">INDEX(ICL3_classA!$H$2:$H$37,MATCH(MIN(ABS(AI67-ICL3_classA!$F$2:$F$37)),ABS(AI67-ICL3_classA!$F$2:$F$37),0))</f>
        <v>24</v>
      </c>
      <c r="V67" s="1">
        <f>VLOOKUP($B67&amp;"__wt",'SegEnds_Xtal_BW#'!$A:$Z,22,FALSE)</f>
        <v>61</v>
      </c>
      <c r="W67" s="1">
        <v>31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>
        <f>VLOOKUP(A67,'SegEnds_NonXtal_Prot#'!A:AL,10,FALSE)-VLOOKUP(A67,'SegEnds_NonXtal_Prot#'!A:AL,7,FALSE)</f>
        <v>15</v>
      </c>
      <c r="AD67" s="1">
        <f>VLOOKUP(A67,'SegEnds_NonXtal_Prot#'!A:AL,13,FALSE)-VLOOKUP(A67,'SegEnds_NonXtal_Prot#'!A:AL,10,FALSE)</f>
        <v>21</v>
      </c>
      <c r="AE67" s="1">
        <f>VLOOKUP(A67,'SegEnds_NonXtal_Prot#'!A:AL,16,FALSE)-VLOOKUP(A67,'SegEnds_NonXtal_Prot#'!A:AL,10,FALSE)</f>
        <v>53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19</v>
      </c>
      <c r="AH67" s="1">
        <f>VLOOKUP(A67,'SegEnds_NonXtal_Prot#'!A:AL,28,FALSE)-VLOOKUP(A67,'SegEnds_NonXtal_Prot#'!A:AL,22,FALSE)</f>
        <v>44</v>
      </c>
      <c r="AI67" s="1">
        <f>VLOOKUP(A67,'SegEnds_NonXtal_Prot#'!A:AL,31,FALSE)-VLOOKUP(A67,'SegEnds_NonXtal_Prot#'!A:AL,28,FALSE)</f>
        <v>205</v>
      </c>
      <c r="AJ67" s="1">
        <f>VLOOKUP(A67,'SegEnds_NonXtal_Prot#'!A:AL,34,FALSE)-VLOOKUP(A67,'SegEnds_NonXtal_Prot#'!A:AL,31,FALSE)</f>
        <v>36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Xtal</v>
      </c>
    </row>
    <row r="68" spans="1:38" x14ac:dyDescent="0.2">
      <c r="A68" s="1" t="s">
        <v>204</v>
      </c>
      <c r="B68" s="1" t="str">
        <f>VLOOKUP(A68,Xtal_Templ!A:B,2,FALSE)</f>
        <v>aa2ar_human</v>
      </c>
      <c r="C68" s="5">
        <f>VLOOKUP($B68&amp;"__wt",'SegEnds_Xtal_BW#'!$A:$Z,3,FALSE)</f>
        <v>27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f>VLOOKUP($B68&amp;"__wt",'SegEnds_Xtal_BW#'!$A:$Z,15,FALSE)</f>
        <v>38</v>
      </c>
      <c r="P68" s="1">
        <f>VLOOKUP($B68&amp;"__wt",'SegEnds_Xtal_BW#'!$A:$Z,16,FALSE)</f>
        <v>63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34</v>
      </c>
      <c r="T68" s="1">
        <f t="array" ref="T68">INDEX(ICL3_classA!$G$2:$G$37,MATCH(MIN(ABS(AI68-ICL3_classA!$F$2:$F$37)),ABS(AI68-ICL3_classA!$F$2:$F$37),0))</f>
        <v>67</v>
      </c>
      <c r="U68" s="1">
        <f t="array" ref="U68">INDEX(ICL3_classA!$H$2:$H$37,MATCH(MIN(ABS(AI68-ICL3_classA!$F$2:$F$37)),ABS(AI68-ICL3_classA!$F$2:$F$37),0))</f>
        <v>26</v>
      </c>
      <c r="V68" s="1">
        <v>61</v>
      </c>
      <c r="W68" s="1">
        <v>31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69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>
        <f>VLOOKUP(A68,'SegEnds_NonXtal_Prot#'!A:AL,10,FALSE)-VLOOKUP(A68,'SegEnds_NonXtal_Prot#'!A:AL,7,FALSE)</f>
        <v>14</v>
      </c>
      <c r="AD68" s="1">
        <f>VLOOKUP(A68,'SegEnds_NonXtal_Prot#'!A:AL,13,FALSE)-VLOOKUP(A68,'SegEnds_NonXtal_Prot#'!A:AL,10,FALSE)</f>
        <v>28</v>
      </c>
      <c r="AE68" s="1">
        <f>VLOOKUP(A68,'SegEnds_NonXtal_Prot#'!A:AL,16,FALSE)-VLOOKUP(A68,'SegEnds_NonXtal_Prot#'!A:AL,10,FALSE)</f>
        <v>59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24</v>
      </c>
      <c r="AH68" s="1">
        <f>VLOOKUP(A68,'SegEnds_NonXtal_Prot#'!A:AL,28,FALSE)-VLOOKUP(A68,'SegEnds_NonXtal_Prot#'!A:AL,22,FALSE)</f>
        <v>47</v>
      </c>
      <c r="AI68" s="1">
        <f>VLOOKUP(A68,'SegEnds_NonXtal_Prot#'!A:AL,31,FALSE)-VLOOKUP(A68,'SegEnds_NonXtal_Prot#'!A:AL,28,FALSE)</f>
        <v>46</v>
      </c>
      <c r="AJ68" s="1">
        <f>VLOOKUP(A68,'SegEnds_NonXtal_Prot#'!A:AL,34,FALSE)-VLOOKUP(A68,'SegEnds_NonXtal_Prot#'!A:AL,31,FALSE)</f>
        <v>36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213</v>
      </c>
      <c r="B69" s="1" t="str">
        <f>VLOOKUP(A69,Xtal_Templ!A:B,2,FALSE)</f>
        <v>aa1r_human</v>
      </c>
      <c r="C69" s="5">
        <f>VLOOKUP($B69&amp;"__wt",'SegEnds_Xtal_BW#'!$A:$Z,3,FALSE)</f>
        <v>29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08">
        <v>66</v>
      </c>
      <c r="I69" s="1">
        <f>VLOOKUP($B69&amp;"__wt",'SegEnds_Xtal_BW#'!$A:$Z,9,FALSE)</f>
        <v>50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7">
        <v>38</v>
      </c>
      <c r="P69" s="1">
        <f>VLOOKUP($B69&amp;"__wt",'SegEnds_Xtal_BW#'!$A:$Z,16,FALSE)</f>
        <v>63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v>35</v>
      </c>
      <c r="T69" s="1">
        <f t="array" ref="T69">INDEX(ICL3_classA!$G$2:$G$37,MATCH(MIN(ABS(AI69-ICL3_classA!$F$2:$F$37)),ABS(AI69-ICL3_classA!$F$2:$F$37),0))</f>
        <v>74</v>
      </c>
      <c r="U69" s="1">
        <f t="array" ref="U69">INDEX(ICL3_classA!$H$2:$H$37,MATCH(MIN(ABS(AI69-ICL3_classA!$F$2:$F$37)),ABS(AI69-ICL3_classA!$F$2:$F$37),0))</f>
        <v>21</v>
      </c>
      <c r="V69" s="1">
        <v>61</v>
      </c>
      <c r="W69" s="1">
        <v>31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69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29</v>
      </c>
      <c r="AC69" s="1" t="e">
        <f>VLOOKUP(A69,'SegEnds_NonXtal_Prot#'!A:AL,10,FALSE)-VLOOKUP(A69,'SegEnds_NonXtal_Prot#'!A:AL,7,FALSE)</f>
        <v>#VALUE!</v>
      </c>
      <c r="AD69" s="1" t="e">
        <f>VLOOKUP(A69,'SegEnds_NonXtal_Prot#'!A:AL,13,FALSE)-VLOOKUP(A69,'SegEnds_NonXtal_Prot#'!A:AL,10,FALSE)</f>
        <v>#VALUE!</v>
      </c>
      <c r="AE69" s="1">
        <f>VLOOKUP(A69,'SegEnds_NonXtal_Prot#'!A:AL,16,FALSE)-VLOOKUP(A69,'SegEnds_NonXtal_Prot#'!A:AL,10,FALSE)</f>
        <v>52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21</v>
      </c>
      <c r="AH69" s="1">
        <f>VLOOKUP(A69,'SegEnds_NonXtal_Prot#'!A:AL,28,FALSE)-VLOOKUP(A69,'SegEnds_NonXtal_Prot#'!A:AL,22,FALSE)</f>
        <v>46</v>
      </c>
      <c r="AI69" s="1">
        <f>VLOOKUP(A69,'SegEnds_NonXtal_Prot#'!A:AL,31,FALSE)-VLOOKUP(A69,'SegEnds_NonXtal_Prot#'!A:AL,28,FALSE)</f>
        <v>64</v>
      </c>
      <c r="AJ69" s="1">
        <f>VLOOKUP(A69,'SegEnds_NonXtal_Prot#'!A:AL,34,FALSE)-VLOOKUP(A69,'SegEnds_NonXtal_Prot#'!A:AL,31,FALSE)</f>
        <v>36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NoXtal</v>
      </c>
    </row>
    <row r="70" spans="1:38" x14ac:dyDescent="0.2">
      <c r="A70" s="1" t="s">
        <v>227</v>
      </c>
      <c r="B70" s="1" t="str">
        <f>VLOOKUP(A70,Xtal_Templ!A:B,2,FALSE)</f>
        <v>5ht1b_human</v>
      </c>
      <c r="C70" s="5">
        <f>VLOOKUP($B70&amp;"__wt",'SegEnds_Xtal_BW#'!$A:$Z,3,FALSE)</f>
        <v>28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f>VLOOKUP($B70&amp;"__wt",'SegEnds_Xtal_BW#'!$A:$Z,8,FALSE)</f>
        <v>68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18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7">
        <v>38</v>
      </c>
      <c r="P70" s="1">
        <v>63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v>35</v>
      </c>
      <c r="T70" s="1">
        <f t="array" ref="T70">INDEX(ICL3_classA!$G$2:$G$37,MATCH(MIN(ABS(AI70-ICL3_classA!$F$2:$F$37)),ABS(AI70-ICL3_classA!$F$2:$F$37),0))</f>
        <v>76</v>
      </c>
      <c r="U70" s="1">
        <f t="array" ref="U70">INDEX(ICL3_classA!$H$2:$H$37,MATCH(MIN(ABS(AI70-ICL3_classA!$F$2:$F$37)),ABS(AI70-ICL3_classA!$F$2:$F$37),0))</f>
        <v>24</v>
      </c>
      <c r="V70" s="1">
        <v>61</v>
      </c>
      <c r="W70" s="1">
        <v>31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58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20</v>
      </c>
      <c r="AE70" s="1">
        <f>VLOOKUP(A70,'SegEnds_NonXtal_Prot#'!A:AL,16,FALSE)-VLOOKUP(A70,'SegEnds_NonXtal_Prot#'!A:AL,10,FALSE)</f>
        <v>52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22</v>
      </c>
      <c r="AH70" s="1">
        <f>VLOOKUP(A70,'SegEnds_NonXtal_Prot#'!A:AL,28,FALSE)-VLOOKUP(A70,'SegEnds_NonXtal_Prot#'!A:AL,22,FALSE)</f>
        <v>48</v>
      </c>
      <c r="AI70" s="1">
        <f>VLOOKUP(A70,'SegEnds_NonXtal_Prot#'!A:AL,31,FALSE)-VLOOKUP(A70,'SegEnds_NonXtal_Prot#'!A:AL,28,FALSE)</f>
        <v>85</v>
      </c>
      <c r="AJ70" s="1">
        <f>VLOOKUP(A70,'SegEnds_NonXtal_Prot#'!A:AL,34,FALSE)-VLOOKUP(A70,'SegEnds_NonXtal_Prot#'!A:AL,31,FALSE)</f>
        <v>36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NoXtal</v>
      </c>
    </row>
    <row r="71" spans="1:38" x14ac:dyDescent="0.2">
      <c r="A71" s="1" t="s">
        <v>230</v>
      </c>
      <c r="B71" s="1" t="str">
        <f>VLOOKUP(A71,Xtal_Templ!A:B,2,FALSE)</f>
        <v>5ht2a_human</v>
      </c>
      <c r="C71" s="5">
        <f>VLOOKUP($B71&amp;"__wt",'SegEnds_Xtal_BW#'!$A:$Z,3,FALSE)</f>
        <v>27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68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7">
        <f>VLOOKUP($B71&amp;"__wt",'SegEnds_Xtal_BW#'!$A:$Z,15,FALSE)</f>
        <v>38</v>
      </c>
      <c r="P71" s="1">
        <f>VLOOKUP($B71&amp;"__wt",'SegEnds_Xtal_BW#'!$A:$Z,16,FALSE)</f>
        <v>67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v>35</v>
      </c>
      <c r="T71" s="1">
        <f t="array" ref="T71">INDEX(ICL3_classA!$G$2:$G$37,MATCH(MIN(ABS(AI71-ICL3_classA!$F$2:$F$37)),ABS(AI71-ICL3_classA!$F$2:$F$37),0))</f>
        <v>74</v>
      </c>
      <c r="U71" s="1">
        <f t="array" ref="U71">INDEX(ICL3_classA!$H$2:$H$37,MATCH(MIN(ABS(AI71-ICL3_classA!$F$2:$F$37)),ABS(AI71-ICL3_classA!$F$2:$F$37),0))</f>
        <v>21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60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1">
        <f>VLOOKUP(A71,'SegEnds_NonXtal_Prot#'!A:AL,10,FALSE)-VLOOKUP(A71,'SegEnds_NonXtal_Prot#'!A:AL,7,FALSE)</f>
        <v>15</v>
      </c>
      <c r="AD71" s="1">
        <f>VLOOKUP(A71,'SegEnds_NonXtal_Prot#'!A:AL,13,FALSE)-VLOOKUP(A71,'SegEnds_NonXtal_Prot#'!A:AL,10,FALSE)</f>
        <v>21</v>
      </c>
      <c r="AE71" s="1">
        <f>VLOOKUP(A71,'SegEnds_NonXtal_Prot#'!A:AL,16,FALSE)-VLOOKUP(A71,'SegEnds_NonXtal_Prot#'!A:AL,10,FALSE)</f>
        <v>53</v>
      </c>
      <c r="AF71" s="1">
        <f>VLOOKUP(A71,'SegEnds_NonXtal_Prot#'!A:AL,22,FALSE)-VLOOKUP(A71,'SegEnds_NonXtal_Prot#'!A:AL,19,FALSE)</f>
        <v>20</v>
      </c>
      <c r="AG71" s="1">
        <f>VLOOKUP(A71,'SegEnds_NonXtal_Prot#'!A:AL,28,FALSE)-VLOOKUP(A71,'SegEnds_NonXtal_Prot#'!A:AL,25,FALSE)</f>
        <v>61</v>
      </c>
      <c r="AH71" s="1">
        <f>VLOOKUP(A71,'SegEnds_NonXtal_Prot#'!A:AL,28,FALSE)-VLOOKUP(A71,'SegEnds_NonXtal_Prot#'!A:AL,22,FALSE)</f>
        <v>87</v>
      </c>
      <c r="AI71" s="1">
        <f>VLOOKUP(A71,'SegEnds_NonXtal_Prot#'!A:AL,31,FALSE)-VLOOKUP(A71,'SegEnds_NonXtal_Prot#'!A:AL,28,FALSE)</f>
        <v>66</v>
      </c>
      <c r="AJ71" s="1">
        <f>VLOOKUP(A71,'SegEnds_NonXtal_Prot#'!A:AL,34,FALSE)-VLOOKUP(A71,'SegEnds_NonXtal_Prot#'!A:AL,31,FALSE)</f>
        <v>36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NoXtal</v>
      </c>
    </row>
    <row r="72" spans="1:38" x14ac:dyDescent="0.2">
      <c r="A72" s="1" t="s">
        <v>232</v>
      </c>
      <c r="B72" s="1" t="str">
        <f>VLOOKUP(A72,Xtal_Templ!A:B,2,FALSE)</f>
        <v>ox1r_human</v>
      </c>
      <c r="C72" s="5">
        <f>VLOOKUP($B72&amp;"__wt",'SegEnds_Xtal_BW#'!$A:$Z,3,FALSE)</f>
        <v>32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67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56</v>
      </c>
      <c r="O72" s="87">
        <f>VLOOKUP($B72&amp;"__wt",'SegEnds_Xtal_BW#'!$A:$Z,15,FALSE)</f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32</v>
      </c>
      <c r="T72" s="1">
        <f t="array" ref="T72">INDEX(ICL3_classA!$G$2:$G$37,MATCH(MIN(ABS(AI72-ICL3_classA!$F$2:$F$37)),ABS(AI72-ICL3_classA!$F$2:$F$37),0))</f>
        <v>74</v>
      </c>
      <c r="U72" s="1">
        <f t="array" ref="U72">INDEX(ICL3_classA!$H$2:$H$37,MATCH(MIN(ABS(AI72-ICL3_classA!$F$2:$F$37)),ABS(AI72-ICL3_classA!$F$2:$F$37),0))</f>
        <v>21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58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28</v>
      </c>
      <c r="AC72" s="1">
        <f>VLOOKUP(A72,'SegEnds_NonXtal_Prot#'!A:AL,10,FALSE)-VLOOKUP(A72,'SegEnds_NonXtal_Prot#'!A:AL,7,FALSE)</f>
        <v>15</v>
      </c>
      <c r="AD72" s="1">
        <f>VLOOKUP(A72,'SegEnds_NonXtal_Prot#'!A:AL,13,FALSE)-VLOOKUP(A72,'SegEnds_NonXtal_Prot#'!A:AL,10,FALSE)</f>
        <v>22</v>
      </c>
      <c r="AE72" s="1">
        <f>VLOOKUP(A72,'SegEnds_NonXtal_Prot#'!A:AL,16,FALSE)-VLOOKUP(A72,'SegEnds_NonXtal_Prot#'!A:AL,10,FALSE)</f>
        <v>55</v>
      </c>
      <c r="AF72" s="1" t="e">
        <f>VLOOKUP(A72,'SegEnds_NonXtal_Prot#'!A:AL,22,FALSE)-VLOOKUP(A72,'SegEnds_NonXtal_Prot#'!A:AL,19,FALSE)</f>
        <v>#VALUE!</v>
      </c>
      <c r="AG72" s="1">
        <f>VLOOKUP(A72,'SegEnds_NonXtal_Prot#'!A:AL,28,FALSE)-VLOOKUP(A72,'SegEnds_NonXtal_Prot#'!A:AL,25,FALSE)</f>
        <v>25</v>
      </c>
      <c r="AH72" s="1">
        <f>VLOOKUP(A72,'SegEnds_NonXtal_Prot#'!A:AL,28,FALSE)-VLOOKUP(A72,'SegEnds_NonXtal_Prot#'!A:AL,22,FALSE)</f>
        <v>50</v>
      </c>
      <c r="AI72" s="1">
        <f>VLOOKUP(A72,'SegEnds_NonXtal_Prot#'!A:AL,31,FALSE)-VLOOKUP(A72,'SegEnds_NonXtal_Prot#'!A:AL,28,FALSE)</f>
        <v>64</v>
      </c>
      <c r="AJ72" s="1">
        <f>VLOOKUP(A72,'SegEnds_NonXtal_Prot#'!A:AL,34,FALSE)-VLOOKUP(A72,'SegEnds_NonXtal_Prot#'!A:AL,31,FALSE)</f>
        <v>36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NoXtal</v>
      </c>
    </row>
    <row r="73" spans="1:38" x14ac:dyDescent="0.2">
      <c r="A73" s="1" t="s">
        <v>241</v>
      </c>
      <c r="B73" s="1" t="str">
        <f>VLOOKUP(A73,Xtal_Templ!A:B,2,FALSE)</f>
        <v>apj_human</v>
      </c>
      <c r="C73" s="5">
        <f>VLOOKUP($B73&amp;"__wt",'SegEnds_Xtal_BW#'!$A:$Z,3,FALSE)</f>
        <v>33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52</v>
      </c>
      <c r="G73" s="1">
        <v>37</v>
      </c>
      <c r="H73" s="12">
        <v>66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7"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30</v>
      </c>
      <c r="T73" s="1">
        <f t="array" ref="T73">INDEX(ICL3_classA!$G$2:$G$37,MATCH(MIN(ABS(AI73-ICL3_classA!$F$2:$F$37)),ABS(AI73-ICL3_classA!$F$2:$F$37),0))</f>
        <v>68</v>
      </c>
      <c r="U73" s="1">
        <f t="array" ref="U73">INDEX(ICL3_classA!$H$2:$H$37,MATCH(MIN(ABS(AI73-ICL3_classA!$F$2:$F$37)),ABS(AI73-ICL3_classA!$F$2:$F$37),0))</f>
        <v>24</v>
      </c>
      <c r="V73" s="1">
        <v>61</v>
      </c>
      <c r="W73" s="1">
        <v>31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61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 t="e">
        <f>VLOOKUP(A73,'SegEnds_NonXtal_Prot#'!A:AL,10,FALSE)-VLOOKUP(A73,'SegEnds_NonXtal_Prot#'!A:AL,7,FALSE)</f>
        <v>#VALUE!</v>
      </c>
      <c r="AD73" s="1">
        <f>VLOOKUP(A73,'SegEnds_NonXtal_Prot#'!A:AL,13,FALSE)-VLOOKUP(A73,'SegEnds_NonXtal_Prot#'!A:AL,10,FALSE)</f>
        <v>19</v>
      </c>
      <c r="AE73" s="1">
        <f>VLOOKUP(A73,'SegEnds_NonXtal_Prot#'!A:AL,16,FALSE)-VLOOKUP(A73,'SegEnds_NonXtal_Prot#'!A:AL,10,FALSE)</f>
        <v>51</v>
      </c>
      <c r="AF73" s="1">
        <f>VLOOKUP(A73,'SegEnds_NonXtal_Prot#'!A:AL,22,FALSE)-VLOOKUP(A73,'SegEnds_NonXtal_Prot#'!A:AL,19,FALSE)</f>
        <v>20</v>
      </c>
      <c r="AG73" s="1">
        <f>VLOOKUP(A73,'SegEnds_NonXtal_Prot#'!A:AL,28,FALSE)-VLOOKUP(A73,'SegEnds_NonXtal_Prot#'!A:AL,25,FALSE)</f>
        <v>27</v>
      </c>
      <c r="AH73" s="1">
        <f>VLOOKUP(A73,'SegEnds_NonXtal_Prot#'!A:AL,28,FALSE)-VLOOKUP(A73,'SegEnds_NonXtal_Prot#'!A:AL,22,FALSE)</f>
        <v>53</v>
      </c>
      <c r="AI73" s="1">
        <f>VLOOKUP(A73,'SegEnds_NonXtal_Prot#'!A:AL,31,FALSE)-VLOOKUP(A73,'SegEnds_NonXtal_Prot#'!A:AL,28,FALSE)</f>
        <v>48</v>
      </c>
      <c r="AJ73" s="1">
        <f>VLOOKUP(A73,'SegEnds_NonXtal_Prot#'!A:AL,34,FALSE)-VLOOKUP(A73,'SegEnds_NonXtal_Prot#'!A:AL,31,FALSE)</f>
        <v>36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NoXtal</v>
      </c>
    </row>
    <row r="74" spans="1:38" x14ac:dyDescent="0.2">
      <c r="A74" s="4" t="s">
        <v>242</v>
      </c>
      <c r="B74" s="4" t="str">
        <f>VLOOKUP(A74,Xtal_Templ!A:B,2,FALSE)</f>
        <v>ox2r_human</v>
      </c>
      <c r="C74" s="5">
        <f>VLOOKUP($B74&amp;"__wt",'SegEnds_Xtal_BW#'!$A:$Z,3,FALSE)</f>
        <v>31</v>
      </c>
      <c r="D74" s="4">
        <f>VLOOKUP($B74&amp;"__wt",'SegEnds_Xtal_BW#'!$A:$Z,4,FALSE)</f>
        <v>60</v>
      </c>
      <c r="E74" s="4">
        <f>VLOOKUP($B74&amp;"__wt",'SegEnds_Xtal_BW#'!$A:$Z,5,FALSE)</f>
        <v>48</v>
      </c>
      <c r="F74" s="4">
        <f>VLOOKUP($B74&amp;"__wt",'SegEnds_Xtal_BW#'!$A:$Z,6,FALSE)</f>
        <v>51</v>
      </c>
      <c r="G74" s="4">
        <v>37</v>
      </c>
      <c r="H74" s="12">
        <f>VLOOKUP($B74&amp;"__wt",'SegEnds_Xtal_BW#'!$A:$Z,8,FALSE)</f>
        <v>68</v>
      </c>
      <c r="I74" s="4">
        <f>VLOOKUP($B74&amp;"__wt",'SegEnds_Xtal_BW#'!$A:$Z,9,FALSE)</f>
        <v>49</v>
      </c>
      <c r="J74" s="4">
        <f>VLOOKUP($B74&amp;"__wt",'SegEnds_Xtal_BW#'!$A:$Z,10,FALSE)</f>
        <v>52</v>
      </c>
      <c r="K74" s="11">
        <v>18</v>
      </c>
      <c r="L74" s="4">
        <f>VLOOKUP($B74&amp;"__wt",'SegEnds_Xtal_BW#'!$A:$Z,12,FALSE)</f>
        <v>56</v>
      </c>
      <c r="M74" s="4">
        <f>VLOOKUP($B74&amp;"__wt",'SegEnds_Xtal_BW#'!$A:$Z,13,FALSE)</f>
        <v>50</v>
      </c>
      <c r="N74" s="11">
        <v>53</v>
      </c>
      <c r="O74" s="87">
        <f>VLOOKUP($B74&amp;"__wt",'SegEnds_Xtal_BW#'!$A:$Z,15,FALSE)</f>
        <v>38</v>
      </c>
      <c r="P74" s="4">
        <f>VLOOKUP($B74&amp;"__wt",'SegEnds_Xtal_BW#'!$A:$Z,16,FALSE)</f>
        <v>64</v>
      </c>
      <c r="Q74" s="4">
        <f>VLOOKUP($B74&amp;"__wt",'SegEnds_Xtal_BW#'!$A:$Z,17,FALSE)</f>
        <v>50</v>
      </c>
      <c r="R74" s="4">
        <f>VLOOKUP($B74&amp;"__wt",'SegEnds_Xtal_BW#'!$A:$Z,18,FALSE)</f>
        <v>52</v>
      </c>
      <c r="S74" s="4">
        <f>VLOOKUP($B74&amp;"__wt",'SegEnds_Xtal_BW#'!$A:$Z,19,FALSE)</f>
        <v>33</v>
      </c>
      <c r="T74" s="4">
        <f t="array" ref="T74">INDEX(ICL3_classA!$G$2:$G$37,MATCH(MIN(ABS(AI74-ICL3_classA!$F$2:$F$37)),ABS(AI74-ICL3_classA!$F$2:$F$37),0))</f>
        <v>73</v>
      </c>
      <c r="U74" s="4">
        <f t="array" ref="U74">INDEX(ICL3_classA!$H$2:$H$37,MATCH(MIN(ABS(AI74-ICL3_classA!$F$2:$F$37)),ABS(AI74-ICL3_classA!$F$2:$F$37),0))</f>
        <v>22</v>
      </c>
      <c r="V74" s="4">
        <v>61</v>
      </c>
      <c r="W74" s="4">
        <v>31</v>
      </c>
      <c r="X74" s="4">
        <f>VLOOKUP($B74&amp;"__wt",'SegEnds_Xtal_BW#'!$A:$Z,24,FALSE)</f>
        <v>56</v>
      </c>
      <c r="Y74" s="4">
        <f>VLOOKUP($B74&amp;"__wt",'SegEnds_Xtal_BW#'!$A:$Z,25,FALSE)</f>
        <v>47</v>
      </c>
      <c r="Z74" s="4">
        <f>VLOOKUP($B74&amp;"__wt",'SegEnds_Xtal_BW#'!$A:$Z,26,FALSE)</f>
        <v>58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4">
        <f>VLOOKUP(A74,'SegEnds_NonXtal_Prot#'!A:AL,10,FALSE)-VLOOKUP(A74,'SegEnds_NonXtal_Prot#'!A:AL,7,FALSE)</f>
        <v>15</v>
      </c>
      <c r="AD74" s="4">
        <f>VLOOKUP(A74,'SegEnds_NonXtal_Prot#'!A:AL,13,FALSE)-VLOOKUP(A74,'SegEnds_NonXtal_Prot#'!A:AL,10,FALSE)</f>
        <v>20</v>
      </c>
      <c r="AE74" s="4">
        <f>VLOOKUP(A74,'SegEnds_NonXtal_Prot#'!A:AL,16,FALSE)-VLOOKUP(A74,'SegEnds_NonXtal_Prot#'!A:AL,10,FALSE)</f>
        <v>52</v>
      </c>
      <c r="AF74" s="1">
        <f>VLOOKUP(A74,'SegEnds_NonXtal_Prot#'!A:AL,22,FALSE)-VLOOKUP(A74,'SegEnds_NonXtal_Prot#'!A:AL,19,FALSE)</f>
        <v>18</v>
      </c>
      <c r="AG74" s="4">
        <f>VLOOKUP(A74,'SegEnds_NonXtal_Prot#'!A:AL,28,FALSE)-VLOOKUP(A74,'SegEnds_NonXtal_Prot#'!A:AL,25,FALSE)</f>
        <v>25</v>
      </c>
      <c r="AH74" s="1">
        <f>VLOOKUP(A74,'SegEnds_NonXtal_Prot#'!A:AL,28,FALSE)-VLOOKUP(A74,'SegEnds_NonXtal_Prot#'!A:AL,22,FALSE)</f>
        <v>47</v>
      </c>
      <c r="AI74" s="4">
        <f>VLOOKUP(A74,'SegEnds_NonXtal_Prot#'!A:AL,31,FALSE)-VLOOKUP(A74,'SegEnds_NonXtal_Prot#'!A:AL,28,FALSE)</f>
        <v>56</v>
      </c>
      <c r="AJ74" s="4">
        <f>VLOOKUP(A74,'SegEnds_NonXtal_Prot#'!A:AL,34,FALSE)-VLOOKUP(A74,'SegEnds_NonXtal_Prot#'!A:AL,31,FALSE)</f>
        <v>36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NoXtal</v>
      </c>
    </row>
    <row r="75" spans="1:38" x14ac:dyDescent="0.2">
      <c r="A75" s="1" t="s">
        <v>245</v>
      </c>
      <c r="B75" s="1" t="str">
        <f>VLOOKUP(A75,Xtal_Templ!A:B,2,FALSE)</f>
        <v>5ht2c_human</v>
      </c>
      <c r="C75" s="5">
        <f>VLOOKUP($B75&amp;"__wt",'SegEnds_Xtal_BW#'!$A:$Z,3,FALSE)</f>
        <v>33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68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21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53</v>
      </c>
      <c r="O75" s="87">
        <f>VLOOKUP($B75&amp;"__wt",'SegEnds_Xtal_BW#'!$A:$Z,15,FALSE)</f>
        <v>38</v>
      </c>
      <c r="P75" s="1">
        <v>63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v>35</v>
      </c>
      <c r="T75" s="1">
        <f t="array" ref="T75">INDEX(ICL3_classA!$G$2:$G$37,MATCH(MIN(ABS(AI75-ICL3_classA!$F$2:$F$37)),ABS(AI75-ICL3_classA!$F$2:$F$37),0))</f>
        <v>74</v>
      </c>
      <c r="U75" s="1">
        <f t="array" ref="U75">INDEX(ICL3_classA!$H$2:$H$37,MATCH(MIN(ABS(AI75-ICL3_classA!$F$2:$F$37)),ABS(AI75-ICL3_classA!$F$2:$F$37),0))</f>
        <v>24</v>
      </c>
      <c r="V75" s="1">
        <v>61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60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29</v>
      </c>
      <c r="AC75" s="1">
        <f>VLOOKUP(A75,'SegEnds_NonXtal_Prot#'!A:AL,10,FALSE)-VLOOKUP(A75,'SegEnds_NonXtal_Prot#'!A:AL,7,FALSE)</f>
        <v>16</v>
      </c>
      <c r="AD75" s="1" t="e">
        <f>VLOOKUP(A75,'SegEnds_NonXtal_Prot#'!A:AL,13,FALSE)-VLOOKUP(A75,'SegEnds_NonXtal_Prot#'!A:AL,10,FALSE)</f>
        <v>#VALUE!</v>
      </c>
      <c r="AE75" s="1">
        <f>VLOOKUP(A75,'SegEnds_NonXtal_Prot#'!A:AL,16,FALSE)-VLOOKUP(A75,'SegEnds_NonXtal_Prot#'!A:AL,10,FALSE)</f>
        <v>52</v>
      </c>
      <c r="AF75" s="1">
        <f>VLOOKUP(A75,'SegEnds_NonXtal_Prot#'!A:AL,22,FALSE)-VLOOKUP(A75,'SegEnds_NonXtal_Prot#'!A:AL,19,FALSE)</f>
        <v>18</v>
      </c>
      <c r="AG75" s="1">
        <f>VLOOKUP(A75,'SegEnds_NonXtal_Prot#'!A:AL,28,FALSE)-VLOOKUP(A75,'SegEnds_NonXtal_Prot#'!A:AL,25,FALSE)</f>
        <v>26</v>
      </c>
      <c r="AH75" s="1">
        <f>VLOOKUP(A75,'SegEnds_NonXtal_Prot#'!A:AL,28,FALSE)-VLOOKUP(A75,'SegEnds_NonXtal_Prot#'!A:AL,22,FALSE)</f>
        <v>58</v>
      </c>
      <c r="AI75" s="1">
        <f>VLOOKUP(A75,'SegEnds_NonXtal_Prot#'!A:AL,31,FALSE)-VLOOKUP(A75,'SegEnds_NonXtal_Prot#'!A:AL,28,FALSE)</f>
        <v>105</v>
      </c>
      <c r="AJ75" s="1">
        <f>VLOOKUP(A75,'SegEnds_NonXtal_Prot#'!A:AL,34,FALSE)-VLOOKUP(A75,'SegEnds_NonXtal_Prot#'!A:AL,31,FALSE)</f>
        <v>36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NoXtal</v>
      </c>
    </row>
    <row r="76" spans="1:38" x14ac:dyDescent="0.2">
      <c r="A76" s="1" t="s">
        <v>248</v>
      </c>
      <c r="B76" s="1" t="str">
        <f>VLOOKUP(A76,Xtal_Templ!A:B,2,FALSE)</f>
        <v>ox1r_human</v>
      </c>
      <c r="C76" s="5">
        <f>VLOOKUP($B76&amp;"__wt",'SegEnds_Xtal_BW#'!$A:$Z,3,FALSE)</f>
        <v>32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58</v>
      </c>
      <c r="O76" s="87">
        <f>VLOOKUP($B76&amp;"__wt",'SegEnds_Xtal_BW#'!$A:$Z,15,FALSE)</f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INDEX(ICL3_classA!$G$2:$G$37,MATCH(MIN(ABS(AI76-ICL3_classA!$F$2:$F$37)),ABS(AI76-ICL3_classA!$F$2:$F$37),0))</f>
        <v>76</v>
      </c>
      <c r="U76" s="1">
        <f t="array" ref="U76">INDEX(ICL3_classA!$H$2:$H$37,MATCH(MIN(ABS(AI76-ICL3_classA!$F$2:$F$37)),ABS(AI76-ICL3_classA!$F$2:$F$37),0))</f>
        <v>24</v>
      </c>
      <c r="V76" s="1">
        <v>61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58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 t="e">
        <f>VLOOKUP(A76,'SegEnds_NonXtal_Prot#'!A:AL,13,FALSE)-VLOOKUP(A76,'SegEnds_NonXtal_Prot#'!A:AL,10,FALSE)</f>
        <v>#VALUE!</v>
      </c>
      <c r="AE76" s="1">
        <f>VLOOKUP(A76,'SegEnds_NonXtal_Prot#'!A:AL,16,FALSE)-VLOOKUP(A76,'SegEnds_NonXtal_Prot#'!A:AL,10,FALSE)</f>
        <v>56</v>
      </c>
      <c r="AF76" s="1">
        <f>VLOOKUP(A76,'SegEnds_NonXtal_Prot#'!A:AL,22,FALSE)-VLOOKUP(A76,'SegEnds_NonXtal_Prot#'!A:AL,19,FALSE)</f>
        <v>21</v>
      </c>
      <c r="AG76" s="1">
        <f>VLOOKUP(A76,'SegEnds_NonXtal_Prot#'!A:AL,28,FALSE)-VLOOKUP(A76,'SegEnds_NonXtal_Prot#'!A:AL,25,FALSE)</f>
        <v>18</v>
      </c>
      <c r="AH76" s="1">
        <f>VLOOKUP(A76,'SegEnds_NonXtal_Prot#'!A:AL,28,FALSE)-VLOOKUP(A76,'SegEnds_NonXtal_Prot#'!A:AL,22,FALSE)</f>
        <v>41</v>
      </c>
      <c r="AI76" s="1">
        <f>VLOOKUP(A76,'SegEnds_NonXtal_Prot#'!A:AL,31,FALSE)-VLOOKUP(A76,'SegEnds_NonXtal_Prot#'!A:AL,28,FALSE)</f>
        <v>110</v>
      </c>
      <c r="AJ76" s="1">
        <f>VLOOKUP(A76,'SegEnds_NonXtal_Prot#'!A:AL,34,FALSE)-VLOOKUP(A76,'SegEnds_NonXtal_Prot#'!A:AL,31,FALSE)</f>
        <v>36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252</v>
      </c>
      <c r="B77" s="1" t="str">
        <f>VLOOKUP(A77,Xtal_Templ!A:B,2,FALSE)</f>
        <v>agtr1_human</v>
      </c>
      <c r="C77" s="5">
        <f>VLOOKUP($B77&amp;"__wt",'SegEnds_Xtal_BW#'!$A:$Z,3,FALSE)</f>
        <v>28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f>VLOOKUP($B77&amp;"__wt",'SegEnds_Xtal_BW#'!$A:$Z,8,FALSE)</f>
        <v>66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7"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34</v>
      </c>
      <c r="T77" s="1">
        <f t="array" ref="T77">INDEX(ICL3_classA!$G$2:$G$37,MATCH(MIN(ABS(AI77-ICL3_classA!$F$2:$F$37)),ABS(AI77-ICL3_classA!$F$2:$F$37),0))</f>
        <v>68</v>
      </c>
      <c r="U77" s="1">
        <f t="array" ref="U77">INDEX(ICL3_classA!$H$2:$H$37,MATCH(MIN(ABS(AI77-ICL3_classA!$F$2:$F$37)),ABS(AI77-ICL3_classA!$F$2:$F$37),0))</f>
        <v>30</v>
      </c>
      <c r="V77" s="1">
        <v>61</v>
      </c>
      <c r="W77" s="1">
        <v>31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61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27</v>
      </c>
      <c r="AC77" s="1" t="e">
        <f>VLOOKUP(A77,'SegEnds_NonXtal_Prot#'!A:AL,10,FALSE)-VLOOKUP(A77,'SegEnds_NonXtal_Prot#'!A:AL,7,FALSE)</f>
        <v>#VALUE!</v>
      </c>
      <c r="AD77" s="1">
        <f>VLOOKUP(A77,'SegEnds_NonXtal_Prot#'!A:AL,13,FALSE)-VLOOKUP(A77,'SegEnds_NonXtal_Prot#'!A:AL,10,FALSE)</f>
        <v>20</v>
      </c>
      <c r="AE77" s="1">
        <f>VLOOKUP(A77,'SegEnds_NonXtal_Prot#'!A:AL,16,FALSE)-VLOOKUP(A77,'SegEnds_NonXtal_Prot#'!A:AL,10,FALSE)</f>
        <v>52</v>
      </c>
      <c r="AF77" s="1">
        <f>VLOOKUP(A77,'SegEnds_NonXtal_Prot#'!A:AL,22,FALSE)-VLOOKUP(A77,'SegEnds_NonXtal_Prot#'!A:AL,19,FALSE)</f>
        <v>20</v>
      </c>
      <c r="AG77" s="1">
        <f>VLOOKUP(A77,'SegEnds_NonXtal_Prot#'!A:AL,28,FALSE)-VLOOKUP(A77,'SegEnds_NonXtal_Prot#'!A:AL,25,FALSE)</f>
        <v>38</v>
      </c>
      <c r="AH77" s="1">
        <f>VLOOKUP(A77,'SegEnds_NonXtal_Prot#'!A:AL,28,FALSE)-VLOOKUP(A77,'SegEnds_NonXtal_Prot#'!A:AL,22,FALSE)</f>
        <v>64</v>
      </c>
      <c r="AI77" s="1">
        <f>VLOOKUP(A77,'SegEnds_NonXtal_Prot#'!A:AL,31,FALSE)-VLOOKUP(A77,'SegEnds_NonXtal_Prot#'!A:AL,28,FALSE)</f>
        <v>43</v>
      </c>
      <c r="AJ77" s="1">
        <f>VLOOKUP(A77,'SegEnds_NonXtal_Prot#'!A:AL,34,FALSE)-VLOOKUP(A77,'SegEnds_NonXtal_Prot#'!A:AL,31,FALSE)</f>
        <v>36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263</v>
      </c>
      <c r="B78" s="1" t="str">
        <f>VLOOKUP(A78,Xtal_Templ!A:B,2,FALSE)</f>
        <v>ox2r_human</v>
      </c>
      <c r="C78" s="5">
        <f>VLOOKUP($B78&amp;"__wt",'SegEnds_Xtal_BW#'!$A:$Z,3,FALSE)</f>
        <v>31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f>VLOOKUP($B78&amp;"__wt",'SegEnds_Xtal_BW#'!$A:$Z,8,FALSE)</f>
        <v>68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7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v>35</v>
      </c>
      <c r="T78" s="1">
        <f t="array" ref="T78">INDEX(ICL3_classA!$G$2:$G$37,MATCH(MIN(ABS(AI78-ICL3_classA!$F$2:$F$37)),ABS(AI78-ICL3_classA!$F$2:$F$37),0))</f>
        <v>76</v>
      </c>
      <c r="U78" s="1">
        <f t="array" ref="U78">INDEX(ICL3_classA!$H$2:$H$37,MATCH(MIN(ABS(AI78-ICL3_classA!$F$2:$F$37)),ABS(AI78-ICL3_classA!$F$2:$F$37),0))</f>
        <v>24</v>
      </c>
      <c r="V78" s="1">
        <v>61</v>
      </c>
      <c r="W78" s="1">
        <v>31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58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26</v>
      </c>
      <c r="AC78" s="1" t="e">
        <f>VLOOKUP(A78,'SegEnds_NonXtal_Prot#'!A:AL,10,FALSE)-VLOOKUP(A78,'SegEnds_NonXtal_Prot#'!A:AL,7,FALSE)</f>
        <v>#VALUE!</v>
      </c>
      <c r="AD78" s="1">
        <f>VLOOKUP(A78,'SegEnds_NonXtal_Prot#'!A:AL,13,FALSE)-VLOOKUP(A78,'SegEnds_NonXtal_Prot#'!A:AL,10,FALSE)</f>
        <v>21</v>
      </c>
      <c r="AE78" s="1">
        <f>VLOOKUP(A78,'SegEnds_NonXtal_Prot#'!A:AL,16,FALSE)-VLOOKUP(A78,'SegEnds_NonXtal_Prot#'!A:AL,10,FALSE)</f>
        <v>54</v>
      </c>
      <c r="AF78" s="1">
        <f>VLOOKUP(A78,'SegEnds_NonXtal_Prot#'!A:AL,22,FALSE)-VLOOKUP(A78,'SegEnds_NonXtal_Prot#'!A:AL,19,FALSE)</f>
        <v>20</v>
      </c>
      <c r="AG78" s="1">
        <f>VLOOKUP(A78,'SegEnds_NonXtal_Prot#'!A:AL,28,FALSE)-VLOOKUP(A78,'SegEnds_NonXtal_Prot#'!A:AL,25,FALSE)</f>
        <v>25</v>
      </c>
      <c r="AH78" s="1">
        <f>VLOOKUP(A78,'SegEnds_NonXtal_Prot#'!A:AL,28,FALSE)-VLOOKUP(A78,'SegEnds_NonXtal_Prot#'!A:AL,22,FALSE)</f>
        <v>53</v>
      </c>
      <c r="AI78" s="1">
        <f>VLOOKUP(A78,'SegEnds_NonXtal_Prot#'!A:AL,31,FALSE)-VLOOKUP(A78,'SegEnds_NonXtal_Prot#'!A:AL,28,FALSE)</f>
        <v>82</v>
      </c>
      <c r="AJ78" s="1">
        <f>VLOOKUP(A78,'SegEnds_NonXtal_Prot#'!A:AL,34,FALSE)-VLOOKUP(A78,'SegEnds_NonXtal_Prot#'!A:AL,31,FALSE)</f>
        <v>36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NoXtal</v>
      </c>
    </row>
    <row r="79" spans="1:38" x14ac:dyDescent="0.2">
      <c r="A79" s="1" t="s">
        <v>271</v>
      </c>
      <c r="B79" s="1" t="str">
        <f>VLOOKUP(A79,Xtal_Templ!A:B,2,FALSE)</f>
        <v>5ht2c_human</v>
      </c>
      <c r="C79" s="5">
        <f>VLOOKUP($B79&amp;"__wt",'SegEnds_Xtal_BW#'!$A:$Z,3,FALSE)</f>
        <v>33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f>VLOOKUP($B79&amp;"__wt",'SegEnds_Xtal_BW#'!$A:$Z,8,FALSE)</f>
        <v>68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7">
        <f>VLOOKUP($B79&amp;"__wt",'SegEnds_Xtal_BW#'!$A:$Z,15,FALSE)</f>
        <v>38</v>
      </c>
      <c r="P79" s="1">
        <f>VLOOKUP($B79&amp;"__wt",'SegEnds_Xtal_BW#'!$A:$Z,16,FALSE)</f>
        <v>67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v>35</v>
      </c>
      <c r="T79" s="1">
        <f t="array" ref="T79">INDEX(ICL3_classA!$G$2:$G$37,MATCH(MIN(ABS(AI79-ICL3_classA!$F$2:$F$37)),ABS(AI79-ICL3_classA!$F$2:$F$37),0))</f>
        <v>76</v>
      </c>
      <c r="U79" s="1">
        <f t="array" ref="U79">INDEX(ICL3_classA!$H$2:$H$37,MATCH(MIN(ABS(AI79-ICL3_classA!$F$2:$F$37)),ABS(AI79-ICL3_classA!$F$2:$F$37),0))</f>
        <v>24</v>
      </c>
      <c r="V79" s="1">
        <v>61</v>
      </c>
      <c r="W79" s="1">
        <v>31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60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28</v>
      </c>
      <c r="AC79" s="1">
        <f>VLOOKUP(A79,'SegEnds_NonXtal_Prot#'!A:AL,10,FALSE)-VLOOKUP(A79,'SegEnds_NonXtal_Prot#'!A:AL,7,FALSE)</f>
        <v>15</v>
      </c>
      <c r="AD79" s="1">
        <f>VLOOKUP(A79,'SegEnds_NonXtal_Prot#'!A:AL,13,FALSE)-VLOOKUP(A79,'SegEnds_NonXtal_Prot#'!A:AL,10,FALSE)</f>
        <v>21</v>
      </c>
      <c r="AE79" s="1">
        <f>VLOOKUP(A79,'SegEnds_NonXtal_Prot#'!A:AL,16,FALSE)-VLOOKUP(A79,'SegEnds_NonXtal_Prot#'!A:AL,10,FALSE)</f>
        <v>53</v>
      </c>
      <c r="AF79" s="1">
        <f>VLOOKUP(A79,'SegEnds_NonXtal_Prot#'!A:AL,22,FALSE)-VLOOKUP(A79,'SegEnds_NonXtal_Prot#'!A:AL,19,FALSE)</f>
        <v>20</v>
      </c>
      <c r="AG79" s="1">
        <f>VLOOKUP(A79,'SegEnds_NonXtal_Prot#'!A:AL,28,FALSE)-VLOOKUP(A79,'SegEnds_NonXtal_Prot#'!A:AL,25,FALSE)</f>
        <v>61</v>
      </c>
      <c r="AH79" s="1">
        <f>VLOOKUP(A79,'SegEnds_NonXtal_Prot#'!A:AL,28,FALSE)-VLOOKUP(A79,'SegEnds_NonXtal_Prot#'!A:AL,22,FALSE)</f>
        <v>87</v>
      </c>
      <c r="AI79" s="1">
        <f>VLOOKUP(A79,'SegEnds_NonXtal_Prot#'!A:AL,31,FALSE)-VLOOKUP(A79,'SegEnds_NonXtal_Prot#'!A:AL,28,FALSE)</f>
        <v>67</v>
      </c>
      <c r="AJ79" s="1">
        <f>VLOOKUP(A79,'SegEnds_NonXtal_Prot#'!A:AL,34,FALSE)-VLOOKUP(A79,'SegEnds_NonXtal_Prot#'!A:AL,31,FALSE)</f>
        <v>36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279</v>
      </c>
      <c r="B80" s="1" t="str">
        <f>VLOOKUP(A80,Xtal_Templ!A:B,2,FALSE)</f>
        <v>adrb2_human</v>
      </c>
      <c r="C80" s="5">
        <f>VLOOKUP($B80&amp;"__wt",'SegEnds_Xtal_BW#'!$A:$Z,3,FALSE)</f>
        <v>25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f>VLOOKUP($B80&amp;"__wt",'SegEnds_Xtal_BW#'!$A:$Z,8,FALSE)</f>
        <v>67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7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v>35</v>
      </c>
      <c r="T80" s="1">
        <f t="array" ref="T80">INDEX(ICL3_classA!$G$2:$G$37,MATCH(MIN(ABS(AI80-ICL3_classA!$F$2:$F$37)),ABS(AI80-ICL3_classA!$F$2:$F$37),0))</f>
        <v>73</v>
      </c>
      <c r="U80" s="1">
        <f t="array" ref="U80">INDEX(ICL3_classA!$H$2:$H$37,MATCH(MIN(ABS(AI80-ICL3_classA!$F$2:$F$37)),ABS(AI80-ICL3_classA!$F$2:$F$37),0))</f>
        <v>22</v>
      </c>
      <c r="V80" s="1">
        <v>61</v>
      </c>
      <c r="W80" s="1">
        <v>31</v>
      </c>
      <c r="X80" s="108">
        <v>56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>
        <f>VLOOKUP(A80,'SegEnds_NonXtal_Prot#'!A:AL,13,FALSE)-VLOOKUP(A80,'SegEnds_NonXtal_Prot#'!A:AL,10,FALSE)</f>
        <v>20</v>
      </c>
      <c r="AE80" s="1">
        <f>VLOOKUP(A80,'SegEnds_NonXtal_Prot#'!A:AL,16,FALSE)-VLOOKUP(A80,'SegEnds_NonXtal_Prot#'!A:AL,10,FALSE)</f>
        <v>52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20</v>
      </c>
      <c r="AH80" s="1">
        <f>VLOOKUP(A80,'SegEnds_NonXtal_Prot#'!A:AL,28,FALSE)-VLOOKUP(A80,'SegEnds_NonXtal_Prot#'!A:AL,22,FALSE)</f>
        <v>51</v>
      </c>
      <c r="AI80" s="1">
        <f>VLOOKUP(A80,'SegEnds_NonXtal_Prot#'!A:AL,31,FALSE)-VLOOKUP(A80,'SegEnds_NonXtal_Prot#'!A:AL,28,FALSE)</f>
        <v>55</v>
      </c>
      <c r="AJ80" s="1">
        <f>VLOOKUP(A80,'SegEnds_NonXtal_Prot#'!A:AL,34,FALSE)-VLOOKUP(A80,'SegEnds_NonXtal_Prot#'!A:AL,31,FALSE)</f>
        <v>36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NoXtal</v>
      </c>
    </row>
    <row r="81" spans="1:38" x14ac:dyDescent="0.2">
      <c r="A81" s="1" t="s">
        <v>280</v>
      </c>
      <c r="B81" s="1" t="str">
        <f>VLOOKUP(A81,Xtal_Templ!A:B,2,FALSE)</f>
        <v>hrh1_human</v>
      </c>
      <c r="C81" s="5">
        <f>VLOOKUP($B81&amp;"__wt",'SegEnds_Xtal_BW#'!$A:$Z,3,FALSE)</f>
        <v>34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f>VLOOKUP($B81&amp;"__wt",'SegEnds_Xtal_BW#'!$A:$Z,8,FALSE)</f>
        <v>67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18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58</v>
      </c>
      <c r="O81" s="87">
        <f>VLOOKUP($B81&amp;"__wt",'SegEnds_Xtal_BW#'!$A:$Z,15,FALSE)</f>
        <v>38</v>
      </c>
      <c r="P81" s="1">
        <v>63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v>35</v>
      </c>
      <c r="T81" s="1">
        <f t="array" ref="T81">INDEX(ICL3_classA!$G$2:$G$37,MATCH(MIN(ABS(AI81-ICL3_classA!$F$2:$F$37)),ABS(AI81-ICL3_classA!$F$2:$F$37),0))</f>
        <v>75</v>
      </c>
      <c r="U81" s="1">
        <f t="array" ref="U81">INDEX(ICL3_classA!$H$2:$H$37,MATCH(MIN(ABS(AI81-ICL3_classA!$F$2:$F$37)),ABS(AI81-ICL3_classA!$F$2:$F$37),0))</f>
        <v>24</v>
      </c>
      <c r="V81" s="1">
        <v>61</v>
      </c>
      <c r="W81" s="1">
        <v>31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28</v>
      </c>
      <c r="AC81" s="1">
        <f>VLOOKUP(A81,'SegEnds_NonXtal_Prot#'!A:AL,10,FALSE)-VLOOKUP(A81,'SegEnds_NonXtal_Prot#'!A:AL,7,FALSE)</f>
        <v>15</v>
      </c>
      <c r="AD81" s="1">
        <f>VLOOKUP(A81,'SegEnds_NonXtal_Prot#'!A:AL,13,FALSE)-VLOOKUP(A81,'SegEnds_NonXtal_Prot#'!A:AL,10,FALSE)</f>
        <v>20</v>
      </c>
      <c r="AE81" s="1">
        <f>VLOOKUP(A81,'SegEnds_NonXtal_Prot#'!A:AL,16,FALSE)-VLOOKUP(A81,'SegEnds_NonXtal_Prot#'!A:AL,10,FALSE)</f>
        <v>52</v>
      </c>
      <c r="AF81" s="1">
        <f>VLOOKUP(A81,'SegEnds_NonXtal_Prot#'!A:AL,22,FALSE)-VLOOKUP(A81,'SegEnds_NonXtal_Prot#'!A:AL,19,FALSE)</f>
        <v>21</v>
      </c>
      <c r="AG81" s="1">
        <f>VLOOKUP(A81,'SegEnds_NonXtal_Prot#'!A:AL,28,FALSE)-VLOOKUP(A81,'SegEnds_NonXtal_Prot#'!A:AL,25,FALSE)</f>
        <v>22</v>
      </c>
      <c r="AH81" s="1">
        <f>VLOOKUP(A81,'SegEnds_NonXtal_Prot#'!A:AL,28,FALSE)-VLOOKUP(A81,'SegEnds_NonXtal_Prot#'!A:AL,22,FALSE)</f>
        <v>50</v>
      </c>
      <c r="AI81" s="1">
        <f>VLOOKUP(A81,'SegEnds_NonXtal_Prot#'!A:AL,31,FALSE)-VLOOKUP(A81,'SegEnds_NonXtal_Prot#'!A:AL,28,FALSE)</f>
        <v>163</v>
      </c>
      <c r="AJ81" s="1">
        <f>VLOOKUP(A81,'SegEnds_NonXtal_Prot#'!A:AL,34,FALSE)-VLOOKUP(A81,'SegEnds_NonXtal_Prot#'!A:AL,31,FALSE)</f>
        <v>36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283</v>
      </c>
      <c r="B82" s="1" t="str">
        <f>VLOOKUP(A82,Xtal_Templ!A:B,2,FALSE)</f>
        <v>agtr1_human</v>
      </c>
      <c r="C82" s="5">
        <f>VLOOKUP($B82&amp;"__wt",'SegEnds_Xtal_BW#'!$A:$Z,3,FALSE)</f>
        <v>28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67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f>VLOOKUP($B82&amp;"__wt",'SegEnds_Xtal_BW#'!$A:$Z,15,FALSE)</f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34</v>
      </c>
      <c r="T82" s="1">
        <f t="array" ref="T82">INDEX(ICL3_classA!$G$2:$G$37,MATCH(MIN(ABS(AI82-ICL3_classA!$F$2:$F$37)),ABS(AI82-ICL3_classA!$F$2:$F$37),0))</f>
        <v>67</v>
      </c>
      <c r="U82" s="1">
        <f t="array" ref="U82">INDEX(ICL3_classA!$H$2:$H$37,MATCH(MIN(ABS(AI82-ICL3_classA!$F$2:$F$37)),ABS(AI82-ICL3_classA!$F$2:$F$37),0))</f>
        <v>28</v>
      </c>
      <c r="V82" s="1">
        <v>61</v>
      </c>
      <c r="W82" s="1">
        <v>31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61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 t="e">
        <f>VLOOKUP(A82,'SegEnds_NonXtal_Prot#'!A:AL,10,FALSE)-VLOOKUP(A82,'SegEnds_NonXtal_Prot#'!A:AL,7,FALSE)</f>
        <v>#VALUE!</v>
      </c>
      <c r="AD82" s="1" t="e">
        <f>VLOOKUP(A82,'SegEnds_NonXtal_Prot#'!A:AL,13,FALSE)-VLOOKUP(A82,'SegEnds_NonXtal_Prot#'!A:AL,10,FALSE)</f>
        <v>#VALUE!</v>
      </c>
      <c r="AE82" s="1">
        <f>VLOOKUP(A82,'SegEnds_NonXtal_Prot#'!A:AL,16,FALSE)-VLOOKUP(A82,'SegEnds_NonXtal_Prot#'!A:AL,10,FALSE)</f>
        <v>59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24</v>
      </c>
      <c r="AH82" s="1">
        <f>VLOOKUP(A82,'SegEnds_NonXtal_Prot#'!A:AL,28,FALSE)-VLOOKUP(A82,'SegEnds_NonXtal_Prot#'!A:AL,22,FALSE)</f>
        <v>47</v>
      </c>
      <c r="AI82" s="1">
        <f>VLOOKUP(A82,'SegEnds_NonXtal_Prot#'!A:AL,31,FALSE)-VLOOKUP(A82,'SegEnds_NonXtal_Prot#'!A:AL,28,FALSE)</f>
        <v>45</v>
      </c>
      <c r="AJ82" s="1">
        <f>VLOOKUP(A82,'SegEnds_NonXtal_Prot#'!A:AL,34,FALSE)-VLOOKUP(A82,'SegEnds_NonXtal_Prot#'!A:AL,31,FALSE)</f>
        <v>36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284</v>
      </c>
      <c r="B83" s="1" t="str">
        <f>VLOOKUP(A83,Xtal_Templ!A:B,2,FALSE)</f>
        <v>aa2ar_human</v>
      </c>
      <c r="C83" s="5">
        <f>VLOOKUP($B83&amp;"__wt",'SegEnds_Xtal_BW#'!$A:$Z,3,FALSE)</f>
        <v>27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f>VLOOKUP($B83&amp;"__wt",'SegEnds_Xtal_BW#'!$A:$Z,8,FALSE)</f>
        <v>67</v>
      </c>
      <c r="I83" s="1"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f>VLOOKUP($B83&amp;"__wt",'SegEnds_Xtal_BW#'!$A:$Z,15,FALSE)</f>
        <v>38</v>
      </c>
      <c r="P83" s="1">
        <f>VLOOKUP($B83&amp;"__wt",'SegEnds_Xtal_BW#'!$A:$Z,16,FALSE)</f>
        <v>63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34</v>
      </c>
      <c r="T83" s="1">
        <f t="array" ref="T83">INDEX(ICL3_classA!$G$2:$G$37,MATCH(MIN(ABS(AI83-ICL3_classA!$F$2:$F$37)),ABS(AI83-ICL3_classA!$F$2:$F$37),0))</f>
        <v>67</v>
      </c>
      <c r="U83" s="1">
        <f t="array" ref="U83">INDEX(ICL3_classA!$H$2:$H$37,MATCH(MIN(ABS(AI83-ICL3_classA!$F$2:$F$37)),ABS(AI83-ICL3_classA!$F$2:$F$37),0))</f>
        <v>28</v>
      </c>
      <c r="V83" s="1">
        <v>61</v>
      </c>
      <c r="W83" s="1">
        <v>31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69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 t="e">
        <f>VLOOKUP(A83,'SegEnds_NonXtal_Prot#'!A:AL,10,FALSE)-VLOOKUP(A83,'SegEnds_NonXtal_Prot#'!A:AL,7,FALSE)</f>
        <v>#VALUE!</v>
      </c>
      <c r="AD83" s="1" t="e">
        <f>VLOOKUP(A83,'SegEnds_NonXtal_Prot#'!A:AL,13,FALSE)-VLOOKUP(A83,'SegEnds_NonXtal_Prot#'!A:AL,10,FALSE)</f>
        <v>#VALUE!</v>
      </c>
      <c r="AE83" s="1">
        <f>VLOOKUP(A83,'SegEnds_NonXtal_Prot#'!A:AL,16,FALSE)-VLOOKUP(A83,'SegEnds_NonXtal_Prot#'!A:AL,10,FALSE)</f>
        <v>59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24</v>
      </c>
      <c r="AH83" s="1">
        <f>VLOOKUP(A83,'SegEnds_NonXtal_Prot#'!A:AL,28,FALSE)-VLOOKUP(A83,'SegEnds_NonXtal_Prot#'!A:AL,22,FALSE)</f>
        <v>47</v>
      </c>
      <c r="AI83" s="1">
        <f>VLOOKUP(A83,'SegEnds_NonXtal_Prot#'!A:AL,31,FALSE)-VLOOKUP(A83,'SegEnds_NonXtal_Prot#'!A:AL,28,FALSE)</f>
        <v>45</v>
      </c>
      <c r="AJ83" s="1">
        <f>VLOOKUP(A83,'SegEnds_NonXtal_Prot#'!A:AL,34,FALSE)-VLOOKUP(A83,'SegEnds_NonXtal_Prot#'!A:AL,31,FALSE)</f>
        <v>36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285</v>
      </c>
      <c r="B84" s="1" t="str">
        <f>VLOOKUP(A84,Xtal_Templ!A:B,2,FALSE)</f>
        <v>mtr1a_human</v>
      </c>
      <c r="C84" s="5">
        <f>VLOOKUP($B84&amp;"__wt",'SegEnds_Xtal_BW#'!$A:$Z,3,FALSE)</f>
        <v>28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f>VLOOKUP($B84&amp;"__wt",'SegEnds_Xtal_BW#'!$A:$Z,8,FALSE)</f>
        <v>68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7">
        <f>VLOOKUP($B84&amp;"__wt",'SegEnds_Xtal_BW#'!$A:$Z,15,FALSE)</f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v>35</v>
      </c>
      <c r="T84" s="1">
        <f t="array" ref="T84">INDEX(ICL3_classA!$G$2:$G$37,MATCH(MIN(ABS(AI84-ICL3_classA!$F$2:$F$37)),ABS(AI84-ICL3_classA!$F$2:$F$37),0))</f>
        <v>67</v>
      </c>
      <c r="U84" s="1">
        <f t="array" ref="U84">INDEX(ICL3_classA!$H$2:$H$37,MATCH(MIN(ABS(AI84-ICL3_classA!$F$2:$F$37)),ABS(AI84-ICL3_classA!$F$2:$F$37),0))</f>
        <v>28</v>
      </c>
      <c r="V84" s="1">
        <v>61</v>
      </c>
      <c r="W84" s="1">
        <v>31</v>
      </c>
      <c r="X84" s="108">
        <v>56</v>
      </c>
      <c r="Y84" s="1">
        <f>VLOOKUP($B84&amp;"__wt",'SegEnds_Xtal_BW#'!$A:$Z,25,FALSE)</f>
        <v>47</v>
      </c>
      <c r="Z84" s="1">
        <f>VLOOKUP($B84&amp;"__wt",'SegEnds_Xtal_BW#'!$A:$Z,26,FALSE)</f>
        <v>63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29</v>
      </c>
      <c r="AC84" s="1" t="e">
        <f>VLOOKUP(A84,'SegEnds_NonXtal_Prot#'!A:AL,10,FALSE)-VLOOKUP(A84,'SegEnds_NonXtal_Prot#'!A:AL,7,FALSE)</f>
        <v>#VALUE!</v>
      </c>
      <c r="AD84" s="1" t="e">
        <f>VLOOKUP(A84,'SegEnds_NonXtal_Prot#'!A:AL,13,FALSE)-VLOOKUP(A84,'SegEnds_NonXtal_Prot#'!A:AL,10,FALSE)</f>
        <v>#VALUE!</v>
      </c>
      <c r="AE84" s="1">
        <f>VLOOKUP(A84,'SegEnds_NonXtal_Prot#'!A:AL,16,FALSE)-VLOOKUP(A84,'SegEnds_NonXtal_Prot#'!A:AL,10,FALSE)</f>
        <v>59</v>
      </c>
      <c r="AF84" s="1">
        <f>VLOOKUP(A84,'SegEnds_NonXtal_Prot#'!A:AL,22,FALSE)-VLOOKUP(A84,'SegEnds_NonXtal_Prot#'!A:AL,19,FALSE)</f>
        <v>20</v>
      </c>
      <c r="AG84" s="1">
        <f>VLOOKUP(A84,'SegEnds_NonXtal_Prot#'!A:AL,28,FALSE)-VLOOKUP(A84,'SegEnds_NonXtal_Prot#'!A:AL,25,FALSE)</f>
        <v>26</v>
      </c>
      <c r="AH84" s="1">
        <f>VLOOKUP(A84,'SegEnds_NonXtal_Prot#'!A:AL,28,FALSE)-VLOOKUP(A84,'SegEnds_NonXtal_Prot#'!A:AL,22,FALSE)</f>
        <v>49</v>
      </c>
      <c r="AI84" s="1">
        <f>VLOOKUP(A84,'SegEnds_NonXtal_Prot#'!A:AL,31,FALSE)-VLOOKUP(A84,'SegEnds_NonXtal_Prot#'!A:AL,28,FALSE)</f>
        <v>45</v>
      </c>
      <c r="AJ84" s="1">
        <f>VLOOKUP(A84,'SegEnds_NonXtal_Prot#'!A:AL,34,FALSE)-VLOOKUP(A84,'SegEnds_NonXtal_Prot#'!A:AL,31,FALSE)</f>
        <v>36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286</v>
      </c>
      <c r="B85" s="1" t="str">
        <f>VLOOKUP(A85,Xtal_Templ!A:B,2,FALSE)</f>
        <v>lpar1_human</v>
      </c>
      <c r="C85" s="5">
        <f>VLOOKUP($B85&amp;"__wt",'SegEnds_Xtal_BW#'!$A:$Z,3,FALSE)</f>
        <v>30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f>VLOOKUP($B85&amp;"__wt",'SegEnds_Xtal_BW#'!$A:$Z,8,FALSE)</f>
        <v>63</v>
      </c>
      <c r="I85" s="1">
        <f>VLOOKUP($B85&amp;"__wt",'SegEnds_Xtal_BW#'!$A:$Z,9,FALSE)</f>
        <v>47</v>
      </c>
      <c r="J85" s="1">
        <f>VLOOKUP($B85&amp;"__wt",'SegEnds_Xtal_BW#'!$A:$Z,10,FALSE)</f>
        <v>53</v>
      </c>
      <c r="K85" s="12">
        <v>21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08">
        <v>56</v>
      </c>
      <c r="O85" s="87">
        <f>VLOOKUP($B85&amp;"__wt",'SegEnds_Xtal_BW#'!$A:$Z,15,FALSE)</f>
        <v>38</v>
      </c>
      <c r="P85" s="1">
        <f>VLOOKUP($B85&amp;"__wt",'SegEnds_Xtal_BW#'!$A:$Z,16,FALSE)</f>
        <v>63</v>
      </c>
      <c r="Q85" s="1" t="str">
        <f>VLOOKUP($B85&amp;"__wt",'SegEnds_Xtal_BW#'!$A:$Z,17,FALSE)</f>
        <v>-</v>
      </c>
      <c r="R85" s="1" t="str">
        <f>VLOOKUP($B85&amp;"__wt",'SegEnds_Xtal_BW#'!$A:$Z,18,FALSE)</f>
        <v>-</v>
      </c>
      <c r="S85" s="1">
        <f>VLOOKUP($B85&amp;"__wt",'SegEnds_Xtal_BW#'!$A:$Z,19,FALSE)</f>
        <v>36</v>
      </c>
      <c r="T85" s="1">
        <f t="array" ref="T85">INDEX(ICL3_classA!$G$2:$G$37,MATCH(MIN(ABS(AI85-ICL3_classA!$F$2:$F$37)),ABS(AI85-ICL3_classA!$F$2:$F$37),0))</f>
        <v>73</v>
      </c>
      <c r="U85" s="1">
        <f t="array" ref="U85">INDEX(ICL3_classA!$H$2:$H$37,MATCH(MIN(ABS(AI85-ICL3_classA!$F$2:$F$37)),ABS(AI85-ICL3_classA!$F$2:$F$37),0))</f>
        <v>22</v>
      </c>
      <c r="V85" s="1">
        <v>61</v>
      </c>
      <c r="W85" s="1">
        <v>30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>
        <f>VLOOKUP(A85,'SegEnds_NonXtal_Prot#'!A:AL,10,FALSE)-VLOOKUP(A85,'SegEnds_NonXtal_Prot#'!A:AL,7,FALSE)</f>
        <v>15</v>
      </c>
      <c r="AD85" s="1">
        <f>VLOOKUP(A85,'SegEnds_NonXtal_Prot#'!A:AL,13,FALSE)-VLOOKUP(A85,'SegEnds_NonXtal_Prot#'!A:AL,10,FALSE)</f>
        <v>18</v>
      </c>
      <c r="AE85" s="1">
        <f>VLOOKUP(A85,'SegEnds_NonXtal_Prot#'!A:AL,16,FALSE)-VLOOKUP(A85,'SegEnds_NonXtal_Prot#'!A:AL,10,FALSE)</f>
        <v>51</v>
      </c>
      <c r="AF85" s="1">
        <f>VLOOKUP(A85,'SegEnds_NonXtal_Prot#'!A:AL,22,FALSE)-VLOOKUP(A85,'SegEnds_NonXtal_Prot#'!A:AL,19,FALSE)</f>
        <v>19</v>
      </c>
      <c r="AG85" s="1" t="e">
        <f>VLOOKUP(A85,'SegEnds_NonXtal_Prot#'!A:AL,28,FALSE)-VLOOKUP(A85,'SegEnds_NonXtal_Prot#'!A:AL,25,FALSE)</f>
        <v>#VALUE!</v>
      </c>
      <c r="AH85" s="1">
        <f>VLOOKUP(A85,'SegEnds_NonXtal_Prot#'!A:AL,28,FALSE)-VLOOKUP(A85,'SegEnds_NonXtal_Prot#'!A:AL,22,FALSE)</f>
        <v>45</v>
      </c>
      <c r="AI85" s="1">
        <f>VLOOKUP(A85,'SegEnds_NonXtal_Prot#'!A:AL,31,FALSE)-VLOOKUP(A85,'SegEnds_NonXtal_Prot#'!A:AL,28,FALSE)</f>
        <v>56</v>
      </c>
      <c r="AJ85" s="1">
        <f>VLOOKUP(A85,'SegEnds_NonXtal_Prot#'!A:AL,34,FALSE)-VLOOKUP(A85,'SegEnds_NonXtal_Prot#'!A:AL,31,FALSE)</f>
        <v>36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1" t="s">
        <v>287</v>
      </c>
      <c r="B86" s="1" t="str">
        <f>VLOOKUP(A86,Xtal_Templ!A:B,2,FALSE)</f>
        <v>lpar1_human</v>
      </c>
      <c r="C86" s="5">
        <f>VLOOKUP($B86&amp;"__wt",'SegEnds_Xtal_BW#'!$A:$Z,3,FALSE)</f>
        <v>30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f>VLOOKUP($B86&amp;"__wt",'SegEnds_Xtal_BW#'!$A:$Z,8,FALSE)</f>
        <v>63</v>
      </c>
      <c r="I86" s="1">
        <f>VLOOKUP($B86&amp;"__wt",'SegEnds_Xtal_BW#'!$A:$Z,9,FALSE)</f>
        <v>47</v>
      </c>
      <c r="J86" s="1">
        <f>VLOOKUP($B86&amp;"__wt",'SegEnds_Xtal_BW#'!$A:$Z,10,FALSE)</f>
        <v>53</v>
      </c>
      <c r="K86" s="12">
        <v>21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08">
        <v>56</v>
      </c>
      <c r="O86" s="87">
        <f>VLOOKUP($B86&amp;"__wt",'SegEnds_Xtal_BW#'!$A:$Z,15,FALSE)</f>
        <v>38</v>
      </c>
      <c r="P86" s="1">
        <f>VLOOKUP($B86&amp;"__wt",'SegEnds_Xtal_BW#'!$A:$Z,16,FALSE)</f>
        <v>63</v>
      </c>
      <c r="Q86" s="1" t="str">
        <f>VLOOKUP($B86&amp;"__wt",'SegEnds_Xtal_BW#'!$A:$Z,17,FALSE)</f>
        <v>-</v>
      </c>
      <c r="R86" s="1" t="str">
        <f>VLOOKUP($B86&amp;"__wt",'SegEnds_Xtal_BW#'!$A:$Z,18,FALSE)</f>
        <v>-</v>
      </c>
      <c r="S86" s="1">
        <f>VLOOKUP($B86&amp;"__wt",'SegEnds_Xtal_BW#'!$A:$Z,19,FALSE)</f>
        <v>36</v>
      </c>
      <c r="T86" s="1">
        <f t="array" ref="T86">INDEX(ICL3_classA!$G$2:$G$37,MATCH(MIN(ABS(AI86-ICL3_classA!$F$2:$F$37)),ABS(AI86-ICL3_classA!$F$2:$F$37),0))</f>
        <v>73</v>
      </c>
      <c r="U86" s="1">
        <f t="array" ref="U86">INDEX(ICL3_classA!$H$2:$H$37,MATCH(MIN(ABS(AI86-ICL3_classA!$F$2:$F$37)),ABS(AI86-ICL3_classA!$F$2:$F$37),0))</f>
        <v>22</v>
      </c>
      <c r="V86" s="1">
        <v>61</v>
      </c>
      <c r="W86" s="1">
        <v>30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1">
        <f>VLOOKUP(A86,'SegEnds_NonXtal_Prot#'!A:AL,10,FALSE)-VLOOKUP(A86,'SegEnds_NonXtal_Prot#'!A:AL,7,FALSE)</f>
        <v>15</v>
      </c>
      <c r="AD86" s="1">
        <f>VLOOKUP(A86,'SegEnds_NonXtal_Prot#'!A:AL,13,FALSE)-VLOOKUP(A86,'SegEnds_NonXtal_Prot#'!A:AL,10,FALSE)</f>
        <v>18</v>
      </c>
      <c r="AE86" s="1">
        <f>VLOOKUP(A86,'SegEnds_NonXtal_Prot#'!A:AL,16,FALSE)-VLOOKUP(A86,'SegEnds_NonXtal_Prot#'!A:AL,10,FALSE)</f>
        <v>51</v>
      </c>
      <c r="AF86" s="1">
        <f>VLOOKUP(A86,'SegEnds_NonXtal_Prot#'!A:AL,22,FALSE)-VLOOKUP(A86,'SegEnds_NonXtal_Prot#'!A:AL,19,FALSE)</f>
        <v>19</v>
      </c>
      <c r="AG86" s="1" t="e">
        <f>VLOOKUP(A86,'SegEnds_NonXtal_Prot#'!A:AL,28,FALSE)-VLOOKUP(A86,'SegEnds_NonXtal_Prot#'!A:AL,25,FALSE)</f>
        <v>#VALUE!</v>
      </c>
      <c r="AH86" s="1">
        <f>VLOOKUP(A86,'SegEnds_NonXtal_Prot#'!A:AL,28,FALSE)-VLOOKUP(A86,'SegEnds_NonXtal_Prot#'!A:AL,22,FALSE)</f>
        <v>45</v>
      </c>
      <c r="AI86" s="1">
        <f>VLOOKUP(A86,'SegEnds_NonXtal_Prot#'!A:AL,31,FALSE)-VLOOKUP(A86,'SegEnds_NonXtal_Prot#'!A:AL,28,FALSE)</f>
        <v>56</v>
      </c>
      <c r="AJ86" s="1">
        <f>VLOOKUP(A86,'SegEnds_NonXtal_Prot#'!A:AL,34,FALSE)-VLOOKUP(A86,'SegEnds_NonXtal_Prot#'!A:AL,31,FALSE)</f>
        <v>36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NoXtal</v>
      </c>
    </row>
    <row r="87" spans="1:38" x14ac:dyDescent="0.2">
      <c r="A87" s="1" t="s">
        <v>291</v>
      </c>
      <c r="B87" s="1" t="str">
        <f>VLOOKUP(A87,Xtal_Templ!A:B,2,FALSE)</f>
        <v>hrh1_human</v>
      </c>
      <c r="C87" s="5">
        <f>VLOOKUP($B87&amp;"__wt",'SegEnds_Xtal_BW#'!$A:$Z,3,FALSE)</f>
        <v>34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67</v>
      </c>
      <c r="I87" s="1"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7">
        <f>VLOOKUP($B87&amp;"__wt",'SegEnds_Xtal_BW#'!$A:$Z,15,FALSE)</f>
        <v>38</v>
      </c>
      <c r="P87" s="1">
        <f>VLOOKUP($B87&amp;"__wt",'SegEnds_Xtal_BW#'!$A:$Z,16,FALSE)</f>
        <v>62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35</v>
      </c>
      <c r="T87" s="1">
        <f t="array" ref="T87">INDEX(ICL3_classA!$G$2:$G$37,MATCH(MIN(ABS(AI87-ICL3_classA!$F$2:$F$37)),ABS(AI87-ICL3_classA!$F$2:$F$37),0))</f>
        <v>67</v>
      </c>
      <c r="U87" s="1">
        <f t="array" ref="U87">INDEX(ICL3_classA!$H$2:$H$37,MATCH(MIN(ABS(AI87-ICL3_classA!$F$2:$F$37)),ABS(AI87-ICL3_classA!$F$2:$F$37),0))</f>
        <v>26</v>
      </c>
      <c r="V87" s="1">
        <v>61</v>
      </c>
      <c r="W87" s="1">
        <v>31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14</v>
      </c>
      <c r="AD87" s="1">
        <f>VLOOKUP(A87,'SegEnds_NonXtal_Prot#'!A:AL,13,FALSE)-VLOOKUP(A87,'SegEnds_NonXtal_Prot#'!A:AL,10,FALSE)</f>
        <v>28</v>
      </c>
      <c r="AE87" s="1">
        <f>VLOOKUP(A87,'SegEnds_NonXtal_Prot#'!A:AL,16,FALSE)-VLOOKUP(A87,'SegEnds_NonXtal_Prot#'!A:AL,10,FALSE)</f>
        <v>59</v>
      </c>
      <c r="AF87" s="1">
        <f>VLOOKUP(A87,'SegEnds_NonXtal_Prot#'!A:AL,22,FALSE)-VLOOKUP(A87,'SegEnds_NonXtal_Prot#'!A:AL,19,FALSE)</f>
        <v>20</v>
      </c>
      <c r="AG87" s="1">
        <f>VLOOKUP(A87,'SegEnds_NonXtal_Prot#'!A:AL,28,FALSE)-VLOOKUP(A87,'SegEnds_NonXtal_Prot#'!A:AL,25,FALSE)</f>
        <v>24</v>
      </c>
      <c r="AH87" s="1">
        <f>VLOOKUP(A87,'SegEnds_NonXtal_Prot#'!A:AL,28,FALSE)-VLOOKUP(A87,'SegEnds_NonXtal_Prot#'!A:AL,22,FALSE)</f>
        <v>47</v>
      </c>
      <c r="AI87" s="1">
        <f>VLOOKUP(A87,'SegEnds_NonXtal_Prot#'!A:AL,31,FALSE)-VLOOKUP(A87,'SegEnds_NonXtal_Prot#'!A:AL,28,FALSE)</f>
        <v>46</v>
      </c>
      <c r="AJ87" s="1">
        <f>VLOOKUP(A87,'SegEnds_NonXtal_Prot#'!A:AL,34,FALSE)-VLOOKUP(A87,'SegEnds_NonXtal_Prot#'!A:AL,31,FALSE)</f>
        <v>36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332</v>
      </c>
      <c r="B88" s="1" t="str">
        <f>VLOOKUP(A88,Xtal_Templ!A:B,2,FALSE)</f>
        <v>opsd_bovin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56</v>
      </c>
      <c r="O88" s="87">
        <f>VLOOKUP($B88&amp;"__wt",'SegEnds_Xtal_BW#'!$A:$Z,15,FALSE)</f>
        <v>38</v>
      </c>
      <c r="P88" s="1">
        <f>VLOOKUP($B88&amp;"__wt",'SegEnds_Xtal_BW#'!$A:$Z,16,FALSE)</f>
        <v>62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34</v>
      </c>
      <c r="T88" s="1">
        <f t="array" ref="T88">INDEX(ICL3_classA!$G$2:$G$37,MATCH(MIN(ABS(AI88-ICL3_classA!$F$2:$F$37)),ABS(AI88-ICL3_classA!$F$2:$F$37),0))</f>
        <v>73</v>
      </c>
      <c r="U88" s="1">
        <f t="array" ref="U88">INDEX(ICL3_classA!$H$2:$H$37,MATCH(MIN(ABS(AI88-ICL3_classA!$F$2:$F$37)),ABS(AI88-ICL3_classA!$F$2:$F$37),0))</f>
        <v>22</v>
      </c>
      <c r="V88" s="1">
        <v>61</v>
      </c>
      <c r="W88" s="1">
        <v>31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59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>
        <f>VLOOKUP(A88,'SegEnds_NonXtal_Prot#'!A:AL,10,FALSE)-VLOOKUP(A88,'SegEnds_NonXtal_Prot#'!A:AL,7,FALSE)</f>
        <v>15</v>
      </c>
      <c r="AD88" s="1">
        <f>VLOOKUP(A88,'SegEnds_NonXtal_Prot#'!A:AL,13,FALSE)-VLOOKUP(A88,'SegEnds_NonXtal_Prot#'!A:AL,10,FALSE)</f>
        <v>20</v>
      </c>
      <c r="AE88" s="1">
        <f>VLOOKUP(A88,'SegEnds_NonXtal_Prot#'!A:AL,16,FALSE)-VLOOKUP(A88,'SegEnds_NonXtal_Prot#'!A:AL,10,FALSE)</f>
        <v>52</v>
      </c>
      <c r="AF88" s="1" t="e">
        <f>VLOOKUP(A88,'SegEnds_NonXtal_Prot#'!A:AL,22,FALSE)-VLOOKUP(A88,'SegEnds_NonXtal_Prot#'!A:AL,19,FALSE)</f>
        <v>#VALUE!</v>
      </c>
      <c r="AG88" s="1">
        <f>VLOOKUP(A88,'SegEnds_NonXtal_Prot#'!A:AL,28,FALSE)-VLOOKUP(A88,'SegEnds_NonXtal_Prot#'!A:AL,25,FALSE)</f>
        <v>26</v>
      </c>
      <c r="AH88" s="1">
        <f>VLOOKUP(A88,'SegEnds_NonXtal_Prot#'!A:AL,28,FALSE)-VLOOKUP(A88,'SegEnds_NonXtal_Prot#'!A:AL,22,FALSE)</f>
        <v>52</v>
      </c>
      <c r="AI88" s="1">
        <f>VLOOKUP(A88,'SegEnds_NonXtal_Prot#'!A:AL,31,FALSE)-VLOOKUP(A88,'SegEnds_NonXtal_Prot#'!A:AL,28,FALSE)</f>
        <v>56</v>
      </c>
      <c r="AJ88" s="1">
        <f>VLOOKUP(A88,'SegEnds_NonXtal_Prot#'!A:AL,34,FALSE)-VLOOKUP(A88,'SegEnds_NonXtal_Prot#'!A:AL,31,FALSE)</f>
        <v>36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NoXtal</v>
      </c>
    </row>
    <row r="89" spans="1:38" x14ac:dyDescent="0.2">
      <c r="A89" s="1" t="s">
        <v>333</v>
      </c>
      <c r="B89" s="1" t="str">
        <f>VLOOKUP(A89,Xtal_Templ!A:B,2,FALSE)</f>
        <v>opsd_human</v>
      </c>
      <c r="C89" s="5">
        <f>VLOOKUP($B89&amp;"__wt",'SegEnds_Xtal_BW#'!$A:$Z,3,FALSE)</f>
        <v>29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67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7">
        <f>VLOOKUP($B89&amp;"__wt",'SegEnds_Xtal_BW#'!$A:$Z,15,FALSE)</f>
        <v>38</v>
      </c>
      <c r="P89" s="1">
        <f>VLOOKUP($B89&amp;"__wt",'SegEnds_Xtal_BW#'!$A:$Z,16,FALSE)</f>
        <v>62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34</v>
      </c>
      <c r="T89" s="1">
        <f t="array" ref="T89">INDEX(ICL3_classA!$G$2:$G$37,MATCH(MIN(ABS(AI89-ICL3_classA!$F$2:$F$37)),ABS(AI89-ICL3_classA!$F$2:$F$37),0))</f>
        <v>74</v>
      </c>
      <c r="U89" s="1">
        <f t="array" ref="U89">INDEX(ICL3_classA!$H$2:$H$37,MATCH(MIN(ABS(AI89-ICL3_classA!$F$2:$F$37)),ABS(AI89-ICL3_classA!$F$2:$F$37),0))</f>
        <v>21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20</v>
      </c>
      <c r="AE89" s="1">
        <f>VLOOKUP(A89,'SegEnds_NonXtal_Prot#'!A:AL,16,FALSE)-VLOOKUP(A89,'SegEnds_NonXtal_Prot#'!A:AL,10,FALSE)</f>
        <v>52</v>
      </c>
      <c r="AF89" s="1">
        <f>VLOOKUP(A89,'SegEnds_NonXtal_Prot#'!A:AL,22,FALSE)-VLOOKUP(A89,'SegEnds_NonXtal_Prot#'!A:AL,19,FALSE)</f>
        <v>20</v>
      </c>
      <c r="AG89" s="1">
        <f>VLOOKUP(A89,'SegEnds_NonXtal_Prot#'!A:AL,28,FALSE)-VLOOKUP(A89,'SegEnds_NonXtal_Prot#'!A:AL,25,FALSE)</f>
        <v>26</v>
      </c>
      <c r="AH89" s="1">
        <f>VLOOKUP(A89,'SegEnds_NonXtal_Prot#'!A:AL,28,FALSE)-VLOOKUP(A89,'SegEnds_NonXtal_Prot#'!A:AL,22,FALSE)</f>
        <v>52</v>
      </c>
      <c r="AI89" s="1">
        <f>VLOOKUP(A89,'SegEnds_NonXtal_Prot#'!A:AL,31,FALSE)-VLOOKUP(A89,'SegEnds_NonXtal_Prot#'!A:AL,28,FALSE)</f>
        <v>64</v>
      </c>
      <c r="AJ89" s="1">
        <f>VLOOKUP(A89,'SegEnds_NonXtal_Prot#'!A:AL,34,FALSE)-VLOOKUP(A89,'SegEnds_NonXtal_Prot#'!A:AL,31,FALSE)</f>
        <v>36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NoXtal</v>
      </c>
    </row>
    <row r="90" spans="1:38" x14ac:dyDescent="0.2">
      <c r="A90" s="1" t="s">
        <v>334</v>
      </c>
      <c r="B90" s="1" t="str">
        <f>VLOOKUP(A90,Xtal_Templ!A:B,2,FALSE)</f>
        <v>opsd_bovin</v>
      </c>
      <c r="C90" s="5">
        <f>VLOOKUP($B90&amp;"__wt",'SegEnds_Xtal_BW#'!$A:$Z,3,FALSE)</f>
        <v>28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67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08">
        <v>56</v>
      </c>
      <c r="O90" s="87">
        <f>VLOOKUP($B90&amp;"__wt",'SegEnds_Xtal_BW#'!$A:$Z,15,FALSE)</f>
        <v>38</v>
      </c>
      <c r="P90" s="1">
        <f>VLOOKUP($B90&amp;"__wt",'SegEnds_Xtal_BW#'!$A:$Z,16,FALSE)</f>
        <v>62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34</v>
      </c>
      <c r="T90" s="1">
        <f t="array" ref="T90">INDEX(ICL3_classA!$G$2:$G$37,MATCH(MIN(ABS(AI90-ICL3_classA!$F$2:$F$37)),ABS(AI90-ICL3_classA!$F$2:$F$37),0))</f>
        <v>73</v>
      </c>
      <c r="U90" s="1">
        <f t="array" ref="U90">INDEX(ICL3_classA!$H$2:$H$37,MATCH(MIN(ABS(AI90-ICL3_classA!$F$2:$F$37)),ABS(AI90-ICL3_classA!$F$2:$F$37),0))</f>
        <v>22</v>
      </c>
      <c r="V90" s="1">
        <v>61</v>
      </c>
      <c r="W90" s="1">
        <v>31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14</v>
      </c>
      <c r="AD90" s="1">
        <f>VLOOKUP(A90,'SegEnds_NonXtal_Prot#'!A:AL,13,FALSE)-VLOOKUP(A90,'SegEnds_NonXtal_Prot#'!A:AL,10,FALSE)</f>
        <v>20</v>
      </c>
      <c r="AE90" s="1">
        <f>VLOOKUP(A90,'SegEnds_NonXtal_Prot#'!A:AL,16,FALSE)-VLOOKUP(A90,'SegEnds_NonXtal_Prot#'!A:AL,10,FALSE)</f>
        <v>52</v>
      </c>
      <c r="AF90" s="1">
        <f>VLOOKUP(A90,'SegEnds_NonXtal_Prot#'!A:AL,22,FALSE)-VLOOKUP(A90,'SegEnds_NonXtal_Prot#'!A:AL,19,FALSE)</f>
        <v>19</v>
      </c>
      <c r="AG90" s="1">
        <f>VLOOKUP(A90,'SegEnds_NonXtal_Prot#'!A:AL,28,FALSE)-VLOOKUP(A90,'SegEnds_NonXtal_Prot#'!A:AL,25,FALSE)</f>
        <v>28</v>
      </c>
      <c r="AH90" s="1">
        <f>VLOOKUP(A90,'SegEnds_NonXtal_Prot#'!A:AL,28,FALSE)-VLOOKUP(A90,'SegEnds_NonXtal_Prot#'!A:AL,22,FALSE)</f>
        <v>54</v>
      </c>
      <c r="AI90" s="1">
        <f>VLOOKUP(A90,'SegEnds_NonXtal_Prot#'!A:AL,31,FALSE)-VLOOKUP(A90,'SegEnds_NonXtal_Prot#'!A:AL,28,FALSE)</f>
        <v>56</v>
      </c>
      <c r="AJ90" s="1">
        <f>VLOOKUP(A90,'SegEnds_NonXtal_Prot#'!A:AL,34,FALSE)-VLOOKUP(A90,'SegEnds_NonXtal_Prot#'!A:AL,31,FALSE)</f>
        <v>36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NoXtal</v>
      </c>
    </row>
    <row r="91" spans="1:38" x14ac:dyDescent="0.2">
      <c r="A91" s="1" t="s">
        <v>338</v>
      </c>
      <c r="B91" s="1" t="str">
        <f>VLOOKUP(A91,Xtal_Templ!A:B,2,FALSE)</f>
        <v>opsd_human</v>
      </c>
      <c r="C91" s="5">
        <f>VLOOKUP($B91&amp;"__wt",'SegEnds_Xtal_BW#'!$A:$Z,3,FALSE)</f>
        <v>29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67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08">
        <v>56</v>
      </c>
      <c r="O91" s="87">
        <f>VLOOKUP($B91&amp;"__wt",'SegEnds_Xtal_BW#'!$A:$Z,15,FALSE)</f>
        <v>38</v>
      </c>
      <c r="P91" s="1">
        <f>VLOOKUP($B91&amp;"__wt",'SegEnds_Xtal_BW#'!$A:$Z,16,FALSE)</f>
        <v>62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34</v>
      </c>
      <c r="T91" s="1">
        <f t="array" ref="T91">INDEX(ICL3_classA!$G$2:$G$37,MATCH(MIN(ABS(AI91-ICL3_classA!$F$2:$F$37)),ABS(AI91-ICL3_classA!$F$2:$F$37),0))</f>
        <v>72</v>
      </c>
      <c r="U91" s="1">
        <f t="array" ref="U91">INDEX(ICL3_classA!$H$2:$H$37,MATCH(MIN(ABS(AI91-ICL3_classA!$F$2:$F$37)),ABS(AI91-ICL3_classA!$F$2:$F$37),0))</f>
        <v>24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15</v>
      </c>
      <c r="AD91" s="1">
        <f>VLOOKUP(A91,'SegEnds_NonXtal_Prot#'!A:AL,13,FALSE)-VLOOKUP(A91,'SegEnds_NonXtal_Prot#'!A:AL,10,FALSE)</f>
        <v>20</v>
      </c>
      <c r="AE91" s="1">
        <f>VLOOKUP(A91,'SegEnds_NonXtal_Prot#'!A:AL,16,FALSE)-VLOOKUP(A91,'SegEnds_NonXtal_Prot#'!A:AL,10,FALSE)</f>
        <v>52</v>
      </c>
      <c r="AF91" s="1">
        <f>VLOOKUP(A91,'SegEnds_NonXtal_Prot#'!A:AL,22,FALSE)-VLOOKUP(A91,'SegEnds_NonXtal_Prot#'!A:AL,19,FALSE)</f>
        <v>19</v>
      </c>
      <c r="AG91" s="1">
        <f>VLOOKUP(A91,'SegEnds_NonXtal_Prot#'!A:AL,28,FALSE)-VLOOKUP(A91,'SegEnds_NonXtal_Prot#'!A:AL,25,FALSE)</f>
        <v>28</v>
      </c>
      <c r="AH91" s="1">
        <f>VLOOKUP(A91,'SegEnds_NonXtal_Prot#'!A:AL,28,FALSE)-VLOOKUP(A91,'SegEnds_NonXtal_Prot#'!A:AL,22,FALSE)</f>
        <v>54</v>
      </c>
      <c r="AI91" s="1">
        <f>VLOOKUP(A91,'SegEnds_NonXtal_Prot#'!A:AL,31,FALSE)-VLOOKUP(A91,'SegEnds_NonXtal_Prot#'!A:AL,28,FALSE)</f>
        <v>52</v>
      </c>
      <c r="AJ91" s="1">
        <f>VLOOKUP(A91,'SegEnds_NonXtal_Prot#'!A:AL,34,FALSE)-VLOOKUP(A91,'SegEnds_NonXtal_Prot#'!A:AL,31,FALSE)</f>
        <v>36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NoXtal</v>
      </c>
    </row>
    <row r="92" spans="1:38" x14ac:dyDescent="0.2">
      <c r="A92" s="1" t="s">
        <v>920</v>
      </c>
      <c r="B92" s="1" t="str">
        <f>VLOOKUP(A92,Xtal_Templ!A:B,2,FALSE)</f>
        <v>opsd_bovin</v>
      </c>
      <c r="C92" s="5">
        <f>VLOOKUP($B92&amp;"__wt",'SegEnds_Xtal_BW#'!$A:$Z,3,FALSE)</f>
        <v>28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08">
        <f>VLOOKUP($B92&amp;"__wt",'SegEnds_Xtal_BW#'!$A:$Z,14,FALSE)</f>
        <v>56</v>
      </c>
      <c r="O92" s="87">
        <f>VLOOKUP($B92&amp;"__wt",'SegEnds_Xtal_BW#'!$A:$Z,15,FALSE)</f>
        <v>38</v>
      </c>
      <c r="P92" s="1">
        <f>VLOOKUP($B92&amp;"__wt",'SegEnds_Xtal_BW#'!$A:$Z,16,FALSE)</f>
        <v>62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34</v>
      </c>
      <c r="T92" s="1">
        <f t="array" ref="T92">INDEX(ICL3_classA!$G$2:$G$37,MATCH(MIN(ABS(AI92-ICL3_classA!$F$2:$F$37)),ABS(AI92-ICL3_classA!$F$2:$F$37),0))</f>
        <v>72</v>
      </c>
      <c r="U92" s="1">
        <f t="array" ref="U92">INDEX(ICL3_classA!$H$2:$H$37,MATCH(MIN(ABS(AI92-ICL3_classA!$F$2:$F$37)),ABS(AI92-ICL3_classA!$F$2:$F$37),0))</f>
        <v>24</v>
      </c>
      <c r="V92" s="1">
        <v>61</v>
      </c>
      <c r="W92" s="1">
        <v>31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28</v>
      </c>
      <c r="AC92" s="1">
        <f>VLOOKUP(A92,'SegEnds_NonXtal_Prot#'!A:AL,10,FALSE)-VLOOKUP(A92,'SegEnds_NonXtal_Prot#'!A:AL,7,FALSE)</f>
        <v>15</v>
      </c>
      <c r="AD92" s="1">
        <f>VLOOKUP(A92,'SegEnds_NonXtal_Prot#'!A:AL,13,FALSE)-VLOOKUP(A92,'SegEnds_NonXtal_Prot#'!A:AL,10,FALSE)</f>
        <v>20</v>
      </c>
      <c r="AE92" s="1">
        <f>VLOOKUP(A92,'SegEnds_NonXtal_Prot#'!A:AL,16,FALSE)-VLOOKUP(A92,'SegEnds_NonXtal_Prot#'!A:AL,10,FALSE)</f>
        <v>52</v>
      </c>
      <c r="AF92" s="1">
        <f>VLOOKUP(A92,'SegEnds_NonXtal_Prot#'!A:AL,22,FALSE)-VLOOKUP(A92,'SegEnds_NonXtal_Prot#'!A:AL,19,FALSE)</f>
        <v>19</v>
      </c>
      <c r="AG92" s="1">
        <f>VLOOKUP(A92,'SegEnds_NonXtal_Prot#'!A:AL,28,FALSE)-VLOOKUP(A92,'SegEnds_NonXtal_Prot#'!A:AL,25,FALSE)</f>
        <v>28</v>
      </c>
      <c r="AH92" s="1">
        <f>VLOOKUP(A92,'SegEnds_NonXtal_Prot#'!A:AL,28,FALSE)-VLOOKUP(A92,'SegEnds_NonXtal_Prot#'!A:AL,22,FALSE)</f>
        <v>54</v>
      </c>
      <c r="AI92" s="1">
        <f>VLOOKUP(A92,'SegEnds_NonXtal_Prot#'!A:AL,31,FALSE)-VLOOKUP(A92,'SegEnds_NonXtal_Prot#'!A:AL,28,FALSE)</f>
        <v>52</v>
      </c>
      <c r="AJ92" s="1">
        <f>VLOOKUP(A92,'SegEnds_NonXtal_Prot#'!A:AL,34,FALSE)-VLOOKUP(A92,'SegEnds_NonXtal_Prot#'!A:AL,31,FALSE)</f>
        <v>36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Xtal</v>
      </c>
    </row>
    <row r="93" spans="1:38" x14ac:dyDescent="0.2">
      <c r="A93" s="1" t="s">
        <v>339</v>
      </c>
      <c r="B93" s="1" t="str">
        <f>VLOOKUP(A93,Xtal_Templ!A:B,2,FALSE)</f>
        <v>opsd_human</v>
      </c>
      <c r="C93" s="5">
        <f>VLOOKUP($B93&amp;"__wt",'SegEnds_Xtal_BW#'!$A:$Z,3,FALSE)</f>
        <v>29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67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08">
        <f>VLOOKUP($B93&amp;"__wt",'SegEnds_Xtal_BW#'!$A:$Z,14,FALSE)</f>
        <v>56</v>
      </c>
      <c r="O93" s="87">
        <f>VLOOKUP($B93&amp;"__wt",'SegEnds_Xtal_BW#'!$A:$Z,15,FALSE)</f>
        <v>38</v>
      </c>
      <c r="P93" s="1">
        <f>VLOOKUP($B93&amp;"__wt",'SegEnds_Xtal_BW#'!$A:$Z,16,FALSE)</f>
        <v>62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34</v>
      </c>
      <c r="T93" s="1">
        <f t="array" ref="T93">INDEX(ICL3_classA!$G$2:$G$37,MATCH(MIN(ABS(AI93-ICL3_classA!$F$2:$F$37)),ABS(AI93-ICL3_classA!$F$2:$F$37),0))</f>
        <v>72</v>
      </c>
      <c r="U93" s="1">
        <f t="array" ref="U93">INDEX(ICL3_classA!$H$2:$H$37,MATCH(MIN(ABS(AI93-ICL3_classA!$F$2:$F$37)),ABS(AI93-ICL3_classA!$F$2:$F$37),0))</f>
        <v>24</v>
      </c>
      <c r="V93" s="1">
        <v>61</v>
      </c>
      <c r="W93" s="1">
        <v>31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28</v>
      </c>
      <c r="AC93" s="1">
        <f>VLOOKUP(A93,'SegEnds_NonXtal_Prot#'!A:AL,10,FALSE)-VLOOKUP(A93,'SegEnds_NonXtal_Prot#'!A:AL,7,FALSE)</f>
        <v>15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19</v>
      </c>
      <c r="AG93" s="1">
        <f>VLOOKUP(A93,'SegEnds_NonXtal_Prot#'!A:AL,28,FALSE)-VLOOKUP(A93,'SegEnds_NonXtal_Prot#'!A:AL,25,FALSE)</f>
        <v>28</v>
      </c>
      <c r="AH93" s="1">
        <f>VLOOKUP(A93,'SegEnds_NonXtal_Prot#'!A:AL,28,FALSE)-VLOOKUP(A93,'SegEnds_NonXtal_Prot#'!A:AL,22,FALSE)</f>
        <v>54</v>
      </c>
      <c r="AI93" s="1">
        <f>VLOOKUP(A93,'SegEnds_NonXtal_Prot#'!A:AL,31,FALSE)-VLOOKUP(A93,'SegEnds_NonXtal_Prot#'!A:AL,28,FALSE)</f>
        <v>52</v>
      </c>
      <c r="AJ93" s="1">
        <f>VLOOKUP(A93,'SegEnds_NonXtal_Prot#'!A:AL,34,FALSE)-VLOOKUP(A93,'SegEnds_NonXtal_Prot#'!A:AL,31,FALSE)</f>
        <v>36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Xtal</v>
      </c>
    </row>
    <row r="94" spans="1:38" x14ac:dyDescent="0.2">
      <c r="A94" s="1" t="s">
        <v>922</v>
      </c>
      <c r="B94" s="1" t="str">
        <f>VLOOKUP(A94,Xtal_Templ!A:B,2,FALSE)</f>
        <v>opsd_todpa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69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f>VLOOKUP($B94&amp;"__wt",'SegEnds_Xtal_BW#'!$A:$Z,14,FALSE)</f>
        <v>57</v>
      </c>
      <c r="O94" s="87">
        <f>VLOOKUP($B94&amp;"__wt",'SegEnds_Xtal_BW#'!$A:$Z,15,FALSE)</f>
        <v>38</v>
      </c>
      <c r="P94" s="1">
        <f>VLOOKUP($B94&amp;"__wt",'SegEnds_Xtal_BW#'!$A:$Z,16,FALSE)</f>
        <v>62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INDEX(ICL3_classA!$G$2:$G$37,MATCH(MIN(ABS(AI94-ICL3_classA!$F$2:$F$37)),ABS(AI94-ICL3_classA!$F$2:$F$37),0))</f>
        <v>74</v>
      </c>
      <c r="U94" s="1">
        <f t="array" ref="U94">INDEX(ICL3_classA!$H$2:$H$37,MATCH(MIN(ABS(AI94-ICL3_classA!$F$2:$F$37)),ABS(AI94-ICL3_classA!$F$2:$F$37),0))</f>
        <v>21</v>
      </c>
      <c r="V94" s="1">
        <v>61</v>
      </c>
      <c r="W94" s="1">
        <v>31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58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>
        <f>VLOOKUP(A94,'SegEnds_NonXtal_Prot#'!A:AL,10,FALSE)-VLOOKUP(A94,'SegEnds_NonXtal_Prot#'!A:AL,7,FALSE)</f>
        <v>15</v>
      </c>
      <c r="AD94" s="1">
        <f>VLOOKUP(A94,'SegEnds_NonXtal_Prot#'!A:AL,13,FALSE)-VLOOKUP(A94,'SegEnds_NonXtal_Prot#'!A:AL,10,FALSE)</f>
        <v>21</v>
      </c>
      <c r="AE94" s="1">
        <f>VLOOKUP(A94,'SegEnds_NonXtal_Prot#'!A:AL,16,FALSE)-VLOOKUP(A94,'SegEnds_NonXtal_Prot#'!A:AL,10,FALSE)</f>
        <v>53</v>
      </c>
      <c r="AF94" s="1">
        <f>VLOOKUP(A94,'SegEnds_NonXtal_Prot#'!A:AL,22,FALSE)-VLOOKUP(A94,'SegEnds_NonXtal_Prot#'!A:AL,19,FALSE)</f>
        <v>20</v>
      </c>
      <c r="AG94" s="1">
        <f>VLOOKUP(A94,'SegEnds_NonXtal_Prot#'!A:AL,28,FALSE)-VLOOKUP(A94,'SegEnds_NonXtal_Prot#'!A:AL,25,FALSE)</f>
        <v>26</v>
      </c>
      <c r="AH94" s="1">
        <f>VLOOKUP(A94,'SegEnds_NonXtal_Prot#'!A:AL,28,FALSE)-VLOOKUP(A94,'SegEnds_NonXtal_Prot#'!A:AL,22,FALSE)</f>
        <v>52</v>
      </c>
      <c r="AI94" s="1">
        <f>VLOOKUP(A94,'SegEnds_NonXtal_Prot#'!A:AL,31,FALSE)-VLOOKUP(A94,'SegEnds_NonXtal_Prot#'!A:AL,28,FALSE)</f>
        <v>64</v>
      </c>
      <c r="AJ94" s="1">
        <f>VLOOKUP(A94,'SegEnds_NonXtal_Prot#'!A:AL,34,FALSE)-VLOOKUP(A94,'SegEnds_NonXtal_Prot#'!A:AL,31,FALSE)</f>
        <v>36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Xtal</v>
      </c>
    </row>
    <row r="95" spans="1:38" x14ac:dyDescent="0.2">
      <c r="A95" s="1" t="s">
        <v>340</v>
      </c>
      <c r="B95" s="1" t="str">
        <f>VLOOKUP(A95,Xtal_Templ!A:B,2,FALSE)</f>
        <v>opsd_human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f>VLOOKUP($B95&amp;"__wt",'SegEnds_Xtal_BW#'!$A:$Z,14,FALSE)</f>
        <v>56</v>
      </c>
      <c r="O95" s="87">
        <f>VLOOKUP($B95&amp;"__wt",'SegEnds_Xtal_BW#'!$A:$Z,15,FALSE)</f>
        <v>38</v>
      </c>
      <c r="P95" s="1">
        <f>VLOOKUP($B95&amp;"__wt",'SegEnds_Xtal_BW#'!$A:$Z,16,FALSE)</f>
        <v>62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34</v>
      </c>
      <c r="T95" s="1">
        <f t="array" ref="T95">INDEX(ICL3_classA!$G$2:$G$37,MATCH(MIN(ABS(AI95-ICL3_classA!$F$2:$F$37)),ABS(AI95-ICL3_classA!$F$2:$F$37),0))</f>
        <v>72</v>
      </c>
      <c r="U95" s="1">
        <f t="array" ref="U95">INDEX(ICL3_classA!$H$2:$H$37,MATCH(MIN(ABS(AI95-ICL3_classA!$F$2:$F$37)),ABS(AI95-ICL3_classA!$F$2:$F$37),0))</f>
        <v>24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20</v>
      </c>
      <c r="AE95" s="1">
        <f>VLOOKUP(A95,'SegEnds_NonXtal_Prot#'!A:AL,16,FALSE)-VLOOKUP(A95,'SegEnds_NonXtal_Prot#'!A:AL,10,FALSE)</f>
        <v>52</v>
      </c>
      <c r="AF95" s="1">
        <f>VLOOKUP(A95,'SegEnds_NonXtal_Prot#'!A:AL,22,FALSE)-VLOOKUP(A95,'SegEnds_NonXtal_Prot#'!A:AL,19,FALSE)</f>
        <v>19</v>
      </c>
      <c r="AG95" s="1">
        <f>VLOOKUP(A95,'SegEnds_NonXtal_Prot#'!A:AL,28,FALSE)-VLOOKUP(A95,'SegEnds_NonXtal_Prot#'!A:AL,25,FALSE)</f>
        <v>28</v>
      </c>
      <c r="AH95" s="1">
        <f>VLOOKUP(A95,'SegEnds_NonXtal_Prot#'!A:AL,28,FALSE)-VLOOKUP(A95,'SegEnds_NonXtal_Prot#'!A:AL,22,FALSE)</f>
        <v>54</v>
      </c>
      <c r="AI95" s="1">
        <f>VLOOKUP(A95,'SegEnds_NonXtal_Prot#'!A:AL,31,FALSE)-VLOOKUP(A95,'SegEnds_NonXtal_Prot#'!A:AL,28,FALSE)</f>
        <v>52</v>
      </c>
      <c r="AJ95" s="1">
        <f>VLOOKUP(A95,'SegEnds_NonXtal_Prot#'!A:AL,34,FALSE)-VLOOKUP(A95,'SegEnds_NonXtal_Prot#'!A:AL,31,FALSE)</f>
        <v>36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NoXtal</v>
      </c>
    </row>
    <row r="96" spans="1:38" x14ac:dyDescent="0.2">
      <c r="A96" s="1" t="s">
        <v>341</v>
      </c>
      <c r="B96" s="1" t="str">
        <f>VLOOKUP(A96,Xtal_Templ!A:B,2,FALSE)</f>
        <v>opsd_bovin</v>
      </c>
      <c r="C96" s="5">
        <f>VLOOKUP($B96&amp;"__wt",'SegEnds_Xtal_BW#'!$A:$Z,3,FALSE)</f>
        <v>28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67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f>VLOOKUP($B96&amp;"__wt",'SegEnds_Xtal_BW#'!$A:$Z,14,FALSE)</f>
        <v>56</v>
      </c>
      <c r="O96" s="87">
        <f>VLOOKUP($B96&amp;"__wt",'SegEnds_Xtal_BW#'!$A:$Z,15,FALSE)</f>
        <v>38</v>
      </c>
      <c r="P96" s="1">
        <f>VLOOKUP($B96&amp;"__wt",'SegEnds_Xtal_BW#'!$A:$Z,16,FALSE)</f>
        <v>62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34</v>
      </c>
      <c r="T96" s="1">
        <f t="array" ref="T96">INDEX(ICL3_classA!$G$2:$G$37,MATCH(MIN(ABS(AI96-ICL3_classA!$F$2:$F$37)),ABS(AI96-ICL3_classA!$F$2:$F$37),0))</f>
        <v>72</v>
      </c>
      <c r="U96" s="1">
        <f t="array" ref="U96">INDEX(ICL3_classA!$H$2:$H$37,MATCH(MIN(ABS(AI96-ICL3_classA!$F$2:$F$37)),ABS(AI96-ICL3_classA!$F$2:$F$37),0))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28</v>
      </c>
      <c r="AC96" s="1">
        <f>VLOOKUP(A96,'SegEnds_NonXtal_Prot#'!A:AL,10,FALSE)-VLOOKUP(A96,'SegEnds_NonXtal_Prot#'!A:AL,7,FALSE)</f>
        <v>15</v>
      </c>
      <c r="AD96" s="1">
        <f>VLOOKUP(A96,'SegEnds_NonXtal_Prot#'!A:AL,13,FALSE)-VLOOKUP(A96,'SegEnds_NonXtal_Prot#'!A:AL,10,FALSE)</f>
        <v>19</v>
      </c>
      <c r="AE96" s="1">
        <f>VLOOKUP(A96,'SegEnds_NonXtal_Prot#'!A:AL,16,FALSE)-VLOOKUP(A96,'SegEnds_NonXtal_Prot#'!A:AL,10,FALSE)</f>
        <v>52</v>
      </c>
      <c r="AF96" s="1">
        <f>VLOOKUP(A96,'SegEnds_NonXtal_Prot#'!A:AL,22,FALSE)-VLOOKUP(A96,'SegEnds_NonXtal_Prot#'!A:AL,19,FALSE)</f>
        <v>19</v>
      </c>
      <c r="AG96" s="1">
        <f>VLOOKUP(A96,'SegEnds_NonXtal_Prot#'!A:AL,28,FALSE)-VLOOKUP(A96,'SegEnds_NonXtal_Prot#'!A:AL,25,FALSE)</f>
        <v>28</v>
      </c>
      <c r="AH96" s="1">
        <f>VLOOKUP(A96,'SegEnds_NonXtal_Prot#'!A:AL,28,FALSE)-VLOOKUP(A96,'SegEnds_NonXtal_Prot#'!A:AL,22,FALSE)</f>
        <v>54</v>
      </c>
      <c r="AI96" s="1">
        <f>VLOOKUP(A96,'SegEnds_NonXtal_Prot#'!A:AL,31,FALSE)-VLOOKUP(A96,'SegEnds_NonXtal_Prot#'!A:AL,28,FALSE)</f>
        <v>52</v>
      </c>
      <c r="AJ96" s="1">
        <f>VLOOKUP(A96,'SegEnds_NonXtal_Prot#'!A:AL,34,FALSE)-VLOOKUP(A96,'SegEnds_NonXtal_Prot#'!A:AL,31,FALSE)</f>
        <v>36</v>
      </c>
      <c r="AK96" s="1">
        <f>VLOOKUP(A96,'SegEnds_NonXtal_Prot#'!A:AL,37,FALSE)-VLOOKUP(A96,'SegEnds_NonXtal_Prot#'!A:AL,34,FALSE)</f>
        <v>10</v>
      </c>
      <c r="AL96" s="1" t="str">
        <f>IF(ISERROR(MATCH(A96,'SegEnds_Xtal_Prot#'!B:B, 0)), "NoXtal", "Xtal")</f>
        <v>NoXtal</v>
      </c>
    </row>
    <row r="97" spans="1:38" x14ac:dyDescent="0.2">
      <c r="A97" s="4" t="s">
        <v>344</v>
      </c>
      <c r="B97" s="4" t="str">
        <f>VLOOKUP(A97,Xtal_Templ!A:B,2,FALSE)</f>
        <v>ox1r_human</v>
      </c>
      <c r="C97" s="5">
        <f>VLOOKUP($B97&amp;"__wt",'SegEnds_Xtal_BW#'!$A:$Z,3,FALSE)</f>
        <v>32</v>
      </c>
      <c r="D97" s="4">
        <f>VLOOKUP($B97&amp;"__wt",'SegEnds_Xtal_BW#'!$A:$Z,4,FALSE)</f>
        <v>60</v>
      </c>
      <c r="E97" s="4">
        <f>VLOOKUP($B97&amp;"__wt",'SegEnds_Xtal_BW#'!$A:$Z,5,FALSE)</f>
        <v>48</v>
      </c>
      <c r="F97" s="4">
        <f>VLOOKUP($B97&amp;"__wt",'SegEnds_Xtal_BW#'!$A:$Z,6,FALSE)</f>
        <v>51</v>
      </c>
      <c r="G97" s="4">
        <v>37</v>
      </c>
      <c r="H97" s="11">
        <v>66</v>
      </c>
      <c r="I97" s="4">
        <f>VLOOKUP($B97&amp;"__wt",'SegEnds_Xtal_BW#'!$A:$Z,9,FALSE)</f>
        <v>49</v>
      </c>
      <c r="J97" s="4">
        <f>VLOOKUP($B97&amp;"__wt",'SegEnds_Xtal_BW#'!$A:$Z,10,FALSE)</f>
        <v>52</v>
      </c>
      <c r="K97" s="11">
        <v>18</v>
      </c>
      <c r="L97" s="4">
        <f>VLOOKUP($B97&amp;"__wt",'SegEnds_Xtal_BW#'!$A:$Z,12,FALSE)</f>
        <v>56</v>
      </c>
      <c r="M97" s="4">
        <f>VLOOKUP($B97&amp;"__wt",'SegEnds_Xtal_BW#'!$A:$Z,13,FALSE)</f>
        <v>50</v>
      </c>
      <c r="N97" s="11">
        <v>55</v>
      </c>
      <c r="O97" s="88">
        <v>38</v>
      </c>
      <c r="P97" s="4">
        <f>VLOOKUP($B97&amp;"__wt",'SegEnds_Xtal_BW#'!$A:$Z,16,FALSE)</f>
        <v>64</v>
      </c>
      <c r="Q97" s="4">
        <f>VLOOKUP($B97&amp;"__wt",'SegEnds_Xtal_BW#'!$A:$Z,17,FALSE)</f>
        <v>50</v>
      </c>
      <c r="R97" s="4">
        <f>VLOOKUP($B97&amp;"__wt",'SegEnds_Xtal_BW#'!$A:$Z,18,FALSE)</f>
        <v>52</v>
      </c>
      <c r="S97" s="4">
        <f>VLOOKUP($B97&amp;"__wt",'SegEnds_Xtal_BW#'!$A:$Z,19,FALSE)</f>
        <v>32</v>
      </c>
      <c r="T97" s="4">
        <f t="array" ref="T97">INDEX(ICL3_classA!$G$2:$G$37,MATCH(MIN(ABS(AI97-ICL3_classA!$F$2:$F$37)),ABS(AI97-ICL3_classA!$F$2:$F$37),0))</f>
        <v>76</v>
      </c>
      <c r="U97" s="4">
        <f t="array" ref="U97">INDEX(ICL3_classA!$H$2:$H$37,MATCH(MIN(ABS(AI97-ICL3_classA!$F$2:$F$37)),ABS(AI97-ICL3_classA!$F$2:$F$37),0))</f>
        <v>24</v>
      </c>
      <c r="V97" s="4">
        <v>61</v>
      </c>
      <c r="W97" s="4">
        <v>31</v>
      </c>
      <c r="X97" s="4">
        <f>VLOOKUP($B97&amp;"__wt",'SegEnds_Xtal_BW#'!$A:$Z,24,FALSE)</f>
        <v>56</v>
      </c>
      <c r="Y97" s="4">
        <f>VLOOKUP($B97&amp;"__wt",'SegEnds_Xtal_BW#'!$A:$Z,25,FALSE)</f>
        <v>47</v>
      </c>
      <c r="Z97" s="4">
        <f>VLOOKUP($B97&amp;"__wt",'SegEnds_Xtal_BW#'!$A:$Z,26,FALSE)</f>
        <v>58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4">
        <f>VLOOKUP(A97,'SegEnds_NonXtal_Prot#'!A:AL,10,FALSE)-VLOOKUP(A97,'SegEnds_NonXtal_Prot#'!A:AL,7,FALSE)</f>
        <v>15</v>
      </c>
      <c r="AD97" s="4">
        <f>VLOOKUP(A97,'SegEnds_NonXtal_Prot#'!A:AL,13,FALSE)-VLOOKUP(A97,'SegEnds_NonXtal_Prot#'!A:AL,10,FALSE)</f>
        <v>18</v>
      </c>
      <c r="AE97" s="4">
        <f>VLOOKUP(A97,'SegEnds_NonXtal_Prot#'!A:AL,16,FALSE)-VLOOKUP(A97,'SegEnds_NonXtal_Prot#'!A:AL,10,FALSE)</f>
        <v>52</v>
      </c>
      <c r="AF97" s="1" t="e">
        <f>VLOOKUP(A97,'SegEnds_NonXtal_Prot#'!A:AL,22,FALSE)-VLOOKUP(A97,'SegEnds_NonXtal_Prot#'!A:AL,19,FALSE)</f>
        <v>#VALUE!</v>
      </c>
      <c r="AG97" s="4">
        <f>VLOOKUP(A97,'SegEnds_NonXtal_Prot#'!A:AL,28,FALSE)-VLOOKUP(A97,'SegEnds_NonXtal_Prot#'!A:AL,25,FALSE)</f>
        <v>25</v>
      </c>
      <c r="AH97" s="1">
        <f>VLOOKUP(A97,'SegEnds_NonXtal_Prot#'!A:AL,28,FALSE)-VLOOKUP(A97,'SegEnds_NonXtal_Prot#'!A:AL,22,FALSE)</f>
        <v>51</v>
      </c>
      <c r="AI97" s="4">
        <f>VLOOKUP(A97,'SegEnds_NonXtal_Prot#'!A:AL,31,FALSE)-VLOOKUP(A97,'SegEnds_NonXtal_Prot#'!A:AL,28,FALSE)</f>
        <v>78</v>
      </c>
      <c r="AJ97" s="4">
        <f>VLOOKUP(A97,'SegEnds_NonXtal_Prot#'!A:AL,34,FALSE)-VLOOKUP(A97,'SegEnds_NonXtal_Prot#'!A:AL,31,FALSE)</f>
        <v>36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NoXtal</v>
      </c>
    </row>
    <row r="98" spans="1:38" x14ac:dyDescent="0.2">
      <c r="A98" s="1" t="s">
        <v>361</v>
      </c>
      <c r="B98" s="1" t="str">
        <f>VLOOKUP(A98,Xtal_Templ!A:B,2,FALSE)</f>
        <v>ta2r_human</v>
      </c>
      <c r="C98" s="5">
        <f>VLOOKUP($B98&amp;"__wt",'SegEnds_Xtal_BW#'!$A:$Z,3,FALSE)</f>
        <v>35</v>
      </c>
      <c r="D98" s="108">
        <v>61</v>
      </c>
      <c r="E98" s="1" t="str">
        <f>VLOOKUP($B98&amp;"__wt",'SegEnds_Xtal_BW#'!$A:$Z,5,FALSE)</f>
        <v>-</v>
      </c>
      <c r="F98" s="1" t="str">
        <f>VLOOKUP($B98&amp;"__wt",'SegEnds_Xtal_BW#'!$A:$Z,6,FALSE)</f>
        <v>-</v>
      </c>
      <c r="G98" s="1">
        <v>37</v>
      </c>
      <c r="H98" s="12">
        <v>66</v>
      </c>
      <c r="I98" s="1">
        <f>VLOOKUP($B98&amp;"__wt",'SegEnds_Xtal_BW#'!$A:$Z,9,FALSE)</f>
        <v>49</v>
      </c>
      <c r="J98" s="1">
        <f>VLOOKUP($B98&amp;"__wt",'SegEnds_Xtal_BW#'!$A:$Z,10,FALSE)</f>
        <v>53</v>
      </c>
      <c r="K98" s="12">
        <v>21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7">
        <f>VLOOKUP($B98&amp;"__wt",'SegEnds_Xtal_BW#'!$A:$Z,15,FALSE)</f>
        <v>38</v>
      </c>
      <c r="P98" s="1">
        <f>VLOOKUP($B98&amp;"__wt",'SegEnds_Xtal_BW#'!$A:$Z,16,FALSE)</f>
        <v>63</v>
      </c>
      <c r="Q98" s="108">
        <v>50</v>
      </c>
      <c r="R98" s="108">
        <v>52</v>
      </c>
      <c r="S98" s="108">
        <v>31</v>
      </c>
      <c r="T98" s="1">
        <f t="array" ref="T98">INDEX(ICL3_classA!$G$2:$G$37,MATCH(MIN(ABS(AI98-ICL3_classA!$F$2:$F$37)),ABS(AI98-ICL3_classA!$F$2:$F$37),0))</f>
        <v>74</v>
      </c>
      <c r="U98" s="1">
        <f t="array" ref="U98">INDEX(ICL3_classA!$H$2:$H$37,MATCH(MIN(ABS(AI98-ICL3_classA!$F$2:$F$37)),ABS(AI98-ICL3_classA!$F$2:$F$37),0))</f>
        <v>24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66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34</v>
      </c>
      <c r="AC98" s="1">
        <f>VLOOKUP(A98,'SegEnds_NonXtal_Prot#'!A:AL,10,FALSE)-VLOOKUP(A98,'SegEnds_NonXtal_Prot#'!A:AL,7,FALSE)</f>
        <v>20</v>
      </c>
      <c r="AD98" s="1">
        <f>VLOOKUP(A98,'SegEnds_NonXtal_Prot#'!A:AL,13,FALSE)-VLOOKUP(A98,'SegEnds_NonXtal_Prot#'!A:AL,10,FALSE)</f>
        <v>20</v>
      </c>
      <c r="AE98" s="1">
        <f>VLOOKUP(A98,'SegEnds_NonXtal_Prot#'!A:AL,16,FALSE)-VLOOKUP(A98,'SegEnds_NonXtal_Prot#'!A:AL,10,FALSE)</f>
        <v>51</v>
      </c>
      <c r="AF98" s="1">
        <f>VLOOKUP(A98,'SegEnds_NonXtal_Prot#'!A:AL,22,FALSE)-VLOOKUP(A98,'SegEnds_NonXtal_Prot#'!A:AL,19,FALSE)</f>
        <v>20</v>
      </c>
      <c r="AG98" s="1">
        <f>VLOOKUP(A98,'SegEnds_NonXtal_Prot#'!A:AL,28,FALSE)-VLOOKUP(A98,'SegEnds_NonXtal_Prot#'!A:AL,25,FALSE)</f>
        <v>28</v>
      </c>
      <c r="AH98" s="1">
        <f>VLOOKUP(A98,'SegEnds_NonXtal_Prot#'!A:AL,28,FALSE)-VLOOKUP(A98,'SegEnds_NonXtal_Prot#'!A:AL,22,FALSE)</f>
        <v>54</v>
      </c>
      <c r="AI98" s="1">
        <f>VLOOKUP(A98,'SegEnds_NonXtal_Prot#'!A:AL,31,FALSE)-VLOOKUP(A98,'SegEnds_NonXtal_Prot#'!A:AL,28,FALSE)</f>
        <v>96</v>
      </c>
      <c r="AJ98" s="1">
        <f>VLOOKUP(A98,'SegEnds_NonXtal_Prot#'!A:AL,34,FALSE)-VLOOKUP(A98,'SegEnds_NonXtal_Prot#'!A:AL,31,FALSE)</f>
        <v>36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NoXtal</v>
      </c>
    </row>
    <row r="99" spans="1:38" x14ac:dyDescent="0.2">
      <c r="A99" s="1" t="s">
        <v>394</v>
      </c>
      <c r="B99" s="1" t="str">
        <f>VLOOKUP(A99,Xtal_Templ!A:B,2,FALSE)</f>
        <v>oprx_human</v>
      </c>
      <c r="C99" s="5">
        <f>VLOOKUP($B99&amp;"__wt",'SegEnds_Xtal_BW#'!$A:$Z,3,FALSE)</f>
        <v>29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66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7">
        <f>VLOOKUP($B99&amp;"__wt",'SegEnds_Xtal_BW#'!$A:$Z,15,FALSE)</f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31</v>
      </c>
      <c r="T99" s="1">
        <f t="array" ref="T99">INDEX(ICL3_classA!$G$2:$G$37,MATCH(MIN(ABS(AI99-ICL3_classA!$F$2:$F$37)),ABS(AI99-ICL3_classA!$F$2:$F$37),0))</f>
        <v>76</v>
      </c>
      <c r="U99" s="1">
        <f t="array" ref="U99">INDEX(ICL3_classA!$H$2:$H$37,MATCH(MIN(ABS(AI99-ICL3_classA!$F$2:$F$37)),ABS(AI99-ICL3_classA!$F$2:$F$37),0))</f>
        <v>24</v>
      </c>
      <c r="V99" s="1"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28</v>
      </c>
      <c r="AC99" s="1">
        <f>VLOOKUP(A99,'SegEnds_NonXtal_Prot#'!A:AL,10,FALSE)-VLOOKUP(A99,'SegEnds_NonXtal_Prot#'!A:AL,7,FALSE)</f>
        <v>15</v>
      </c>
      <c r="AD99" s="1">
        <f>VLOOKUP(A99,'SegEnds_NonXtal_Prot#'!A:AL,13,FALSE)-VLOOKUP(A99,'SegEnds_NonXtal_Prot#'!A:AL,10,FALSE)</f>
        <v>20</v>
      </c>
      <c r="AE99" s="1">
        <f>VLOOKUP(A99,'SegEnds_NonXtal_Prot#'!A:AL,16,FALSE)-VLOOKUP(A99,'SegEnds_NonXtal_Prot#'!A:AL,10,FALSE)</f>
        <v>52</v>
      </c>
      <c r="AF99" s="1">
        <f>VLOOKUP(A99,'SegEnds_NonXtal_Prot#'!A:AL,22,FALSE)-VLOOKUP(A99,'SegEnds_NonXtal_Prot#'!A:AL,19,FALSE)</f>
        <v>20</v>
      </c>
      <c r="AG99" s="1">
        <f>VLOOKUP(A99,'SegEnds_NonXtal_Prot#'!A:AL,28,FALSE)-VLOOKUP(A99,'SegEnds_NonXtal_Prot#'!A:AL,25,FALSE)</f>
        <v>24</v>
      </c>
      <c r="AH99" s="1">
        <f>VLOOKUP(A99,'SegEnds_NonXtal_Prot#'!A:AL,28,FALSE)-VLOOKUP(A99,'SegEnds_NonXtal_Prot#'!A:AL,22,FALSE)</f>
        <v>53</v>
      </c>
      <c r="AI99" s="1">
        <f>VLOOKUP(A99,'SegEnds_NonXtal_Prot#'!A:AL,31,FALSE)-VLOOKUP(A99,'SegEnds_NonXtal_Prot#'!A:AL,28,FALSE)</f>
        <v>78</v>
      </c>
      <c r="AJ99" s="1">
        <f>VLOOKUP(A99,'SegEnds_NonXtal_Prot#'!A:AL,34,FALSE)-VLOOKUP(A99,'SegEnds_NonXtal_Prot#'!A:AL,31,FALSE)</f>
        <v>36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NoXtal</v>
      </c>
    </row>
    <row r="100" spans="1:38" x14ac:dyDescent="0.2">
      <c r="A100" s="1" t="s">
        <v>395</v>
      </c>
      <c r="B100" s="1" t="str">
        <f>VLOOKUP(A100,Xtal_Templ!A:B,2,FALSE)</f>
        <v>aa2ar_human</v>
      </c>
      <c r="C100" s="5">
        <f>VLOOKUP($B100&amp;"__wt",'SegEnds_Xtal_BW#'!$A:$Z,3,FALSE)</f>
        <v>27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67</v>
      </c>
      <c r="I100" s="1"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7">
        <f>VLOOKUP($B100&amp;"__wt",'SegEnds_Xtal_BW#'!$A:$Z,15,FALSE)</f>
        <v>38</v>
      </c>
      <c r="P100" s="1">
        <f>VLOOKUP($B100&amp;"__wt",'SegEnds_Xtal_BW#'!$A:$Z,16,FALSE)</f>
        <v>63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34</v>
      </c>
      <c r="T100" s="1">
        <f t="array" ref="T100">INDEX(ICL3_classA!$G$2:$G$37,MATCH(MIN(ABS(AI100-ICL3_classA!$F$2:$F$37)),ABS(AI100-ICL3_classA!$F$2:$F$37),0))</f>
        <v>67</v>
      </c>
      <c r="U100" s="1">
        <f t="array" ref="U100">INDEX(ICL3_classA!$H$2:$H$37,MATCH(MIN(ABS(AI100-ICL3_classA!$F$2:$F$37)),ABS(AI100-ICL3_classA!$F$2:$F$37),0))</f>
        <v>26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69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14</v>
      </c>
      <c r="AD100" s="1">
        <f>VLOOKUP(A100,'SegEnds_NonXtal_Prot#'!A:AL,13,FALSE)-VLOOKUP(A100,'SegEnds_NonXtal_Prot#'!A:AL,10,FALSE)</f>
        <v>28</v>
      </c>
      <c r="AE100" s="1">
        <f>VLOOKUP(A100,'SegEnds_NonXtal_Prot#'!A:AL,16,FALSE)-VLOOKUP(A100,'SegEnds_NonXtal_Prot#'!A:AL,10,FALSE)</f>
        <v>59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24</v>
      </c>
      <c r="AH100" s="1">
        <f>VLOOKUP(A100,'SegEnds_NonXtal_Prot#'!A:AL,28,FALSE)-VLOOKUP(A100,'SegEnds_NonXtal_Prot#'!A:AL,22,FALSE)</f>
        <v>47</v>
      </c>
      <c r="AI100" s="1">
        <f>VLOOKUP(A100,'SegEnds_NonXtal_Prot#'!A:AL,31,FALSE)-VLOOKUP(A100,'SegEnds_NonXtal_Prot#'!A:AL,28,FALSE)</f>
        <v>46</v>
      </c>
      <c r="AJ100" s="1">
        <f>VLOOKUP(A100,'SegEnds_NonXtal_Prot#'!A:AL,34,FALSE)-VLOOKUP(A100,'SegEnds_NonXtal_Prot#'!A:AL,31,FALSE)</f>
        <v>36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NoXtal</v>
      </c>
    </row>
    <row r="101" spans="1:38" x14ac:dyDescent="0.2">
      <c r="A101" s="1" t="s">
        <v>399</v>
      </c>
      <c r="B101" s="1" t="str">
        <f>VLOOKUP(A101,Xtal_Templ!A:B,2,FALSE)</f>
        <v>mtr1b_human</v>
      </c>
      <c r="C101" s="5">
        <f>VLOOKUP($B101&amp;"__wt",'SegEnds_Xtal_BW#'!$A:$Z,3,FALSE)</f>
        <v>30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08">
        <v>66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7">
        <f>VLOOKUP($B101&amp;"__wt",'SegEnds_Xtal_BW#'!$A:$Z,15,FALSE)</f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35</v>
      </c>
      <c r="T101" s="1">
        <f t="array" ref="T101">INDEX(ICL3_classA!$G$2:$G$37,MATCH(MIN(ABS(AI101-ICL3_classA!$F$2:$F$37)),ABS(AI101-ICL3_classA!$F$2:$F$37),0))</f>
        <v>76</v>
      </c>
      <c r="U101" s="1">
        <f t="array" ref="U101">INDEX(ICL3_classA!$H$2:$H$37,MATCH(MIN(ABS(AI101-ICL3_classA!$F$2:$F$37)),ABS(AI101-ICL3_classA!$F$2:$F$37),0))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63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30</v>
      </c>
      <c r="AC101" s="1">
        <f>VLOOKUP(A101,'SegEnds_NonXtal_Prot#'!A:AL,10,FALSE)-VLOOKUP(A101,'SegEnds_NonXtal_Prot#'!A:AL,7,FALSE)</f>
        <v>16</v>
      </c>
      <c r="AD101" s="1">
        <f>VLOOKUP(A101,'SegEnds_NonXtal_Prot#'!A:AL,13,FALSE)-VLOOKUP(A101,'SegEnds_NonXtal_Prot#'!A:AL,10,FALSE)</f>
        <v>18</v>
      </c>
      <c r="AE101" s="1">
        <f>VLOOKUP(A101,'SegEnds_NonXtal_Prot#'!A:AL,16,FALSE)-VLOOKUP(A101,'SegEnds_NonXtal_Prot#'!A:AL,10,FALSE)</f>
        <v>52</v>
      </c>
      <c r="AF101" s="1">
        <f>VLOOKUP(A101,'SegEnds_NonXtal_Prot#'!A:AL,22,FALSE)-VLOOKUP(A101,'SegEnds_NonXtal_Prot#'!A:AL,19,FALSE)</f>
        <v>20</v>
      </c>
      <c r="AG101" s="1">
        <f>VLOOKUP(A101,'SegEnds_NonXtal_Prot#'!A:AL,28,FALSE)-VLOOKUP(A101,'SegEnds_NonXtal_Prot#'!A:AL,25,FALSE)</f>
        <v>25</v>
      </c>
      <c r="AH101" s="1">
        <f>VLOOKUP(A101,'SegEnds_NonXtal_Prot#'!A:AL,28,FALSE)-VLOOKUP(A101,'SegEnds_NonXtal_Prot#'!A:AL,22,FALSE)</f>
        <v>53</v>
      </c>
      <c r="AI101" s="1">
        <f>VLOOKUP(A101,'SegEnds_NonXtal_Prot#'!A:AL,31,FALSE)-VLOOKUP(A101,'SegEnds_NonXtal_Prot#'!A:AL,28,FALSE)</f>
        <v>69</v>
      </c>
      <c r="AJ101" s="1">
        <f>VLOOKUP(A101,'SegEnds_NonXtal_Prot#'!A:AL,34,FALSE)-VLOOKUP(A101,'SegEnds_NonXtal_Prot#'!A:AL,31,FALSE)</f>
        <v>36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NoXtal</v>
      </c>
    </row>
    <row r="102" spans="1:38" x14ac:dyDescent="0.2">
      <c r="A102" s="1" t="s">
        <v>128</v>
      </c>
      <c r="B102" s="1" t="str">
        <f>VLOOKUP(A102,Xtal_Templ!A:B,2,FALSE)</f>
        <v>5ht1b_human</v>
      </c>
      <c r="C102" s="5">
        <f>VLOOKUP($B102&amp;"__wt",'SegEnds_Xtal_BW#'!$A:$Z,3,FALSE)</f>
        <v>28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68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v>38</v>
      </c>
      <c r="P102" s="1">
        <f>VLOOKUP($B102&amp;"__wt",'SegEnds_Xtal_BW#'!$A:$Z,16,FALSE)</f>
        <v>63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INDEX(ICL3_classA!$G$2:$G$37,MATCH(MIN(ABS(AI102-ICL3_classA!$F$2:$F$37)),ABS(AI102-ICL3_classA!$F$2:$F$37),0))</f>
        <v>76</v>
      </c>
      <c r="U102" s="1">
        <f t="array" ref="U102">INDEX(ICL3_classA!$H$2:$H$37,MATCH(MIN(ABS(AI102-ICL3_classA!$F$2:$F$37)),ABS(AI102-ICL3_classA!$F$2:$F$37),0))</f>
        <v>24</v>
      </c>
      <c r="V102" s="1">
        <v>60</v>
      </c>
      <c r="W102" s="1">
        <v>31</v>
      </c>
      <c r="X102" s="125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58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>
        <f>VLOOKUP(A102,'SegEnds_NonXtal_Prot#'!A:AL,13,FALSE)-VLOOKUP(A102,'SegEnds_NonXtal_Prot#'!A:AL,10,FALSE)</f>
        <v>20</v>
      </c>
      <c r="AE102" s="1">
        <f>VLOOKUP(A102,'SegEnds_NonXtal_Prot#'!A:AL,16,FALSE)-VLOOKUP(A102,'SegEnds_NonXtal_Prot#'!A:AL,10,FALSE)</f>
        <v>52</v>
      </c>
      <c r="AF102" s="1">
        <f>VLOOKUP(A102,'SegEnds_NonXtal_Prot#'!A:AL,22,FALSE)-VLOOKUP(A102,'SegEnds_NonXtal_Prot#'!A:AL,19,FALSE)</f>
        <v>20</v>
      </c>
      <c r="AG102" s="1">
        <f>VLOOKUP(A102,'SegEnds_NonXtal_Prot#'!A:AL,28,FALSE)-VLOOKUP(A102,'SegEnds_NonXtal_Prot#'!A:AL,25,FALSE)</f>
        <v>20</v>
      </c>
      <c r="AH102" s="1">
        <f>VLOOKUP(A102,'SegEnds_NonXtal_Prot#'!A:AL,28,FALSE)-VLOOKUP(A102,'SegEnds_NonXtal_Prot#'!A:AL,22,FALSE)</f>
        <v>46</v>
      </c>
      <c r="AI102" s="1">
        <f>VLOOKUP(A102,'SegEnds_NonXtal_Prot#'!A:AL,31,FALSE)-VLOOKUP(A102,'SegEnds_NonXtal_Prot#'!A:AL,28,FALSE)</f>
        <v>153</v>
      </c>
      <c r="AJ102" s="1">
        <f>VLOOKUP(A102,'SegEnds_NonXtal_Prot#'!A:AL,34,FALSE)-VLOOKUP(A102,'SegEnds_NonXtal_Prot#'!A:AL,31,FALSE)</f>
        <v>37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34</v>
      </c>
      <c r="B103" s="1" t="str">
        <f>VLOOKUP(A103,Xtal_Templ!A:B,2,FALSE)</f>
        <v>5ht1b_human</v>
      </c>
      <c r="C103" s="5">
        <f>VLOOKUP($B103&amp;"__wt",'SegEnds_Xtal_BW#'!$A:$Z,3,FALSE)</f>
        <v>28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68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57</v>
      </c>
      <c r="O103" s="87">
        <f>VLOOKUP($B103&amp;"__wt",'SegEnds_Xtal_BW#'!$A:$Z,15,FALSE)</f>
        <v>38</v>
      </c>
      <c r="P103" s="1">
        <f>VLOOKUP($B103&amp;"__wt",'SegEnds_Xtal_BW#'!$A:$Z,16,FALSE)</f>
        <v>63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INDEX(ICL3_classA!$G$2:$G$37,MATCH(MIN(ABS(AI103-ICL3_classA!$F$2:$F$37)),ABS(AI103-ICL3_classA!$F$2:$F$37),0))</f>
        <v>74</v>
      </c>
      <c r="U103" s="1">
        <f t="array" ref="U103">INDEX(ICL3_classA!$H$2:$H$37,MATCH(MIN(ABS(AI103-ICL3_classA!$F$2:$F$37)),ABS(AI103-ICL3_classA!$F$2:$F$37),0))</f>
        <v>24</v>
      </c>
      <c r="V103" s="1">
        <v>60</v>
      </c>
      <c r="W103" s="1">
        <v>31</v>
      </c>
      <c r="X103" s="125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58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>
        <f>VLOOKUP(A103,'SegEnds_NonXtal_Prot#'!A:AL,10,FALSE)-VLOOKUP(A103,'SegEnds_NonXtal_Prot#'!A:AL,7,FALSE)</f>
        <v>15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21</v>
      </c>
      <c r="AH103" s="1">
        <f>VLOOKUP(A103,'SegEnds_NonXtal_Prot#'!A:AL,28,FALSE)-VLOOKUP(A103,'SegEnds_NonXtal_Prot#'!A:AL,22,FALSE)</f>
        <v>46</v>
      </c>
      <c r="AI103" s="1">
        <f>VLOOKUP(A103,'SegEnds_NonXtal_Prot#'!A:AL,31,FALSE)-VLOOKUP(A103,'SegEnds_NonXtal_Prot#'!A:AL,28,FALSE)</f>
        <v>109</v>
      </c>
      <c r="AJ103" s="1">
        <f>VLOOKUP(A103,'SegEnds_NonXtal_Prot#'!A:AL,34,FALSE)-VLOOKUP(A103,'SegEnds_NonXtal_Prot#'!A:AL,31,FALSE)</f>
        <v>37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Xtal</v>
      </c>
    </row>
    <row r="104" spans="1:38" x14ac:dyDescent="0.2">
      <c r="A104" s="1" t="s">
        <v>129</v>
      </c>
      <c r="B104" s="1" t="str">
        <f>VLOOKUP(A104,Xtal_Templ!A:B,2,FALSE)</f>
        <v>5ht1b_human</v>
      </c>
      <c r="C104" s="5">
        <f>VLOOKUP($B104&amp;"__wt",'SegEnds_Xtal_BW#'!$A:$Z,3,FALSE)</f>
        <v>28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68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7">
        <v>38</v>
      </c>
      <c r="P104" s="1">
        <f>VLOOKUP($B104&amp;"__wt",'SegEnds_Xtal_BW#'!$A:$Z,16,FALSE)</f>
        <v>63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INDEX(ICL3_classA!$G$2:$G$37,MATCH(MIN(ABS(AI104-ICL3_classA!$F$2:$F$37)),ABS(AI104-ICL3_classA!$F$2:$F$37),0))</f>
        <v>74</v>
      </c>
      <c r="U104" s="1">
        <f t="array" ref="U104">INDEX(ICL3_classA!$H$2:$H$37,MATCH(MIN(ABS(AI104-ICL3_classA!$F$2:$F$37)),ABS(AI104-ICL3_classA!$F$2:$F$37),0))</f>
        <v>24</v>
      </c>
      <c r="V104" s="1">
        <v>60</v>
      </c>
      <c r="W104" s="1">
        <v>31</v>
      </c>
      <c r="X104" s="125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58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1">
        <f>VLOOKUP(A104,'SegEnds_NonXtal_Prot#'!A:AL,10,FALSE)-VLOOKUP(A104,'SegEnds_NonXtal_Prot#'!A:AL,7,FALSE)</f>
        <v>15</v>
      </c>
      <c r="AD104" s="1">
        <f>VLOOKUP(A104,'SegEnds_NonXtal_Prot#'!A:AL,13,FALSE)-VLOOKUP(A104,'SegEnds_NonXtal_Prot#'!A:AL,10,FALSE)</f>
        <v>20</v>
      </c>
      <c r="AE104" s="1">
        <f>VLOOKUP(A104,'SegEnds_NonXtal_Prot#'!A:AL,16,FALSE)-VLOOKUP(A104,'SegEnds_NonXtal_Prot#'!A:AL,10,FALSE)</f>
        <v>52</v>
      </c>
      <c r="AF104" s="1">
        <f>VLOOKUP(A104,'SegEnds_NonXtal_Prot#'!A:AL,22,FALSE)-VLOOKUP(A104,'SegEnds_NonXtal_Prot#'!A:AL,19,FALSE)</f>
        <v>20</v>
      </c>
      <c r="AG104" s="1">
        <f>VLOOKUP(A104,'SegEnds_NonXtal_Prot#'!A:AL,28,FALSE)-VLOOKUP(A104,'SegEnds_NonXtal_Prot#'!A:AL,25,FALSE)</f>
        <v>21</v>
      </c>
      <c r="AH104" s="1">
        <f>VLOOKUP(A104,'SegEnds_NonXtal_Prot#'!A:AL,28,FALSE)-VLOOKUP(A104,'SegEnds_NonXtal_Prot#'!A:AL,22,FALSE)</f>
        <v>46</v>
      </c>
      <c r="AI104" s="1">
        <f>VLOOKUP(A104,'SegEnds_NonXtal_Prot#'!A:AL,31,FALSE)-VLOOKUP(A104,'SegEnds_NonXtal_Prot#'!A:AL,28,FALSE)</f>
        <v>107</v>
      </c>
      <c r="AJ104" s="1">
        <f>VLOOKUP(A104,'SegEnds_NonXtal_Prot#'!A:AL,34,FALSE)-VLOOKUP(A104,'SegEnds_NonXtal_Prot#'!A:AL,31,FALSE)</f>
        <v>37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139</v>
      </c>
      <c r="B105" s="1" t="str">
        <f>VLOOKUP(A105,Xtal_Templ!A:B,2,FALSE)</f>
        <v>aa2ar_human</v>
      </c>
      <c r="C105" s="5">
        <f>VLOOKUP($B105&amp;"__wt",'SegEnds_Xtal_BW#'!$A:$Z,3,FALSE)</f>
        <v>27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v>66</v>
      </c>
      <c r="I105" s="1">
        <f>VLOOKUP($B105&amp;"__wt",'SegEnds_Xtal_BW#'!$A:$Z,9,FALSE)</f>
        <v>50</v>
      </c>
      <c r="J105" s="1">
        <f>VLOOKUP($B105&amp;"__wt",'SegEnds_Xtal_BW#'!$A:$Z,10,FALSE)</f>
        <v>52</v>
      </c>
      <c r="K105" s="12">
        <v>24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f>VLOOKUP($B105&amp;"__wt",'SegEnds_Xtal_BW#'!$A:$Z,14,FALSE)</f>
        <v>57</v>
      </c>
      <c r="O105" s="87">
        <f>VLOOKUP($B105&amp;"__wt",'SegEnds_Xtal_BW#'!$A:$Z,15,FALSE)</f>
        <v>38</v>
      </c>
      <c r="P105" s="1">
        <f>VLOOKUP($B105&amp;"__wt",'SegEnds_Xtal_BW#'!$A:$Z,16,FALSE)</f>
        <v>63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34</v>
      </c>
      <c r="T105" s="1">
        <f t="array" ref="T105">INDEX(ICL3_classA!$G$2:$G$37,MATCH(MIN(ABS(AI105-ICL3_classA!$F$2:$F$37)),ABS(AI105-ICL3_classA!$F$2:$F$37),0))</f>
        <v>74</v>
      </c>
      <c r="U105" s="1">
        <f t="array" ref="U105">INDEX(ICL3_classA!$H$2:$H$37,MATCH(MIN(ABS(AI105-ICL3_classA!$F$2:$F$37)),ABS(AI105-ICL3_classA!$F$2:$F$37),0))</f>
        <v>21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69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>
        <f>VLOOKUP(A105,'SegEnds_NonXtal_Prot#'!A:AL,10,FALSE)-VLOOKUP(A105,'SegEnds_NonXtal_Prot#'!A:AL,7,FALSE)</f>
        <v>15</v>
      </c>
      <c r="AD105" s="1">
        <f>VLOOKUP(A105,'SegEnds_NonXtal_Prot#'!A:AL,13,FALSE)-VLOOKUP(A105,'SegEnds_NonXtal_Prot#'!A:AL,10,FALSE)</f>
        <v>18</v>
      </c>
      <c r="AE105" s="1">
        <f>VLOOKUP(A105,'SegEnds_NonXtal_Prot#'!A:AL,16,FALSE)-VLOOKUP(A105,'SegEnds_NonXtal_Prot#'!A:AL,10,FALSE)</f>
        <v>50</v>
      </c>
      <c r="AF105" s="1">
        <f>VLOOKUP(A105,'SegEnds_NonXtal_Prot#'!A:AL,22,FALSE)-VLOOKUP(A105,'SegEnds_NonXtal_Prot#'!A:AL,19,FALSE)</f>
        <v>20</v>
      </c>
      <c r="AG105" s="1">
        <f>VLOOKUP(A105,'SegEnds_NonXtal_Prot#'!A:AL,28,FALSE)-VLOOKUP(A105,'SegEnds_NonXtal_Prot#'!A:AL,25,FALSE)</f>
        <v>23</v>
      </c>
      <c r="AH105" s="1">
        <f>VLOOKUP(A105,'SegEnds_NonXtal_Prot#'!A:AL,28,FALSE)-VLOOKUP(A105,'SegEnds_NonXtal_Prot#'!A:AL,22,FALSE)</f>
        <v>60</v>
      </c>
      <c r="AI105" s="1">
        <f>VLOOKUP(A105,'SegEnds_NonXtal_Prot#'!A:AL,31,FALSE)-VLOOKUP(A105,'SegEnds_NonXtal_Prot#'!A:AL,28,FALSE)</f>
        <v>59</v>
      </c>
      <c r="AJ105" s="1">
        <f>VLOOKUP(A105,'SegEnds_NonXtal_Prot#'!A:AL,34,FALSE)-VLOOKUP(A105,'SegEnds_NonXtal_Prot#'!A:AL,31,FALSE)</f>
        <v>37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Xtal</v>
      </c>
    </row>
    <row r="106" spans="1:38" x14ac:dyDescent="0.2">
      <c r="A106" s="1" t="s">
        <v>156</v>
      </c>
      <c r="B106" s="1" t="str">
        <f>VLOOKUP(A106,Xtal_Templ!A:B,2,FALSE)</f>
        <v>drd2_human</v>
      </c>
      <c r="C106" s="5">
        <f>VLOOKUP($B106&amp;"__wt",'SegEnds_Xtal_BW#'!$A:$Z,3,FALSE)</f>
        <v>29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68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v>38</v>
      </c>
      <c r="P106" s="1">
        <f>VLOOKUP($B106&amp;"__wt",'SegEnds_Xtal_BW#'!$A:$Z,16,FALSE)</f>
        <v>62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INDEX(ICL3_classA!$G$2:$G$37,MATCH(MIN(ABS(AI106-ICL3_classA!$F$2:$F$37)),ABS(AI106-ICL3_classA!$F$2:$F$37),0))</f>
        <v>75</v>
      </c>
      <c r="U106" s="1">
        <f t="array" ref="U106">INDEX(ICL3_classA!$H$2:$H$37,MATCH(MIN(ABS(AI106-ICL3_classA!$F$2:$F$37)),ABS(AI106-ICL3_classA!$F$2:$F$37),0))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1">
        <f>VLOOKUP(A106,'SegEnds_NonXtal_Prot#'!A:AL,10,FALSE)-VLOOKUP(A106,'SegEnds_NonXtal_Prot#'!A:AL,7,FALSE)</f>
        <v>15</v>
      </c>
      <c r="AD106" s="1">
        <f>VLOOKUP(A106,'SegEnds_NonXtal_Prot#'!A:AL,13,FALSE)-VLOOKUP(A106,'SegEnds_NonXtal_Prot#'!A:AL,10,FALSE)</f>
        <v>20</v>
      </c>
      <c r="AE106" s="1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1">
        <f>VLOOKUP(A106,'SegEnds_NonXtal_Prot#'!A:AL,28,FALSE)-VLOOKUP(A106,'SegEnds_NonXtal_Prot#'!A:AL,25,FALSE)</f>
        <v>20</v>
      </c>
      <c r="AH106" s="1">
        <f>VLOOKUP(A106,'SegEnds_NonXtal_Prot#'!A:AL,28,FALSE)-VLOOKUP(A106,'SegEnds_NonXtal_Prot#'!A:AL,22,FALSE)</f>
        <v>47</v>
      </c>
      <c r="AI106" s="1">
        <f>VLOOKUP(A106,'SegEnds_NonXtal_Prot#'!A:AL,31,FALSE)-VLOOKUP(A106,'SegEnds_NonXtal_Prot#'!A:AL,28,FALSE)</f>
        <v>199</v>
      </c>
      <c r="AJ106" s="1">
        <f>VLOOKUP(A106,'SegEnds_NonXtal_Prot#'!A:AL,34,FALSE)-VLOOKUP(A106,'SegEnds_NonXtal_Prot#'!A:AL,31,FALSE)</f>
        <v>37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NoXtal</v>
      </c>
    </row>
    <row r="107" spans="1:38" x14ac:dyDescent="0.2">
      <c r="A107" s="1" t="s">
        <v>157</v>
      </c>
      <c r="B107" s="1" t="str">
        <f>VLOOKUP(A107,Xtal_Templ!A:B,2,FALSE)</f>
        <v>drd2_human</v>
      </c>
      <c r="C107" s="5">
        <f>VLOOKUP($B107&amp;"__wt",'SegEnds_Xtal_BW#'!$A:$Z,3,FALSE)</f>
        <v>29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68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7">
        <v>38</v>
      </c>
      <c r="P107" s="1">
        <f>VLOOKUP($B107&amp;"__wt",'SegEnds_Xtal_BW#'!$A:$Z,16,FALSE)</f>
        <v>62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INDEX(ICL3_classA!$G$2:$G$37,MATCH(MIN(ABS(AI107-ICL3_classA!$F$2:$F$37)),ABS(AI107-ICL3_classA!$F$2:$F$37),0))</f>
        <v>75</v>
      </c>
      <c r="U107" s="1">
        <f t="array" ref="U107">INDEX(ICL3_classA!$H$2:$H$37,MATCH(MIN(ABS(AI107-ICL3_classA!$F$2:$F$37)),ABS(AI107-ICL3_classA!$F$2:$F$37),0))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20</v>
      </c>
      <c r="AH107" s="1">
        <f>VLOOKUP(A107,'SegEnds_NonXtal_Prot#'!A:AL,28,FALSE)-VLOOKUP(A107,'SegEnds_NonXtal_Prot#'!A:AL,22,FALSE)</f>
        <v>46</v>
      </c>
      <c r="AI107" s="1">
        <f>VLOOKUP(A107,'SegEnds_NonXtal_Prot#'!A:AL,31,FALSE)-VLOOKUP(A107,'SegEnds_NonXtal_Prot#'!A:AL,28,FALSE)</f>
        <v>175</v>
      </c>
      <c r="AJ107" s="1">
        <f>VLOOKUP(A107,'SegEnds_NonXtal_Prot#'!A:AL,34,FALSE)-VLOOKUP(A107,'SegEnds_NonXtal_Prot#'!A:AL,31,FALSE)</f>
        <v>37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NoXtal</v>
      </c>
    </row>
    <row r="108" spans="1:38" x14ac:dyDescent="0.2">
      <c r="A108" s="1" t="s">
        <v>212</v>
      </c>
      <c r="B108" s="1" t="str">
        <f>VLOOKUP(A108,Xtal_Templ!A:B,2,FALSE)</f>
        <v>ccr5_human</v>
      </c>
      <c r="C108" s="5">
        <f>VLOOKUP($B108&amp;"__wt",'SegEnds_Xtal_BW#'!$A:$Z,3,FALSE)</f>
        <v>24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66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v>35</v>
      </c>
      <c r="T108" s="1">
        <f t="array" ref="T108">INDEX(ICL3_classA!$G$2:$G$37,MATCH(MIN(ABS(AI108-ICL3_classA!$F$2:$F$37)),ABS(AI108-ICL3_classA!$F$2:$F$37),0))</f>
        <v>75</v>
      </c>
      <c r="U108" s="1">
        <f t="array" ref="U108">INDEX(ICL3_classA!$H$2:$H$37,MATCH(MIN(ABS(AI108-ICL3_classA!$F$2:$F$37)),ABS(AI108-ICL3_classA!$F$2:$F$37),0))</f>
        <v>24</v>
      </c>
      <c r="V108" s="1">
        <v>61</v>
      </c>
      <c r="W108" s="1">
        <v>31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>
        <f>VLOOKUP(A108,'SegEnds_NonXtal_Prot#'!A:AL,10,FALSE)-VLOOKUP(A108,'SegEnds_NonXtal_Prot#'!A:AL,7,FALSE)</f>
        <v>15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22</v>
      </c>
      <c r="AH108" s="1">
        <f>VLOOKUP(A108,'SegEnds_NonXtal_Prot#'!A:AL,28,FALSE)-VLOOKUP(A108,'SegEnds_NonXtal_Prot#'!A:AL,22,FALSE)</f>
        <v>48</v>
      </c>
      <c r="AI108" s="1">
        <f>VLOOKUP(A108,'SegEnds_NonXtal_Prot#'!A:AL,31,FALSE)-VLOOKUP(A108,'SegEnds_NonXtal_Prot#'!A:AL,28,FALSE)</f>
        <v>210</v>
      </c>
      <c r="AJ108" s="1">
        <f>VLOOKUP(A108,'SegEnds_NonXtal_Prot#'!A:AL,34,FALSE)-VLOOKUP(A108,'SegEnds_NonXtal_Prot#'!A:AL,31,FALSE)</f>
        <v>37</v>
      </c>
      <c r="AK108" s="1">
        <f>VLOOKUP(A108,'SegEnds_NonXtal_Prot#'!A:AL,37,FALSE)-VLOOKUP(A108,'SegEnds_NonXtal_Prot#'!A:AL,34,FALSE)</f>
        <v>10</v>
      </c>
      <c r="AL108" s="1" t="str">
        <f>IF(ISERROR(MATCH(A108,'SegEnds_Xtal_Prot#'!B:B, 0)), "NoXtal", "Xtal")</f>
        <v>NoXtal</v>
      </c>
    </row>
    <row r="109" spans="1:38" x14ac:dyDescent="0.2">
      <c r="A109" s="1" t="s">
        <v>266</v>
      </c>
      <c r="B109" s="1" t="str">
        <f>VLOOKUP(A109,Xtal_Templ!A:B,2,FALSE)</f>
        <v>drd2_human</v>
      </c>
      <c r="C109" s="5">
        <f>VLOOKUP($B109&amp;"__wt",'SegEnds_Xtal_BW#'!$A:$Z,3,FALSE)</f>
        <v>29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f>VLOOKUP($B109&amp;"__wt",'SegEnds_Xtal_BW#'!$A:$Z,14,FALSE)</f>
        <v>58</v>
      </c>
      <c r="O109" s="87">
        <f>VLOOKUP($B109&amp;"__wt",'SegEnds_Xtal_BW#'!$A:$Z,15,FALSE)</f>
        <v>38</v>
      </c>
      <c r="P109" s="1">
        <f>VLOOKUP($B109&amp;"__wt",'SegEnds_Xtal_BW#'!$A:$Z,16,FALSE)</f>
        <v>62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35</v>
      </c>
      <c r="T109" s="1">
        <f t="array" ref="T109">INDEX(ICL3_classA!$G$2:$G$37,MATCH(MIN(ABS(AI109-ICL3_classA!$F$2:$F$37)),ABS(AI109-ICL3_classA!$F$2:$F$37),0))</f>
        <v>76</v>
      </c>
      <c r="U109" s="1">
        <f t="array" ref="U109">INDEX(ICL3_classA!$H$2:$H$37,MATCH(MIN(ABS(AI109-ICL3_classA!$F$2:$F$37)),ABS(AI109-ICL3_classA!$F$2:$F$37),0))</f>
        <v>24</v>
      </c>
      <c r="V109" s="1">
        <v>61</v>
      </c>
      <c r="W109" s="1">
        <v>31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30</v>
      </c>
      <c r="AC109" s="1">
        <f>VLOOKUP(A109,'SegEnds_NonXtal_Prot#'!A:AL,10,FALSE)-VLOOKUP(A109,'SegEnds_NonXtal_Prot#'!A:AL,7,FALSE)</f>
        <v>15</v>
      </c>
      <c r="AD109" s="1" t="e">
        <f>VLOOKUP(A109,'SegEnds_NonXtal_Prot#'!A:AL,13,FALSE)-VLOOKUP(A109,'SegEnds_NonXtal_Prot#'!A:AL,10,FALSE)</f>
        <v>#VALUE!</v>
      </c>
      <c r="AE109" s="1">
        <f>VLOOKUP(A109,'SegEnds_NonXtal_Prot#'!A:AL,16,FALSE)-VLOOKUP(A109,'SegEnds_NonXtal_Prot#'!A:AL,10,FALSE)</f>
        <v>53</v>
      </c>
      <c r="AF109" s="1" t="e">
        <f>VLOOKUP(A109,'SegEnds_NonXtal_Prot#'!A:AL,22,FALSE)-VLOOKUP(A109,'SegEnds_NonXtal_Prot#'!A:AL,19,FALSE)</f>
        <v>#VALUE!</v>
      </c>
      <c r="AG109" s="1">
        <f>VLOOKUP(A109,'SegEnds_NonXtal_Prot#'!A:AL,28,FALSE)-VLOOKUP(A109,'SegEnds_NonXtal_Prot#'!A:AL,25,FALSE)</f>
        <v>25</v>
      </c>
      <c r="AH109" s="1">
        <f>VLOOKUP(A109,'SegEnds_NonXtal_Prot#'!A:AL,28,FALSE)-VLOOKUP(A109,'SegEnds_NonXtal_Prot#'!A:AL,22,FALSE)</f>
        <v>45</v>
      </c>
      <c r="AI109" s="1">
        <f>VLOOKUP(A109,'SegEnds_NonXtal_Prot#'!A:AL,31,FALSE)-VLOOKUP(A109,'SegEnds_NonXtal_Prot#'!A:AL,28,FALSE)</f>
        <v>122</v>
      </c>
      <c r="AJ109" s="1">
        <f>VLOOKUP(A109,'SegEnds_NonXtal_Prot#'!A:AL,34,FALSE)-VLOOKUP(A109,'SegEnds_NonXtal_Prot#'!A:AL,31,FALSE)</f>
        <v>37</v>
      </c>
      <c r="AK109" s="1">
        <f>VLOOKUP(A109,'SegEnds_NonXtal_Prot#'!A:AL,37,FALSE)-VLOOKUP(A109,'SegEnds_NonXtal_Prot#'!A:AL,34,FALSE)</f>
        <v>10</v>
      </c>
      <c r="AL109" s="1" t="str">
        <f>IF(ISERROR(MATCH(A109,'SegEnds_Xtal_Prot#'!B:B, 0)), "NoXtal", "Xtal")</f>
        <v>NoXtal</v>
      </c>
    </row>
    <row r="110" spans="1:38" x14ac:dyDescent="0.2">
      <c r="A110" s="1" t="s">
        <v>281</v>
      </c>
      <c r="B110" s="1" t="str">
        <f>VLOOKUP(A110,Xtal_Templ!A:B,2,FALSE)</f>
        <v>acm3_rat</v>
      </c>
      <c r="C110" s="5">
        <f>VLOOKUP($B110&amp;"__wt",'SegEnds_Xtal_BW#'!$A:$Z,3,FALSE)</f>
        <v>28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21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58</v>
      </c>
      <c r="O110" s="87">
        <v>38</v>
      </c>
      <c r="P110" s="1">
        <v>63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v>35</v>
      </c>
      <c r="T110" s="1">
        <f t="array" ref="T110">INDEX(ICL3_classA!$G$2:$G$37,MATCH(MIN(ABS(AI110-ICL3_classA!$F$2:$F$37)),ABS(AI110-ICL3_classA!$F$2:$F$37),0))</f>
        <v>76</v>
      </c>
      <c r="U110" s="1">
        <f t="array" ref="U110">INDEX(ICL3_classA!$H$2:$H$37,MATCH(MIN(ABS(AI110-ICL3_classA!$F$2:$F$37)),ABS(AI110-ICL3_classA!$F$2:$F$37),0))</f>
        <v>24</v>
      </c>
      <c r="V110" s="1">
        <v>61</v>
      </c>
      <c r="W110" s="1">
        <v>31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60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>
        <f>VLOOKUP(A110,'SegEnds_NonXtal_Prot#'!A:AL,10,FALSE)-VLOOKUP(A110,'SegEnds_NonXtal_Prot#'!A:AL,7,FALSE)</f>
        <v>15</v>
      </c>
      <c r="AD110" s="1">
        <f>VLOOKUP(A110,'SegEnds_NonXtal_Prot#'!A:AL,13,FALSE)-VLOOKUP(A110,'SegEnds_NonXtal_Prot#'!A:AL,10,FALSE)</f>
        <v>19</v>
      </c>
      <c r="AE110" s="1">
        <f>VLOOKUP(A110,'SegEnds_NonXtal_Prot#'!A:AL,16,FALSE)-VLOOKUP(A110,'SegEnds_NonXtal_Prot#'!A:AL,10,FALSE)</f>
        <v>51</v>
      </c>
      <c r="AF110" s="1">
        <f>VLOOKUP(A110,'SegEnds_NonXtal_Prot#'!A:AL,22,FALSE)-VLOOKUP(A110,'SegEnds_NonXtal_Prot#'!A:AL,19,FALSE)</f>
        <v>21</v>
      </c>
      <c r="AG110" s="1">
        <f>VLOOKUP(A110,'SegEnds_NonXtal_Prot#'!A:AL,28,FALSE)-VLOOKUP(A110,'SegEnds_NonXtal_Prot#'!A:AL,25,FALSE)</f>
        <v>22</v>
      </c>
      <c r="AH110" s="1">
        <f>VLOOKUP(A110,'SegEnds_NonXtal_Prot#'!A:AL,28,FALSE)-VLOOKUP(A110,'SegEnds_NonXtal_Prot#'!A:AL,22,FALSE)</f>
        <v>46</v>
      </c>
      <c r="AI110" s="1">
        <f>VLOOKUP(A110,'SegEnds_NonXtal_Prot#'!A:AL,31,FALSE)-VLOOKUP(A110,'SegEnds_NonXtal_Prot#'!A:AL,28,FALSE)</f>
        <v>132</v>
      </c>
      <c r="AJ110" s="1">
        <f>VLOOKUP(A110,'SegEnds_NonXtal_Prot#'!A:AL,34,FALSE)-VLOOKUP(A110,'SegEnds_NonXtal_Prot#'!A:AL,31,FALSE)</f>
        <v>37</v>
      </c>
      <c r="AK110" s="1">
        <f>VLOOKUP(A110,'SegEnds_NonXtal_Prot#'!A:AL,37,FALSE)-VLOOKUP(A110,'SegEnds_NonXtal_Prot#'!A:AL,34,FALSE)</f>
        <v>10</v>
      </c>
      <c r="AL110" s="1" t="str">
        <f>IF(ISERROR(MATCH(A110,'SegEnds_Xtal_Prot#'!B:B, 0)), "NoXtal", "Xtal")</f>
        <v>NoXtal</v>
      </c>
    </row>
    <row r="111" spans="1:38" x14ac:dyDescent="0.2">
      <c r="A111" s="1" t="s">
        <v>299</v>
      </c>
      <c r="B111" s="1" t="str">
        <f>VLOOKUP(A111,Xtal_Templ!A:B,2,FALSE)</f>
        <v>oprk_human</v>
      </c>
      <c r="C111" s="5">
        <f>VLOOKUP($B111&amp;"__wt",'SegEnds_Xtal_BW#'!$A:$Z,3,FALSE)</f>
        <v>30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67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7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30</v>
      </c>
      <c r="T111" s="1">
        <f t="array" ref="T111">INDEX(ICL3_classA!$G$2:$G$37,MATCH(MIN(ABS(AI111-ICL3_classA!$F$2:$F$37)),ABS(AI111-ICL3_classA!$F$2:$F$37),0))</f>
        <v>68</v>
      </c>
      <c r="U111" s="1">
        <f t="array" ref="U111">INDEX(ICL3_classA!$H$2:$H$37,MATCH(MIN(ABS(AI111-ICL3_classA!$F$2:$F$37)),ABS(AI111-ICL3_classA!$F$2:$F$37),0))</f>
        <v>23</v>
      </c>
      <c r="V111" s="1">
        <v>61</v>
      </c>
      <c r="W111" s="1">
        <v>31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31</v>
      </c>
      <c r="AC111" s="1">
        <f>VLOOKUP(A111,'SegEnds_NonXtal_Prot#'!A:AL,10,FALSE)-VLOOKUP(A111,'SegEnds_NonXtal_Prot#'!A:AL,7,FALSE)</f>
        <v>18</v>
      </c>
      <c r="AD111" s="1">
        <f>VLOOKUP(A111,'SegEnds_NonXtal_Prot#'!A:AL,13,FALSE)-VLOOKUP(A111,'SegEnds_NonXtal_Prot#'!A:AL,10,FALSE)</f>
        <v>20</v>
      </c>
      <c r="AE111" s="1">
        <f>VLOOKUP(A111,'SegEnds_NonXtal_Prot#'!A:AL,16,FALSE)-VLOOKUP(A111,'SegEnds_NonXtal_Prot#'!A:AL,10,FALSE)</f>
        <v>52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26</v>
      </c>
      <c r="AH111" s="1">
        <f>VLOOKUP(A111,'SegEnds_NonXtal_Prot#'!A:AL,28,FALSE)-VLOOKUP(A111,'SegEnds_NonXtal_Prot#'!A:AL,22,FALSE)</f>
        <v>52</v>
      </c>
      <c r="AI111" s="1">
        <f>VLOOKUP(A111,'SegEnds_NonXtal_Prot#'!A:AL,31,FALSE)-VLOOKUP(A111,'SegEnds_NonXtal_Prot#'!A:AL,28,FALSE)</f>
        <v>51</v>
      </c>
      <c r="AJ111" s="1">
        <f>VLOOKUP(A111,'SegEnds_NonXtal_Prot#'!A:AL,34,FALSE)-VLOOKUP(A111,'SegEnds_NonXtal_Prot#'!A:AL,31,FALSE)</f>
        <v>37</v>
      </c>
      <c r="AK111" s="1">
        <f>VLOOKUP(A111,'SegEnds_NonXtal_Prot#'!A:AL,37,FALSE)-VLOOKUP(A111,'SegEnds_NonXtal_Prot#'!A:AL,34,FALSE)</f>
        <v>10</v>
      </c>
      <c r="AL111" s="1" t="str">
        <f>IF(ISERROR(MATCH(A111,'SegEnds_Xtal_Prot#'!B:B, 0)), "NoXtal", "Xtal")</f>
        <v>NoXtal</v>
      </c>
    </row>
    <row r="112" spans="1:38" x14ac:dyDescent="0.2">
      <c r="A112" s="1" t="s">
        <v>300</v>
      </c>
      <c r="B112" s="1" t="str">
        <f>VLOOKUP(A112,Xtal_Templ!A:B,2,FALSE)</f>
        <v>oprd_human</v>
      </c>
      <c r="C112" s="5">
        <f>VLOOKUP($B112&amp;"__wt",'SegEnds_Xtal_BW#'!$A:$Z,3,FALSE)</f>
        <v>22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66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31</v>
      </c>
      <c r="T112" s="1">
        <f t="array" ref="T112">INDEX(ICL3_classA!$G$2:$G$37,MATCH(MIN(ABS(AI112-ICL3_classA!$F$2:$F$37)),ABS(AI112-ICL3_classA!$F$2:$F$37),0))</f>
        <v>73</v>
      </c>
      <c r="U112" s="1">
        <f t="array" ref="U112">INDEX(ICL3_classA!$H$2:$H$37,MATCH(MIN(ABS(AI112-ICL3_classA!$F$2:$F$37)),ABS(AI112-ICL3_classA!$F$2:$F$37),0))</f>
        <v>22</v>
      </c>
      <c r="V112" s="1">
        <v>61</v>
      </c>
      <c r="W112" s="1">
        <v>31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60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27</v>
      </c>
      <c r="AC112" s="1" t="e">
        <f>VLOOKUP(A112,'SegEnds_NonXtal_Prot#'!A:AL,10,FALSE)-VLOOKUP(A112,'SegEnds_NonXtal_Prot#'!A:AL,7,FALSE)</f>
        <v>#VALUE!</v>
      </c>
      <c r="AD112" s="1">
        <f>VLOOKUP(A112,'SegEnds_NonXtal_Prot#'!A:AL,13,FALSE)-VLOOKUP(A112,'SegEnds_NonXtal_Prot#'!A:AL,10,FALSE)</f>
        <v>20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20</v>
      </c>
      <c r="AG112" s="1">
        <f>VLOOKUP(A112,'SegEnds_NonXtal_Prot#'!A:AL,28,FALSE)-VLOOKUP(A112,'SegEnds_NonXtal_Prot#'!A:AL,25,FALSE)</f>
        <v>25</v>
      </c>
      <c r="AH112" s="1">
        <f>VLOOKUP(A112,'SegEnds_NonXtal_Prot#'!A:AL,28,FALSE)-VLOOKUP(A112,'SegEnds_NonXtal_Prot#'!A:AL,22,FALSE)</f>
        <v>51</v>
      </c>
      <c r="AI112" s="1">
        <f>VLOOKUP(A112,'SegEnds_NonXtal_Prot#'!A:AL,31,FALSE)-VLOOKUP(A112,'SegEnds_NonXtal_Prot#'!A:AL,28,FALSE)</f>
        <v>57</v>
      </c>
      <c r="AJ112" s="1">
        <f>VLOOKUP(A112,'SegEnds_NonXtal_Prot#'!A:AL,34,FALSE)-VLOOKUP(A112,'SegEnds_NonXtal_Prot#'!A:AL,31,FALSE)</f>
        <v>37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NoXtal</v>
      </c>
    </row>
    <row r="113" spans="1:38" x14ac:dyDescent="0.2">
      <c r="A113" s="1" t="s">
        <v>301</v>
      </c>
      <c r="B113" s="1" t="str">
        <f>VLOOKUP(A113,Xtal_Templ!A:B,2,FALSE)</f>
        <v>c5ar1_human</v>
      </c>
      <c r="C113" s="5">
        <f>VLOOKUP($B113&amp;"__wt",'SegEnds_Xtal_BW#'!$A:$Z,3,FALSE)</f>
        <v>29</v>
      </c>
      <c r="D113" s="1">
        <f>VLOOKUP($B113&amp;"__wt",'SegEnds_Xtal_BW#'!$A:$Z,4,FALSE)</f>
        <v>60</v>
      </c>
      <c r="E113" s="1" t="str">
        <f>VLOOKUP($B113&amp;"__wt",'SegEnds_Xtal_BW#'!$A:$Z,5,FALSE)</f>
        <v>-</v>
      </c>
      <c r="F113" s="1" t="str">
        <f>VLOOKUP($B113&amp;"__wt",'SegEnds_Xtal_BW#'!$A:$Z,6,FALSE)</f>
        <v>-</v>
      </c>
      <c r="G113" s="1">
        <v>37</v>
      </c>
      <c r="H113" s="12"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21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7"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31</v>
      </c>
      <c r="T113" s="1">
        <f t="array" ref="T113">INDEX(ICL3_classA!$G$2:$G$37,MATCH(MIN(ABS(AI113-ICL3_classA!$F$2:$F$37)),ABS(AI113-ICL3_classA!$F$2:$F$37),0))</f>
        <v>68</v>
      </c>
      <c r="U113" s="1">
        <f t="array" ref="U113">INDEX(ICL3_classA!$H$2:$H$37,MATCH(MIN(ABS(AI113-ICL3_classA!$F$2:$F$37)),ABS(AI113-ICL3_classA!$F$2:$F$37),0))</f>
        <v>28</v>
      </c>
      <c r="V113" s="1">
        <v>61</v>
      </c>
      <c r="W113" s="1">
        <v>31</v>
      </c>
      <c r="X113" s="108">
        <v>56</v>
      </c>
      <c r="Y113" s="1">
        <f>VLOOKUP($B113&amp;"__wt",'SegEnds_Xtal_BW#'!$A:$Z,25,FALSE)</f>
        <v>47</v>
      </c>
      <c r="Z113" s="1">
        <f>VLOOKUP($B113&amp;"__wt",'SegEnds_Xtal_BW#'!$A:$Z,26,FALSE)</f>
        <v>56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27</v>
      </c>
      <c r="AC113" s="1" t="e">
        <f>VLOOKUP(A113,'SegEnds_NonXtal_Prot#'!A:AL,10,FALSE)-VLOOKUP(A113,'SegEnds_NonXtal_Prot#'!A:AL,7,FALSE)</f>
        <v>#VALUE!</v>
      </c>
      <c r="AD113" s="1" t="e">
        <f>VLOOKUP(A113,'SegEnds_NonXtal_Prot#'!A:AL,13,FALSE)-VLOOKUP(A113,'SegEnds_NonXtal_Prot#'!A:AL,10,FALSE)</f>
        <v>#VALUE!</v>
      </c>
      <c r="AE113" s="1">
        <f>VLOOKUP(A113,'SegEnds_NonXtal_Prot#'!A:AL,16,FALSE)-VLOOKUP(A113,'SegEnds_NonXtal_Prot#'!A:AL,10,FALSE)</f>
        <v>51</v>
      </c>
      <c r="AF113" s="1">
        <f>VLOOKUP(A113,'SegEnds_NonXtal_Prot#'!A:AL,22,FALSE)-VLOOKUP(A113,'SegEnds_NonXtal_Prot#'!A:AL,19,FALSE)</f>
        <v>20</v>
      </c>
      <c r="AG113" s="1" t="e">
        <f>VLOOKUP(A113,'SegEnds_NonXtal_Prot#'!A:AL,28,FALSE)-VLOOKUP(A113,'SegEnds_NonXtal_Prot#'!A:AL,25,FALSE)</f>
        <v>#VALUE!</v>
      </c>
      <c r="AH113" s="1">
        <f>VLOOKUP(A113,'SegEnds_NonXtal_Prot#'!A:AL,28,FALSE)-VLOOKUP(A113,'SegEnds_NonXtal_Prot#'!A:AL,22,FALSE)</f>
        <v>42</v>
      </c>
      <c r="AI113" s="1">
        <f>VLOOKUP(A113,'SegEnds_NonXtal_Prot#'!A:AL,31,FALSE)-VLOOKUP(A113,'SegEnds_NonXtal_Prot#'!A:AL,28,FALSE)</f>
        <v>44</v>
      </c>
      <c r="AJ113" s="1">
        <f>VLOOKUP(A113,'SegEnds_NonXtal_Prot#'!A:AL,34,FALSE)-VLOOKUP(A113,'SegEnds_NonXtal_Prot#'!A:AL,31,FALSE)</f>
        <v>37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NoXtal</v>
      </c>
    </row>
    <row r="114" spans="1:38" x14ac:dyDescent="0.2">
      <c r="A114" s="1" t="s">
        <v>365</v>
      </c>
      <c r="B114" s="1" t="str">
        <f>VLOOKUP(A114,Xtal_Templ!A:B,2,FALSE)</f>
        <v>ta2r_human</v>
      </c>
      <c r="C114" s="5">
        <f>VLOOKUP($B114&amp;"__wt",'SegEnds_Xtal_BW#'!$A:$Z,3,FALSE)</f>
        <v>35</v>
      </c>
      <c r="D114" s="108">
        <v>61</v>
      </c>
      <c r="E114" s="1" t="str">
        <f>VLOOKUP($B114&amp;"__wt",'SegEnds_Xtal_BW#'!$A:$Z,5,FALSE)</f>
        <v>-</v>
      </c>
      <c r="F114" s="1" t="str">
        <f>VLOOKUP($B114&amp;"__wt",'SegEnds_Xtal_BW#'!$A:$Z,6,FALSE)</f>
        <v>-</v>
      </c>
      <c r="G114" s="1">
        <v>37</v>
      </c>
      <c r="H114" s="12">
        <f>VLOOKUP($B114&amp;"__wt",'SegEnds_Xtal_BW#'!$A:$Z,8,FALSE)</f>
        <v>67</v>
      </c>
      <c r="I114" s="1">
        <f>VLOOKUP($B114&amp;"__wt",'SegEnds_Xtal_BW#'!$A:$Z,9,FALSE)</f>
        <v>49</v>
      </c>
      <c r="J114" s="1">
        <f>VLOOKUP($B114&amp;"__wt",'SegEnds_Xtal_BW#'!$A:$Z,10,FALSE)</f>
        <v>53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7">
        <f>VLOOKUP($B114&amp;"__wt",'SegEnds_Xtal_BW#'!$A:$Z,15,FALSE)</f>
        <v>38</v>
      </c>
      <c r="P114" s="1">
        <f>VLOOKUP($B114&amp;"__wt",'SegEnds_Xtal_BW#'!$A:$Z,16,FALSE)</f>
        <v>63</v>
      </c>
      <c r="Q114" s="108">
        <v>50</v>
      </c>
      <c r="R114" s="108">
        <v>52</v>
      </c>
      <c r="S114" s="1">
        <v>35</v>
      </c>
      <c r="T114" s="1">
        <f t="array" ref="T114">INDEX(ICL3_classA!$G$2:$G$37,MATCH(MIN(ABS(AI114-ICL3_classA!$F$2:$F$37)),ABS(AI114-ICL3_classA!$F$2:$F$37),0))</f>
        <v>72</v>
      </c>
      <c r="U114" s="1">
        <f t="array" ref="U114">INDEX(ICL3_classA!$H$2:$H$37,MATCH(MIN(ABS(AI114-ICL3_classA!$F$2:$F$37)),ABS(AI114-ICL3_classA!$F$2:$F$37),0))</f>
        <v>29</v>
      </c>
      <c r="V114" s="1">
        <v>61</v>
      </c>
      <c r="W114" s="1">
        <v>31</v>
      </c>
      <c r="X114" s="108">
        <v>56</v>
      </c>
      <c r="Y114" s="108">
        <v>47</v>
      </c>
      <c r="Z114" s="1">
        <f>VLOOKUP($B114&amp;"__wt",'SegEnds_Xtal_BW#'!$A:$Z,26,FALSE)</f>
        <v>66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33</v>
      </c>
      <c r="AC114" s="1">
        <f>VLOOKUP(A114,'SegEnds_NonXtal_Prot#'!A:AL,10,FALSE)-VLOOKUP(A114,'SegEnds_NonXtal_Prot#'!A:AL,7,FALSE)</f>
        <v>19</v>
      </c>
      <c r="AD114" s="1">
        <f>VLOOKUP(A114,'SegEnds_NonXtal_Prot#'!A:AL,13,FALSE)-VLOOKUP(A114,'SegEnds_NonXtal_Prot#'!A:AL,10,FALSE)</f>
        <v>21</v>
      </c>
      <c r="AE114" s="1">
        <f>VLOOKUP(A114,'SegEnds_NonXtal_Prot#'!A:AL,16,FALSE)-VLOOKUP(A114,'SegEnds_NonXtal_Prot#'!A:AL,10,FALSE)</f>
        <v>56</v>
      </c>
      <c r="AF114" s="1">
        <f>VLOOKUP(A114,'SegEnds_NonXtal_Prot#'!A:AL,22,FALSE)-VLOOKUP(A114,'SegEnds_NonXtal_Prot#'!A:AL,19,FALSE)</f>
        <v>20</v>
      </c>
      <c r="AG114" s="1">
        <f>VLOOKUP(A114,'SegEnds_NonXtal_Prot#'!A:AL,28,FALSE)-VLOOKUP(A114,'SegEnds_NonXtal_Prot#'!A:AL,25,FALSE)</f>
        <v>28</v>
      </c>
      <c r="AH114" s="1">
        <f>VLOOKUP(A114,'SegEnds_NonXtal_Prot#'!A:AL,28,FALSE)-VLOOKUP(A114,'SegEnds_NonXtal_Prot#'!A:AL,22,FALSE)</f>
        <v>54</v>
      </c>
      <c r="AI114" s="1">
        <f>VLOOKUP(A114,'SegEnds_NonXtal_Prot#'!A:AL,31,FALSE)-VLOOKUP(A114,'SegEnds_NonXtal_Prot#'!A:AL,28,FALSE)</f>
        <v>50</v>
      </c>
      <c r="AJ114" s="1">
        <f>VLOOKUP(A114,'SegEnds_NonXtal_Prot#'!A:AL,34,FALSE)-VLOOKUP(A114,'SegEnds_NonXtal_Prot#'!A:AL,31,FALSE)</f>
        <v>37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NoXtal</v>
      </c>
    </row>
    <row r="115" spans="1:38" x14ac:dyDescent="0.2">
      <c r="A115" s="4" t="s">
        <v>104</v>
      </c>
      <c r="B115" s="4" t="str">
        <f>VLOOKUP(A115,Xtal_Templ!A:B,2,FALSE)</f>
        <v>s1pr1_human</v>
      </c>
      <c r="C115" s="5">
        <f>VLOOKUP($B115&amp;"__wt",'SegEnds_Xtal_BW#'!$A:$Z,3,FALSE)</f>
        <v>29</v>
      </c>
      <c r="D115" s="4">
        <f>VLOOKUP($B115&amp;"__wt",'SegEnds_Xtal_BW#'!$A:$Z,4,FALSE)</f>
        <v>60</v>
      </c>
      <c r="E115" s="4">
        <f>VLOOKUP($B115&amp;"__wt",'SegEnds_Xtal_BW#'!$A:$Z,5,FALSE)</f>
        <v>48</v>
      </c>
      <c r="F115" s="4">
        <f>VLOOKUP($B115&amp;"__wt",'SegEnds_Xtal_BW#'!$A:$Z,6,FALSE)</f>
        <v>51</v>
      </c>
      <c r="G115" s="4">
        <v>37</v>
      </c>
      <c r="H115" s="11">
        <v>63</v>
      </c>
      <c r="I115" s="4">
        <f>VLOOKUP($B115&amp;"__wt",'SegEnds_Xtal_BW#'!$A:$Z,9,FALSE)</f>
        <v>47</v>
      </c>
      <c r="J115" s="4">
        <f>VLOOKUP($B115&amp;"__wt",'SegEnds_Xtal_BW#'!$A:$Z,10,FALSE)</f>
        <v>53</v>
      </c>
      <c r="K115" s="11">
        <f>VLOOKUP($B115&amp;"__wt",'SegEnds_Xtal_BW#'!$A:$Z,11,FALSE)</f>
        <v>21</v>
      </c>
      <c r="L115" s="4">
        <f>VLOOKUP($B115&amp;"__wt",'SegEnds_Xtal_BW#'!$A:$Z,12,FALSE)</f>
        <v>56</v>
      </c>
      <c r="M115" s="4">
        <f>VLOOKUP($B115&amp;"__wt",'SegEnds_Xtal_BW#'!$A:$Z,13,FALSE)</f>
        <v>50</v>
      </c>
      <c r="N115" s="108">
        <f>VLOOKUP($B115&amp;"__wt",'SegEnds_Xtal_BW#'!$A:$Z,14,FALSE)</f>
        <v>56</v>
      </c>
      <c r="O115" s="87">
        <f>VLOOKUP($B115&amp;"__wt",'SegEnds_Xtal_BW#'!$A:$Z,15,FALSE)</f>
        <v>38</v>
      </c>
      <c r="P115" s="4">
        <f>VLOOKUP($B115&amp;"__wt",'SegEnds_Xtal_BW#'!$A:$Z,16,FALSE)</f>
        <v>63</v>
      </c>
      <c r="Q115" s="4" t="str">
        <f>VLOOKUP($B115&amp;"__wt",'SegEnds_Xtal_BW#'!$A:$Z,17,FALSE)</f>
        <v>-</v>
      </c>
      <c r="R115" s="4" t="str">
        <f>VLOOKUP($B115&amp;"__wt",'SegEnds_Xtal_BW#'!$A:$Z,18,FALSE)</f>
        <v>-</v>
      </c>
      <c r="S115" s="4">
        <f>VLOOKUP($B115&amp;"__wt",'SegEnds_Xtal_BW#'!$A:$Z,19,FALSE)</f>
        <v>36</v>
      </c>
      <c r="T115" s="4">
        <f t="array" ref="T115">INDEX(ICL3_classA!$G$2:$G$37,MATCH(MIN(ABS(AI115-ICL3_classA!$F$2:$F$37)),ABS(AI115-ICL3_classA!$F$2:$F$37),0))</f>
        <v>73</v>
      </c>
      <c r="U115" s="4">
        <f t="array" ref="U115">INDEX(ICL3_classA!$H$2:$H$37,MATCH(MIN(ABS(AI115-ICL3_classA!$F$2:$F$37)),ABS(AI115-ICL3_classA!$F$2:$F$37),0))</f>
        <v>24</v>
      </c>
      <c r="V115" s="4">
        <v>61</v>
      </c>
      <c r="W115" s="4">
        <v>30</v>
      </c>
      <c r="X115" s="1">
        <f>VLOOKUP($B115&amp;"__wt",'SegEnds_Xtal_BW#'!$A:$Z,24,FALSE)</f>
        <v>56</v>
      </c>
      <c r="Y115" s="4">
        <f>VLOOKUP($B115&amp;"__wt",'SegEnds_Xtal_BW#'!$A:$Z,25,FALSE)</f>
        <v>47</v>
      </c>
      <c r="Z115" s="4">
        <f>VLOOKUP($B115&amp;"__wt",'SegEnds_Xtal_BW#'!$A:$Z,26,FALSE)</f>
        <v>59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28</v>
      </c>
      <c r="AC115" s="4">
        <f>VLOOKUP(A115,'SegEnds_NonXtal_Prot#'!A:AL,10,FALSE)-VLOOKUP(A115,'SegEnds_NonXtal_Prot#'!A:AL,7,FALSE)</f>
        <v>15</v>
      </c>
      <c r="AD115" s="4">
        <f>VLOOKUP(A115,'SegEnds_NonXtal_Prot#'!A:AL,13,FALSE)-VLOOKUP(A115,'SegEnds_NonXtal_Prot#'!A:AL,10,FALSE)</f>
        <v>18</v>
      </c>
      <c r="AE115" s="4">
        <f>VLOOKUP(A115,'SegEnds_NonXtal_Prot#'!A:AL,16,FALSE)-VLOOKUP(A115,'SegEnds_NonXtal_Prot#'!A:AL,10,FALSE)</f>
        <v>51</v>
      </c>
      <c r="AF115" s="1">
        <f>VLOOKUP(A115,'SegEnds_NonXtal_Prot#'!A:AL,22,FALSE)-VLOOKUP(A115,'SegEnds_NonXtal_Prot#'!A:AL,19,FALSE)</f>
        <v>19</v>
      </c>
      <c r="AG115" s="4" t="e">
        <f>VLOOKUP(A115,'SegEnds_NonXtal_Prot#'!A:AL,28,FALSE)-VLOOKUP(A115,'SegEnds_NonXtal_Prot#'!A:AL,25,FALSE)</f>
        <v>#VALUE!</v>
      </c>
      <c r="AH115" s="1">
        <f>VLOOKUP(A115,'SegEnds_NonXtal_Prot#'!A:AL,28,FALSE)-VLOOKUP(A115,'SegEnds_NonXtal_Prot#'!A:AL,22,FALSE)</f>
        <v>45</v>
      </c>
      <c r="AI115" s="4">
        <f>VLOOKUP(A115,'SegEnds_NonXtal_Prot#'!A:AL,31,FALSE)-VLOOKUP(A115,'SegEnds_NonXtal_Prot#'!A:AL,28,FALSE)</f>
        <v>58</v>
      </c>
      <c r="AJ115" s="4">
        <f>VLOOKUP(A115,'SegEnds_NonXtal_Prot#'!A:AL,34,FALSE)-VLOOKUP(A115,'SegEnds_NonXtal_Prot#'!A:AL,31,FALSE)</f>
        <v>37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Xtal</v>
      </c>
    </row>
    <row r="116" spans="1:38" x14ac:dyDescent="0.2">
      <c r="A116" s="1" t="s">
        <v>377</v>
      </c>
      <c r="B116" s="1" t="str">
        <f>VLOOKUP(A116,Xtal_Templ!A:B,2,FALSE)</f>
        <v>s1pr1_human</v>
      </c>
      <c r="C116" s="5">
        <f>VLOOKUP($B116&amp;"__wt",'SegEnds_Xtal_BW#'!$A:$Z,3,FALSE)</f>
        <v>29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v>63</v>
      </c>
      <c r="I116" s="1">
        <f>VLOOKUP($B116&amp;"__wt",'SegEnds_Xtal_BW#'!$A:$Z,9,FALSE)</f>
        <v>47</v>
      </c>
      <c r="J116" s="1">
        <f>VLOOKUP($B116&amp;"__wt",'SegEnds_Xtal_BW#'!$A:$Z,10,FALSE)</f>
        <v>53</v>
      </c>
      <c r="K116" s="12">
        <v>21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08">
        <v>56</v>
      </c>
      <c r="O116" s="87">
        <f>VLOOKUP($B116&amp;"__wt",'SegEnds_Xtal_BW#'!$A:$Z,15,FALSE)</f>
        <v>38</v>
      </c>
      <c r="P116" s="1">
        <f>VLOOKUP($B116&amp;"__wt",'SegEnds_Xtal_BW#'!$A:$Z,16,FALSE)</f>
        <v>63</v>
      </c>
      <c r="Q116" s="1" t="str">
        <f>VLOOKUP($B116&amp;"__wt",'SegEnds_Xtal_BW#'!$A:$Z,17,FALSE)</f>
        <v>-</v>
      </c>
      <c r="R116" s="1" t="str">
        <f>VLOOKUP($B116&amp;"__wt",'SegEnds_Xtal_BW#'!$A:$Z,18,FALSE)</f>
        <v>-</v>
      </c>
      <c r="S116" s="1">
        <f>VLOOKUP($B116&amp;"__wt",'SegEnds_Xtal_BW#'!$A:$Z,19,FALSE)</f>
        <v>36</v>
      </c>
      <c r="T116" s="1">
        <f t="array" ref="T116">INDEX(ICL3_classA!$G$2:$G$37,MATCH(MIN(ABS(AI116-ICL3_classA!$F$2:$F$37)),ABS(AI116-ICL3_classA!$F$2:$F$37),0))</f>
        <v>67</v>
      </c>
      <c r="U116" s="1">
        <f t="array" ref="U116">INDEX(ICL3_classA!$H$2:$H$37,MATCH(MIN(ABS(AI116-ICL3_classA!$F$2:$F$37)),ABS(AI116-ICL3_classA!$F$2:$F$37),0))</f>
        <v>26</v>
      </c>
      <c r="V116" s="1">
        <v>61</v>
      </c>
      <c r="W116" s="1">
        <v>30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28</v>
      </c>
      <c r="AC116" s="1">
        <f>VLOOKUP(A116,'SegEnds_NonXtal_Prot#'!A:AL,10,FALSE)-VLOOKUP(A116,'SegEnds_NonXtal_Prot#'!A:AL,7,FALSE)</f>
        <v>15</v>
      </c>
      <c r="AD116" s="1">
        <f>VLOOKUP(A116,'SegEnds_NonXtal_Prot#'!A:AL,13,FALSE)-VLOOKUP(A116,'SegEnds_NonXtal_Prot#'!A:AL,10,FALSE)</f>
        <v>18</v>
      </c>
      <c r="AE116" s="1">
        <f>VLOOKUP(A116,'SegEnds_NonXtal_Prot#'!A:AL,16,FALSE)-VLOOKUP(A116,'SegEnds_NonXtal_Prot#'!A:AL,10,FALSE)</f>
        <v>51</v>
      </c>
      <c r="AF116" s="1">
        <f>VLOOKUP(A116,'SegEnds_NonXtal_Prot#'!A:AL,22,FALSE)-VLOOKUP(A116,'SegEnds_NonXtal_Prot#'!A:AL,19,FALSE)</f>
        <v>19</v>
      </c>
      <c r="AG116" s="1" t="e">
        <f>VLOOKUP(A116,'SegEnds_NonXtal_Prot#'!A:AL,28,FALSE)-VLOOKUP(A116,'SegEnds_NonXtal_Prot#'!A:AL,25,FALSE)</f>
        <v>#VALUE!</v>
      </c>
      <c r="AH116" s="1">
        <f>VLOOKUP(A116,'SegEnds_NonXtal_Prot#'!A:AL,28,FALSE)-VLOOKUP(A116,'SegEnds_NonXtal_Prot#'!A:AL,22,FALSE)</f>
        <v>45</v>
      </c>
      <c r="AI116" s="1">
        <f>VLOOKUP(A116,'SegEnds_NonXtal_Prot#'!A:AL,31,FALSE)-VLOOKUP(A116,'SegEnds_NonXtal_Prot#'!A:AL,28,FALSE)</f>
        <v>47</v>
      </c>
      <c r="AJ116" s="1">
        <f>VLOOKUP(A116,'SegEnds_NonXtal_Prot#'!A:AL,34,FALSE)-VLOOKUP(A116,'SegEnds_NonXtal_Prot#'!A:AL,31,FALSE)</f>
        <v>37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1" t="s">
        <v>378</v>
      </c>
      <c r="B117" s="1" t="str">
        <f>VLOOKUP(A117,Xtal_Templ!A:B,2,FALSE)</f>
        <v>s1pr1_human</v>
      </c>
      <c r="C117" s="5">
        <f>VLOOKUP($B117&amp;"__wt",'SegEnds_Xtal_BW#'!$A:$Z,3,FALSE)</f>
        <v>29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v>63</v>
      </c>
      <c r="I117" s="1">
        <f>VLOOKUP($B117&amp;"__wt",'SegEnds_Xtal_BW#'!$A:$Z,9,FALSE)</f>
        <v>47</v>
      </c>
      <c r="J117" s="1">
        <f>VLOOKUP($B117&amp;"__wt",'SegEnds_Xtal_BW#'!$A:$Z,10,FALSE)</f>
        <v>53</v>
      </c>
      <c r="K117" s="12">
        <v>21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08">
        <v>56</v>
      </c>
      <c r="O117" s="87">
        <f>VLOOKUP($B117&amp;"__wt",'SegEnds_Xtal_BW#'!$A:$Z,15,FALSE)</f>
        <v>38</v>
      </c>
      <c r="P117" s="1">
        <f>VLOOKUP($B117&amp;"__wt",'SegEnds_Xtal_BW#'!$A:$Z,16,FALSE)</f>
        <v>63</v>
      </c>
      <c r="Q117" s="1" t="str">
        <f>VLOOKUP($B117&amp;"__wt",'SegEnds_Xtal_BW#'!$A:$Z,17,FALSE)</f>
        <v>-</v>
      </c>
      <c r="R117" s="1" t="str">
        <f>VLOOKUP($B117&amp;"__wt",'SegEnds_Xtal_BW#'!$A:$Z,18,FALSE)</f>
        <v>-</v>
      </c>
      <c r="S117" s="1">
        <f>VLOOKUP($B117&amp;"__wt",'SegEnds_Xtal_BW#'!$A:$Z,19,FALSE)</f>
        <v>36</v>
      </c>
      <c r="T117" s="1">
        <f t="array" ref="T117">INDEX(ICL3_classA!$G$2:$G$37,MATCH(MIN(ABS(AI117-ICL3_classA!$F$2:$F$37)),ABS(AI117-ICL3_classA!$F$2:$F$37),0))</f>
        <v>68</v>
      </c>
      <c r="U117" s="1">
        <f t="array" ref="U117">INDEX(ICL3_classA!$H$2:$H$37,MATCH(MIN(ABS(AI117-ICL3_classA!$F$2:$F$37)),ABS(AI117-ICL3_classA!$F$2:$F$37),0))</f>
        <v>23</v>
      </c>
      <c r="V117" s="1">
        <v>61</v>
      </c>
      <c r="W117" s="1">
        <v>30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28</v>
      </c>
      <c r="AC117" s="1">
        <f>VLOOKUP(A117,'SegEnds_NonXtal_Prot#'!A:AL,10,FALSE)-VLOOKUP(A117,'SegEnds_NonXtal_Prot#'!A:AL,7,FALSE)</f>
        <v>15</v>
      </c>
      <c r="AD117" s="1">
        <f>VLOOKUP(A117,'SegEnds_NonXtal_Prot#'!A:AL,13,FALSE)-VLOOKUP(A117,'SegEnds_NonXtal_Prot#'!A:AL,10,FALSE)</f>
        <v>18</v>
      </c>
      <c r="AE117" s="1">
        <f>VLOOKUP(A117,'SegEnds_NonXtal_Prot#'!A:AL,16,FALSE)-VLOOKUP(A117,'SegEnds_NonXtal_Prot#'!A:AL,10,FALSE)</f>
        <v>51</v>
      </c>
      <c r="AF117" s="1">
        <f>VLOOKUP(A117,'SegEnds_NonXtal_Prot#'!A:AL,22,FALSE)-VLOOKUP(A117,'SegEnds_NonXtal_Prot#'!A:AL,19,FALSE)</f>
        <v>19</v>
      </c>
      <c r="AG117" s="1" t="e">
        <f>VLOOKUP(A117,'SegEnds_NonXtal_Prot#'!A:AL,28,FALSE)-VLOOKUP(A117,'SegEnds_NonXtal_Prot#'!A:AL,25,FALSE)</f>
        <v>#VALUE!</v>
      </c>
      <c r="AH117" s="1">
        <f>VLOOKUP(A117,'SegEnds_NonXtal_Prot#'!A:AL,28,FALSE)-VLOOKUP(A117,'SegEnds_NonXtal_Prot#'!A:AL,22,FALSE)</f>
        <v>45</v>
      </c>
      <c r="AI117" s="1">
        <f>VLOOKUP(A117,'SegEnds_NonXtal_Prot#'!A:AL,31,FALSE)-VLOOKUP(A117,'SegEnds_NonXtal_Prot#'!A:AL,28,FALSE)</f>
        <v>51</v>
      </c>
      <c r="AJ117" s="1">
        <f>VLOOKUP(A117,'SegEnds_NonXtal_Prot#'!A:AL,34,FALSE)-VLOOKUP(A117,'SegEnds_NonXtal_Prot#'!A:AL,31,FALSE)</f>
        <v>37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380</v>
      </c>
      <c r="B118" s="1" t="str">
        <f>VLOOKUP(A118,Xtal_Templ!A:B,2,FALSE)</f>
        <v>s1pr1_human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v>63</v>
      </c>
      <c r="I118" s="1">
        <f>VLOOKUP($B118&amp;"__wt",'SegEnds_Xtal_BW#'!$A:$Z,9,FALSE)</f>
        <v>47</v>
      </c>
      <c r="J118" s="1">
        <f>VLOOKUP($B118&amp;"__wt",'SegEnds_Xtal_BW#'!$A:$Z,10,FALSE)</f>
        <v>53</v>
      </c>
      <c r="K118" s="12">
        <v>21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08">
        <v>56</v>
      </c>
      <c r="O118" s="87">
        <f>VLOOKUP($B118&amp;"__wt",'SegEnds_Xtal_BW#'!$A:$Z,15,FALSE)</f>
        <v>38</v>
      </c>
      <c r="P118" s="1">
        <f>VLOOKUP($B118&amp;"__wt",'SegEnds_Xtal_BW#'!$A:$Z,16,FALSE)</f>
        <v>63</v>
      </c>
      <c r="Q118" s="1" t="str">
        <f>VLOOKUP($B118&amp;"__wt",'SegEnds_Xtal_BW#'!$A:$Z,17,FALSE)</f>
        <v>-</v>
      </c>
      <c r="R118" s="1" t="str">
        <f>VLOOKUP($B118&amp;"__wt",'SegEnds_Xtal_BW#'!$A:$Z,18,FALSE)</f>
        <v>-</v>
      </c>
      <c r="S118" s="1">
        <f>VLOOKUP($B118&amp;"__wt",'SegEnds_Xtal_BW#'!$A:$Z,19,FALSE)</f>
        <v>36</v>
      </c>
      <c r="T118" s="1">
        <f t="array" ref="T118">INDEX(ICL3_classA!$G$2:$G$37,MATCH(MIN(ABS(AI118-ICL3_classA!$F$2:$F$37)),ABS(AI118-ICL3_classA!$F$2:$F$37),0))</f>
        <v>74</v>
      </c>
      <c r="U118" s="1">
        <f t="array" ref="U118">INDEX(ICL3_classA!$H$2:$H$37,MATCH(MIN(ABS(AI118-ICL3_classA!$F$2:$F$37)),ABS(AI118-ICL3_classA!$F$2:$F$37),0))</f>
        <v>21</v>
      </c>
      <c r="V118" s="1">
        <v>61</v>
      </c>
      <c r="W118" s="1">
        <v>30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28</v>
      </c>
      <c r="AC118" s="1">
        <f>VLOOKUP(A118,'SegEnds_NonXtal_Prot#'!A:AL,10,FALSE)-VLOOKUP(A118,'SegEnds_NonXtal_Prot#'!A:AL,7,FALSE)</f>
        <v>15</v>
      </c>
      <c r="AD118" s="1">
        <f>VLOOKUP(A118,'SegEnds_NonXtal_Prot#'!A:AL,13,FALSE)-VLOOKUP(A118,'SegEnds_NonXtal_Prot#'!A:AL,10,FALSE)</f>
        <v>18</v>
      </c>
      <c r="AE118" s="1">
        <f>VLOOKUP(A118,'SegEnds_NonXtal_Prot#'!A:AL,16,FALSE)-VLOOKUP(A118,'SegEnds_NonXtal_Prot#'!A:AL,10,FALSE)</f>
        <v>51</v>
      </c>
      <c r="AF118" s="1">
        <f>VLOOKUP(A118,'SegEnds_NonXtal_Prot#'!A:AL,22,FALSE)-VLOOKUP(A118,'SegEnds_NonXtal_Prot#'!A:AL,19,FALSE)</f>
        <v>19</v>
      </c>
      <c r="AG118" s="1" t="e">
        <f>VLOOKUP(A118,'SegEnds_NonXtal_Prot#'!A:AL,28,FALSE)-VLOOKUP(A118,'SegEnds_NonXtal_Prot#'!A:AL,25,FALSE)</f>
        <v>#VALUE!</v>
      </c>
      <c r="AH118" s="1">
        <f>VLOOKUP(A118,'SegEnds_NonXtal_Prot#'!A:AL,28,FALSE)-VLOOKUP(A118,'SegEnds_NonXtal_Prot#'!A:AL,22,FALSE)</f>
        <v>45</v>
      </c>
      <c r="AI118" s="1">
        <f>VLOOKUP(A118,'SegEnds_NonXtal_Prot#'!A:AL,31,FALSE)-VLOOKUP(A118,'SegEnds_NonXtal_Prot#'!A:AL,28,FALSE)</f>
        <v>62</v>
      </c>
      <c r="AJ118" s="1">
        <f>VLOOKUP(A118,'SegEnds_NonXtal_Prot#'!A:AL,34,FALSE)-VLOOKUP(A118,'SegEnds_NonXtal_Prot#'!A:AL,31,FALSE)</f>
        <v>37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NoXtal</v>
      </c>
    </row>
    <row r="119" spans="1:38" x14ac:dyDescent="0.2">
      <c r="A119" s="1" t="s">
        <v>35</v>
      </c>
      <c r="B119" s="1" t="str">
        <f>VLOOKUP(A119,Xtal_Templ!A:B,2,FALSE)</f>
        <v>5ht2b_human</v>
      </c>
      <c r="C119" s="5">
        <f>VLOOKUP($B119&amp;"__wt",'SegEnds_Xtal_BW#'!$A:$Z,3,FALSE)</f>
        <v>31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f>VLOOKUP($B119&amp;"__wt",'SegEnds_Xtal_BW#'!$A:$Z,14,FALSE)</f>
        <v>57</v>
      </c>
      <c r="O119" s="87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v>35</v>
      </c>
      <c r="T119" s="1">
        <f t="array" ref="T119">INDEX(ICL3_classA!$G$2:$G$37,MATCH(MIN(ABS(AI119-ICL3_classA!$F$2:$F$37)),ABS(AI119-ICL3_classA!$F$2:$F$37),0))</f>
        <v>76</v>
      </c>
      <c r="U119" s="1">
        <f t="array" ref="U119">INDEX(ICL3_classA!$H$2:$H$37,MATCH(MIN(ABS(AI119-ICL3_classA!$F$2:$F$37)),ABS(AI119-ICL3_classA!$F$2:$F$37),0))</f>
        <v>24</v>
      </c>
      <c r="V119" s="1">
        <v>61</v>
      </c>
      <c r="W119" s="132">
        <v>27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58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28</v>
      </c>
      <c r="AC119" s="1">
        <f>VLOOKUP(A119,'SegEnds_NonXtal_Prot#'!A:AL,10,FALSE)-VLOOKUP(A119,'SegEnds_NonXtal_Prot#'!A:AL,7,FALSE)</f>
        <v>15</v>
      </c>
      <c r="AD119" s="1">
        <f>VLOOKUP(A119,'SegEnds_NonXtal_Prot#'!A:AL,13,FALSE)-VLOOKUP(A119,'SegEnds_NonXtal_Prot#'!A:AL,10,FALSE)</f>
        <v>21</v>
      </c>
      <c r="AE119" s="1">
        <f>VLOOKUP(A119,'SegEnds_NonXtal_Prot#'!A:AL,16,FALSE)-VLOOKUP(A119,'SegEnds_NonXtal_Prot#'!A:AL,10,FALSE)</f>
        <v>53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22</v>
      </c>
      <c r="AH119" s="1">
        <f>VLOOKUP(A119,'SegEnds_NonXtal_Prot#'!A:AL,28,FALSE)-VLOOKUP(A119,'SegEnds_NonXtal_Prot#'!A:AL,22,FALSE)</f>
        <v>49</v>
      </c>
      <c r="AI119" s="1">
        <f>VLOOKUP(A119,'SegEnds_NonXtal_Prot#'!A:AL,31,FALSE)-VLOOKUP(A119,'SegEnds_NonXtal_Prot#'!A:AL,28,FALSE)</f>
        <v>110</v>
      </c>
      <c r="AJ119" s="1">
        <f>VLOOKUP(A119,'SegEnds_NonXtal_Prot#'!A:AL,34,FALSE)-VLOOKUP(A119,'SegEnds_NonXtal_Prot#'!A:AL,31,FALSE)</f>
        <v>38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Xtal</v>
      </c>
    </row>
    <row r="120" spans="1:38" x14ac:dyDescent="0.2">
      <c r="A120" s="1" t="s">
        <v>140</v>
      </c>
      <c r="B120" s="1" t="str">
        <f>VLOOKUP(A120,Xtal_Templ!A:B,2,FALSE)</f>
        <v>aa2ar_human</v>
      </c>
      <c r="C120" s="5">
        <f>VLOOKUP($B120&amp;"__wt",'SegEnds_Xtal_BW#'!$A:$Z,3,FALSE)</f>
        <v>27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v>66</v>
      </c>
      <c r="I120" s="1">
        <f>VLOOKUP($B120&amp;"__wt",'SegEnds_Xtal_BW#'!$A:$Z,9,FALSE)</f>
        <v>50</v>
      </c>
      <c r="J120" s="1">
        <f>VLOOKUP($B120&amp;"__wt",'SegEnds_Xtal_BW#'!$A:$Z,10,FALSE)</f>
        <v>52</v>
      </c>
      <c r="K120" s="12">
        <v>24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7">
        <v>38</v>
      </c>
      <c r="P120" s="1">
        <f>VLOOKUP($B120&amp;"__wt",'SegEnds_Xtal_BW#'!$A:$Z,16,FALSE)</f>
        <v>63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34</v>
      </c>
      <c r="T120" s="1">
        <f t="array" ref="T120">INDEX(ICL3_classA!$G$2:$G$37,MATCH(MIN(ABS(AI120-ICL3_classA!$F$2:$F$37)),ABS(AI120-ICL3_classA!$F$2:$F$37),0))</f>
        <v>73</v>
      </c>
      <c r="U120" s="1">
        <f t="array" ref="U120">INDEX(ICL3_classA!$H$2:$H$37,MATCH(MIN(ABS(AI120-ICL3_classA!$F$2:$F$37)),ABS(AI120-ICL3_classA!$F$2:$F$37),0))</f>
        <v>22</v>
      </c>
      <c r="V120" s="1">
        <v>61</v>
      </c>
      <c r="W120" s="132">
        <f>VLOOKUP($B120&amp;"__wt",'SegEnds_Xtal_BW#'!$A:$Z,23,FALSE)</f>
        <v>31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69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28</v>
      </c>
      <c r="AC120" s="1">
        <f>VLOOKUP(A120,'SegEnds_NonXtal_Prot#'!A:AL,10,FALSE)-VLOOKUP(A120,'SegEnds_NonXtal_Prot#'!A:AL,7,FALSE)</f>
        <v>15</v>
      </c>
      <c r="AD120" s="1">
        <f>VLOOKUP(A120,'SegEnds_NonXtal_Prot#'!A:AL,13,FALSE)-VLOOKUP(A120,'SegEnds_NonXtal_Prot#'!A:AL,10,FALSE)</f>
        <v>18</v>
      </c>
      <c r="AE120" s="1">
        <f>VLOOKUP(A120,'SegEnds_NonXtal_Prot#'!A:AL,16,FALSE)-VLOOKUP(A120,'SegEnds_NonXtal_Prot#'!A:AL,10,FALSE)</f>
        <v>50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23</v>
      </c>
      <c r="AH120" s="1">
        <f>VLOOKUP(A120,'SegEnds_NonXtal_Prot#'!A:AL,28,FALSE)-VLOOKUP(A120,'SegEnds_NonXtal_Prot#'!A:AL,22,FALSE)</f>
        <v>64</v>
      </c>
      <c r="AI120" s="1">
        <f>VLOOKUP(A120,'SegEnds_NonXtal_Prot#'!A:AL,31,FALSE)-VLOOKUP(A120,'SegEnds_NonXtal_Prot#'!A:AL,28,FALSE)</f>
        <v>55</v>
      </c>
      <c r="AJ120" s="1">
        <f>VLOOKUP(A120,'SegEnds_NonXtal_Prot#'!A:AL,34,FALSE)-VLOOKUP(A120,'SegEnds_NonXtal_Prot#'!A:AL,31,FALSE)</f>
        <v>38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181</v>
      </c>
      <c r="B121" s="1" t="str">
        <f>VLOOKUP(A121,Xtal_Templ!A:B,2,FALSE)</f>
        <v>agtr1_human</v>
      </c>
      <c r="C121" s="5">
        <f>VLOOKUP($B121&amp;"__wt",'SegEnds_Xtal_BW#'!$A:$Z,3,FALSE)</f>
        <v>28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66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34</v>
      </c>
      <c r="T121" s="1">
        <f t="array" ref="T121">INDEX(ICL3_classA!$G$2:$G$37,MATCH(MIN(ABS(AI121-ICL3_classA!$F$2:$F$37)),ABS(AI121-ICL3_classA!$F$2:$F$37),0))</f>
        <v>68</v>
      </c>
      <c r="U121" s="1">
        <f t="array" ref="U121">INDEX(ICL3_classA!$H$2:$H$37,MATCH(MIN(ABS(AI121-ICL3_classA!$F$2:$F$37)),ABS(AI121-ICL3_classA!$F$2:$F$37),0))</f>
        <v>30</v>
      </c>
      <c r="V121" s="1">
        <v>61</v>
      </c>
      <c r="W121" s="108">
        <v>25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61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27</v>
      </c>
      <c r="AC121" s="1" t="e">
        <f>VLOOKUP(A121,'SegEnds_NonXtal_Prot#'!A:AL,10,FALSE)-VLOOKUP(A121,'SegEnds_NonXtal_Prot#'!A:AL,7,FALSE)</f>
        <v>#VALUE!</v>
      </c>
      <c r="AD121" s="1">
        <f>VLOOKUP(A121,'SegEnds_NonXtal_Prot#'!A:AL,13,FALSE)-VLOOKUP(A121,'SegEnds_NonXtal_Prot#'!A:AL,10,FALSE)</f>
        <v>20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43</v>
      </c>
      <c r="AH121" s="1">
        <f>VLOOKUP(A121,'SegEnds_NonXtal_Prot#'!A:AL,28,FALSE)-VLOOKUP(A121,'SegEnds_NonXtal_Prot#'!A:AL,22,FALSE)</f>
        <v>68</v>
      </c>
      <c r="AI121" s="1">
        <f>VLOOKUP(A121,'SegEnds_NonXtal_Prot#'!A:AL,31,FALSE)-VLOOKUP(A121,'SegEnds_NonXtal_Prot#'!A:AL,28,FALSE)</f>
        <v>43</v>
      </c>
      <c r="AJ121" s="1">
        <f>VLOOKUP(A121,'SegEnds_NonXtal_Prot#'!A:AL,34,FALSE)-VLOOKUP(A121,'SegEnds_NonXtal_Prot#'!A:AL,31,FALSE)</f>
        <v>38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205</v>
      </c>
      <c r="B122" s="1" t="str">
        <f>VLOOKUP(A122,Xtal_Templ!A:B,2,FALSE)</f>
        <v>oprk_human</v>
      </c>
      <c r="C122" s="5">
        <f>VLOOKUP($B122&amp;"__wt",'SegEnds_Xtal_BW#'!$A:$Z,3,FALSE)</f>
        <v>30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f>VLOOKUP($B122&amp;"__wt",'SegEnds_Xtal_BW#'!$A:$Z,15,FALSE)</f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30</v>
      </c>
      <c r="T122" s="1">
        <f t="array" ref="T122">INDEX(ICL3_classA!$G$2:$G$37,MATCH(MIN(ABS(AI122-ICL3_classA!$F$2:$F$37)),ABS(AI122-ICL3_classA!$F$2:$F$37),0))</f>
        <v>72</v>
      </c>
      <c r="U122" s="1">
        <f t="array" ref="U122">INDEX(ICL3_classA!$H$2:$H$37,MATCH(MIN(ABS(AI122-ICL3_classA!$F$2:$F$37)),ABS(AI122-ICL3_classA!$F$2:$F$37),0))</f>
        <v>29</v>
      </c>
      <c r="V122" s="1">
        <v>61</v>
      </c>
      <c r="W122" s="132">
        <f>VLOOKUP($B122&amp;"__wt",'SegEnds_Xtal_BW#'!$A:$Z,23,FALSE)</f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30</v>
      </c>
      <c r="AC122" s="1" t="e">
        <f>VLOOKUP(A122,'SegEnds_NonXtal_Prot#'!A:AL,10,FALSE)-VLOOKUP(A122,'SegEnds_NonXtal_Prot#'!A:AL,7,FALSE)</f>
        <v>#VALUE!</v>
      </c>
      <c r="AD122" s="1">
        <f>VLOOKUP(A122,'SegEnds_NonXtal_Prot#'!A:AL,13,FALSE)-VLOOKUP(A122,'SegEnds_NonXtal_Prot#'!A:AL,10,FALSE)</f>
        <v>20</v>
      </c>
      <c r="AE122" s="1">
        <f>VLOOKUP(A122,'SegEnds_NonXtal_Prot#'!A:AL,16,FALSE)-VLOOKUP(A122,'SegEnds_NonXtal_Prot#'!A:AL,10,FALSE)</f>
        <v>52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25</v>
      </c>
      <c r="AH122" s="1">
        <f>VLOOKUP(A122,'SegEnds_NonXtal_Prot#'!A:AL,28,FALSE)-VLOOKUP(A122,'SegEnds_NonXtal_Prot#'!A:AL,22,FALSE)</f>
        <v>52</v>
      </c>
      <c r="AI122" s="1">
        <f>VLOOKUP(A122,'SegEnds_NonXtal_Prot#'!A:AL,31,FALSE)-VLOOKUP(A122,'SegEnds_NonXtal_Prot#'!A:AL,28,FALSE)</f>
        <v>50</v>
      </c>
      <c r="AJ122" s="1">
        <f>VLOOKUP(A122,'SegEnds_NonXtal_Prot#'!A:AL,34,FALSE)-VLOOKUP(A122,'SegEnds_NonXtal_Prot#'!A:AL,31,FALSE)</f>
        <v>38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NoXtal</v>
      </c>
    </row>
    <row r="123" spans="1:38" x14ac:dyDescent="0.2">
      <c r="A123" s="1" t="s">
        <v>206</v>
      </c>
      <c r="B123" s="1" t="str">
        <f>VLOOKUP(A123,Xtal_Templ!A:B,2,FALSE)</f>
        <v>oprk_human</v>
      </c>
      <c r="C123" s="5">
        <f>VLOOKUP($B123&amp;"__wt",'SegEnds_Xtal_BW#'!$A:$Z,3,FALSE)</f>
        <v>30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f>VLOOKUP($B123&amp;"__wt",'SegEnds_Xtal_BW#'!$A:$Z,8,FALSE)</f>
        <v>67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f>VLOOKUP($B123&amp;"__wt",'SegEnds_Xtal_BW#'!$A:$Z,15,FALSE)</f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30</v>
      </c>
      <c r="T123" s="1">
        <f t="array" ref="T123">INDEX(ICL3_classA!$G$2:$G$37,MATCH(MIN(ABS(AI123-ICL3_classA!$F$2:$F$37)),ABS(AI123-ICL3_classA!$F$2:$F$37),0))</f>
        <v>72</v>
      </c>
      <c r="U123" s="1">
        <f t="array" ref="U123">INDEX(ICL3_classA!$H$2:$H$37,MATCH(MIN(ABS(AI123-ICL3_classA!$F$2:$F$37)),ABS(AI123-ICL3_classA!$F$2:$F$37),0))</f>
        <v>24</v>
      </c>
      <c r="V123" s="1">
        <v>61</v>
      </c>
      <c r="W123" s="132">
        <f>VLOOKUP($B123&amp;"__wt",'SegEnds_Xtal_BW#'!$A:$Z,23,FALSE)</f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>
        <f>VLOOKUP(A123,'SegEnds_NonXtal_Prot#'!A:AL,10,FALSE)-VLOOKUP(A123,'SegEnds_NonXtal_Prot#'!A:AL,7,FALSE)</f>
        <v>15</v>
      </c>
      <c r="AD123" s="1">
        <f>VLOOKUP(A123,'SegEnds_NonXtal_Prot#'!A:AL,13,FALSE)-VLOOKUP(A123,'SegEnds_NonXtal_Prot#'!A:AL,10,FALSE)</f>
        <v>20</v>
      </c>
      <c r="AE123" s="1">
        <f>VLOOKUP(A123,'SegEnds_NonXtal_Prot#'!A:AL,16,FALSE)-VLOOKUP(A123,'SegEnds_NonXtal_Prot#'!A:AL,10,FALSE)</f>
        <v>52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24</v>
      </c>
      <c r="AH123" s="1">
        <f>VLOOKUP(A123,'SegEnds_NonXtal_Prot#'!A:AL,28,FALSE)-VLOOKUP(A123,'SegEnds_NonXtal_Prot#'!A:AL,22,FALSE)</f>
        <v>49</v>
      </c>
      <c r="AI123" s="1">
        <f>VLOOKUP(A123,'SegEnds_NonXtal_Prot#'!A:AL,31,FALSE)-VLOOKUP(A123,'SegEnds_NonXtal_Prot#'!A:AL,28,FALSE)</f>
        <v>52</v>
      </c>
      <c r="AJ123" s="1">
        <f>VLOOKUP(A123,'SegEnds_NonXtal_Prot#'!A:AL,34,FALSE)-VLOOKUP(A123,'SegEnds_NonXtal_Prot#'!A:AL,31,FALSE)</f>
        <v>38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NoXtal</v>
      </c>
    </row>
    <row r="124" spans="1:38" x14ac:dyDescent="0.2">
      <c r="A124" s="1" t="s">
        <v>207</v>
      </c>
      <c r="B124" s="1" t="str">
        <f>VLOOKUP(A124,Xtal_Templ!A:B,2,FALSE)</f>
        <v>oprk_human</v>
      </c>
      <c r="C124" s="5">
        <f>VLOOKUP($B124&amp;"__wt",'SegEnds_Xtal_BW#'!$A:$Z,3,FALSE)</f>
        <v>30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67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7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30</v>
      </c>
      <c r="T124" s="1">
        <f t="array" ref="T124">INDEX(ICL3_classA!$G$2:$G$37,MATCH(MIN(ABS(AI124-ICL3_classA!$F$2:$F$37)),ABS(AI124-ICL3_classA!$F$2:$F$37),0))</f>
        <v>72</v>
      </c>
      <c r="U124" s="1">
        <f t="array" ref="U124">INDEX(ICL3_classA!$H$2:$H$37,MATCH(MIN(ABS(AI124-ICL3_classA!$F$2:$F$37)),ABS(AI124-ICL3_classA!$F$2:$F$37),0))</f>
        <v>24</v>
      </c>
      <c r="V124" s="1">
        <v>61</v>
      </c>
      <c r="W124" s="132">
        <f>VLOOKUP($B124&amp;"__wt",'SegEnds_Xtal_BW#'!$A:$Z,23,FALSE)</f>
        <v>28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33</v>
      </c>
      <c r="AC124" s="1">
        <f>VLOOKUP(A124,'SegEnds_NonXtal_Prot#'!A:AL,10,FALSE)-VLOOKUP(A124,'SegEnds_NonXtal_Prot#'!A:AL,7,FALSE)</f>
        <v>19</v>
      </c>
      <c r="AD124" s="1">
        <f>VLOOKUP(A124,'SegEnds_NonXtal_Prot#'!A:AL,13,FALSE)-VLOOKUP(A124,'SegEnds_NonXtal_Prot#'!A:AL,10,FALSE)</f>
        <v>20</v>
      </c>
      <c r="AE124" s="1">
        <f>VLOOKUP(A124,'SegEnds_NonXtal_Prot#'!A:AL,16,FALSE)-VLOOKUP(A124,'SegEnds_NonXtal_Prot#'!A:AL,10,FALSE)</f>
        <v>52</v>
      </c>
      <c r="AF124" s="1">
        <f>VLOOKUP(A124,'SegEnds_NonXtal_Prot#'!A:AL,22,FALSE)-VLOOKUP(A124,'SegEnds_NonXtal_Prot#'!A:AL,19,FALSE)</f>
        <v>20</v>
      </c>
      <c r="AG124" s="1">
        <f>VLOOKUP(A124,'SegEnds_NonXtal_Prot#'!A:AL,28,FALSE)-VLOOKUP(A124,'SegEnds_NonXtal_Prot#'!A:AL,25,FALSE)</f>
        <v>24</v>
      </c>
      <c r="AH124" s="1">
        <f>VLOOKUP(A124,'SegEnds_NonXtal_Prot#'!A:AL,28,FALSE)-VLOOKUP(A124,'SegEnds_NonXtal_Prot#'!A:AL,22,FALSE)</f>
        <v>49</v>
      </c>
      <c r="AI124" s="1">
        <f>VLOOKUP(A124,'SegEnds_NonXtal_Prot#'!A:AL,31,FALSE)-VLOOKUP(A124,'SegEnds_NonXtal_Prot#'!A:AL,28,FALSE)</f>
        <v>54</v>
      </c>
      <c r="AJ124" s="1">
        <f>VLOOKUP(A124,'SegEnds_NonXtal_Prot#'!A:AL,34,FALSE)-VLOOKUP(A124,'SegEnds_NonXtal_Prot#'!A:AL,31,FALSE)</f>
        <v>38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210</v>
      </c>
      <c r="B125" s="1" t="str">
        <f>VLOOKUP(A125,Xtal_Templ!A:B,2,FALSE)</f>
        <v>apj_human</v>
      </c>
      <c r="C125" s="5">
        <f>VLOOKUP($B125&amp;"__wt",'SegEnds_Xtal_BW#'!$A:$Z,3,FALSE)</f>
        <v>33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52</v>
      </c>
      <c r="G125" s="1">
        <v>37</v>
      </c>
      <c r="H125" s="12"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21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53</v>
      </c>
      <c r="O125" s="87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30</v>
      </c>
      <c r="T125" s="1">
        <f t="array" ref="T125">INDEX(ICL3_classA!$G$2:$G$37,MATCH(MIN(ABS(AI125-ICL3_classA!$F$2:$F$37)),ABS(AI125-ICL3_classA!$F$2:$F$37),0))</f>
        <v>74</v>
      </c>
      <c r="U125" s="1">
        <f t="array" ref="U125">INDEX(ICL3_classA!$H$2:$H$37,MATCH(MIN(ABS(AI125-ICL3_classA!$F$2:$F$37)),ABS(AI125-ICL3_classA!$F$2:$F$37),0))</f>
        <v>21</v>
      </c>
      <c r="V125" s="1">
        <v>61</v>
      </c>
      <c r="W125" s="108">
        <v>25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34</v>
      </c>
      <c r="AC125" s="1">
        <f>VLOOKUP(A125,'SegEnds_NonXtal_Prot#'!A:AL,10,FALSE)-VLOOKUP(A125,'SegEnds_NonXtal_Prot#'!A:AL,7,FALSE)</f>
        <v>14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>
        <f>VLOOKUP(A125,'SegEnds_NonXtal_Prot#'!A:AL,22,FALSE)-VLOOKUP(A125,'SegEnds_NonXtal_Prot#'!A:AL,19,FALSE)</f>
        <v>18</v>
      </c>
      <c r="AG125" s="1">
        <f>VLOOKUP(A125,'SegEnds_NonXtal_Prot#'!A:AL,28,FALSE)-VLOOKUP(A125,'SegEnds_NonXtal_Prot#'!A:AL,25,FALSE)</f>
        <v>23</v>
      </c>
      <c r="AH125" s="1">
        <f>VLOOKUP(A125,'SegEnds_NonXtal_Prot#'!A:AL,28,FALSE)-VLOOKUP(A125,'SegEnds_NonXtal_Prot#'!A:AL,22,FALSE)</f>
        <v>59</v>
      </c>
      <c r="AI125" s="1">
        <f>VLOOKUP(A125,'SegEnds_NonXtal_Prot#'!A:AL,31,FALSE)-VLOOKUP(A125,'SegEnds_NonXtal_Prot#'!A:AL,28,FALSE)</f>
        <v>59</v>
      </c>
      <c r="AJ125" s="1">
        <f>VLOOKUP(A125,'SegEnds_NonXtal_Prot#'!A:AL,34,FALSE)-VLOOKUP(A125,'SegEnds_NonXtal_Prot#'!A:AL,31,FALSE)</f>
        <v>38</v>
      </c>
      <c r="AK125" s="1" t="e">
        <f>VLOOKUP(A125,'SegEnds_NonXtal_Prot#'!A:AL,37,FALSE)-VLOOKUP(A125,'SegEnds_NonXtal_Prot#'!A:AL,34,FALSE)</f>
        <v>#VALUE!</v>
      </c>
      <c r="AL125" s="1" t="str">
        <f>IF(ISERROR(MATCH(A125,'SegEnds_Xtal_Prot#'!B:B, 0)), "NoXtal", "Xtal")</f>
        <v>NoXtal</v>
      </c>
    </row>
    <row r="126" spans="1:38" x14ac:dyDescent="0.2">
      <c r="A126" s="1" t="s">
        <v>215</v>
      </c>
      <c r="B126" s="1" t="str">
        <f>VLOOKUP(A126,Xtal_Templ!A:B,2,FALSE)</f>
        <v>mtr1a_human</v>
      </c>
      <c r="C126" s="5">
        <f>VLOOKUP($B126&amp;"__wt",'SegEnds_Xtal_BW#'!$A:$Z,3,FALSE)</f>
        <v>28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68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56</v>
      </c>
      <c r="O126" s="87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35</v>
      </c>
      <c r="T126" s="1">
        <f t="array" ref="T126">INDEX(ICL3_classA!$G$2:$G$37,MATCH(MIN(ABS(AI126-ICL3_classA!$F$2:$F$37)),ABS(AI126-ICL3_classA!$F$2:$F$37),0))</f>
        <v>73</v>
      </c>
      <c r="U126" s="1">
        <f t="array" ref="U126">INDEX(ICL3_classA!$H$2:$H$37,MATCH(MIN(ABS(AI126-ICL3_classA!$F$2:$F$37)),ABS(AI126-ICL3_classA!$F$2:$F$37),0))</f>
        <v>22</v>
      </c>
      <c r="V126" s="1">
        <v>61</v>
      </c>
      <c r="W126" s="132">
        <f>VLOOKUP($B126&amp;"__wt",'SegEnds_Xtal_BW#'!$A:$Z,23,FALSE)</f>
        <v>31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63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28</v>
      </c>
      <c r="AC126" s="1">
        <f>VLOOKUP(A126,'SegEnds_NonXtal_Prot#'!A:AL,10,FALSE)-VLOOKUP(A126,'SegEnds_NonXtal_Prot#'!A:AL,7,FALSE)</f>
        <v>15</v>
      </c>
      <c r="AD126" s="1" t="e">
        <f>VLOOKUP(A126,'SegEnds_NonXtal_Prot#'!A:AL,13,FALSE)-VLOOKUP(A126,'SegEnds_NonXtal_Prot#'!A:AL,10,FALSE)</f>
        <v>#VALUE!</v>
      </c>
      <c r="AE126" s="1">
        <f>VLOOKUP(A126,'SegEnds_NonXtal_Prot#'!A:AL,16,FALSE)-VLOOKUP(A126,'SegEnds_NonXtal_Prot#'!A:AL,10,FALSE)</f>
        <v>60</v>
      </c>
      <c r="AF126" s="1" t="e">
        <f>VLOOKUP(A126,'SegEnds_NonXtal_Prot#'!A:AL,22,FALSE)-VLOOKUP(A126,'SegEnds_NonXtal_Prot#'!A:AL,19,FALSE)</f>
        <v>#VALUE!</v>
      </c>
      <c r="AG126" s="1">
        <f>VLOOKUP(A126,'SegEnds_NonXtal_Prot#'!A:AL,28,FALSE)-VLOOKUP(A126,'SegEnds_NonXtal_Prot#'!A:AL,25,FALSE)</f>
        <v>27</v>
      </c>
      <c r="AH126" s="1">
        <f>VLOOKUP(A126,'SegEnds_NonXtal_Prot#'!A:AL,28,FALSE)-VLOOKUP(A126,'SegEnds_NonXtal_Prot#'!A:AL,22,FALSE)</f>
        <v>55</v>
      </c>
      <c r="AI126" s="1">
        <f>VLOOKUP(A126,'SegEnds_NonXtal_Prot#'!A:AL,31,FALSE)-VLOOKUP(A126,'SegEnds_NonXtal_Prot#'!A:AL,28,FALSE)</f>
        <v>57</v>
      </c>
      <c r="AJ126" s="1">
        <f>VLOOKUP(A126,'SegEnds_NonXtal_Prot#'!A:AL,34,FALSE)-VLOOKUP(A126,'SegEnds_NonXtal_Prot#'!A:AL,31,FALSE)</f>
        <v>38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NoXtal</v>
      </c>
    </row>
    <row r="127" spans="1:38" x14ac:dyDescent="0.2">
      <c r="A127" s="1" t="s">
        <v>223</v>
      </c>
      <c r="B127" s="1" t="str">
        <f>VLOOKUP(A127,Xtal_Templ!A:B,2,FALSE)</f>
        <v>agtr2_human</v>
      </c>
      <c r="C127" s="5">
        <f>VLOOKUP($B127&amp;"__wt",'SegEnds_Xtal_BW#'!$A:$Z,3,FALSE)</f>
        <v>33</v>
      </c>
      <c r="D127" s="1">
        <f>VLOOKUP($B127&amp;"__wt",'SegEnds_Xtal_BW#'!$A:$Z,4,FALSE)</f>
        <v>60</v>
      </c>
      <c r="E127" s="1" t="str">
        <f>VLOOKUP($B127&amp;"__wt",'SegEnds_Xtal_BW#'!$A:$Z,5,FALSE)</f>
        <v>-</v>
      </c>
      <c r="F127" s="1" t="str">
        <f>VLOOKUP($B127&amp;"__wt",'SegEnds_Xtal_BW#'!$A:$Z,6,FALSE)</f>
        <v>-</v>
      </c>
      <c r="G127" s="1">
        <v>37</v>
      </c>
      <c r="H127" s="12">
        <f>VLOOKUP($B127&amp;"__wt",'SegEnds_Xtal_BW#'!$A:$Z,8,FALSE)</f>
        <v>66</v>
      </c>
      <c r="I127" s="1">
        <f>VLOOKUP($B127&amp;"__wt",'SegEnds_Xtal_BW#'!$A:$Z,9,FALSE)</f>
        <v>47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56</v>
      </c>
      <c r="O127" s="87">
        <f>VLOOKUP($B127&amp;"__wt",'SegEnds_Xtal_BW#'!$A:$Z,15,FALSE)</f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30</v>
      </c>
      <c r="T127" s="1">
        <f t="array" ref="T127">INDEX(ICL3_classA!$G$2:$G$37,MATCH(MIN(ABS(AI127-ICL3_classA!$F$2:$F$37)),ABS(AI127-ICL3_classA!$F$2:$F$37),0))</f>
        <v>68</v>
      </c>
      <c r="U127" s="1">
        <f t="array" ref="U127">INDEX(ICL3_classA!$H$2:$H$37,MATCH(MIN(ABS(AI127-ICL3_classA!$F$2:$F$37)),ABS(AI127-ICL3_classA!$F$2:$F$37),0))</f>
        <v>23</v>
      </c>
      <c r="V127" s="1">
        <v>61</v>
      </c>
      <c r="W127" s="108">
        <v>25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61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30</v>
      </c>
      <c r="AC127" s="1" t="e">
        <f>VLOOKUP(A127,'SegEnds_NonXtal_Prot#'!A:AL,10,FALSE)-VLOOKUP(A127,'SegEnds_NonXtal_Prot#'!A:AL,7,FALSE)</f>
        <v>#VALUE!</v>
      </c>
      <c r="AD127" s="1">
        <f>VLOOKUP(A127,'SegEnds_NonXtal_Prot#'!A:AL,13,FALSE)-VLOOKUP(A127,'SegEnds_NonXtal_Prot#'!A:AL,10,FALSE)</f>
        <v>20</v>
      </c>
      <c r="AE127" s="1">
        <f>VLOOKUP(A127,'SegEnds_NonXtal_Prot#'!A:AL,16,FALSE)-VLOOKUP(A127,'SegEnds_NonXtal_Prot#'!A:AL,10,FALSE)</f>
        <v>52</v>
      </c>
      <c r="AF127" s="1">
        <f>VLOOKUP(A127,'SegEnds_NonXtal_Prot#'!A:AL,22,FALSE)-VLOOKUP(A127,'SegEnds_NonXtal_Prot#'!A:AL,19,FALSE)</f>
        <v>19</v>
      </c>
      <c r="AG127" s="1">
        <f>VLOOKUP(A127,'SegEnds_NonXtal_Prot#'!A:AL,28,FALSE)-VLOOKUP(A127,'SegEnds_NonXtal_Prot#'!A:AL,25,FALSE)</f>
        <v>27</v>
      </c>
      <c r="AH127" s="1">
        <f>VLOOKUP(A127,'SegEnds_NonXtal_Prot#'!A:AL,28,FALSE)-VLOOKUP(A127,'SegEnds_NonXtal_Prot#'!A:AL,22,FALSE)</f>
        <v>52</v>
      </c>
      <c r="AI127" s="1">
        <f>VLOOKUP(A127,'SegEnds_NonXtal_Prot#'!A:AL,31,FALSE)-VLOOKUP(A127,'SegEnds_NonXtal_Prot#'!A:AL,28,FALSE)</f>
        <v>51</v>
      </c>
      <c r="AJ127" s="1">
        <f>VLOOKUP(A127,'SegEnds_NonXtal_Prot#'!A:AL,34,FALSE)-VLOOKUP(A127,'SegEnds_NonXtal_Prot#'!A:AL,31,FALSE)</f>
        <v>38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NoXtal</v>
      </c>
    </row>
    <row r="128" spans="1:38" x14ac:dyDescent="0.2">
      <c r="A128" s="4" t="s">
        <v>235</v>
      </c>
      <c r="B128" s="4" t="str">
        <f>VLOOKUP(A128,Xtal_Templ!A:B,2,FALSE)</f>
        <v>lpar1_human</v>
      </c>
      <c r="C128" s="5">
        <f>VLOOKUP($B128&amp;"__wt",'SegEnds_Xtal_BW#'!$A:$Z,3,FALSE)</f>
        <v>30</v>
      </c>
      <c r="D128" s="4">
        <f>VLOOKUP($B128&amp;"__wt",'SegEnds_Xtal_BW#'!$A:$Z,4,FALSE)</f>
        <v>60</v>
      </c>
      <c r="E128" s="4">
        <f>VLOOKUP($B128&amp;"__wt",'SegEnds_Xtal_BW#'!$A:$Z,5,FALSE)</f>
        <v>48</v>
      </c>
      <c r="F128" s="4">
        <f>VLOOKUP($B128&amp;"__wt",'SegEnds_Xtal_BW#'!$A:$Z,6,FALSE)</f>
        <v>51</v>
      </c>
      <c r="G128" s="4">
        <v>37</v>
      </c>
      <c r="H128" s="11">
        <v>66</v>
      </c>
      <c r="I128" s="4">
        <v>48</v>
      </c>
      <c r="J128" s="4">
        <v>52</v>
      </c>
      <c r="K128" s="11">
        <v>24</v>
      </c>
      <c r="L128" s="4">
        <f>VLOOKUP($B128&amp;"__wt",'SegEnds_Xtal_BW#'!$A:$Z,12,FALSE)</f>
        <v>56</v>
      </c>
      <c r="M128" s="4">
        <f>VLOOKUP($B128&amp;"__wt",'SegEnds_Xtal_BW#'!$A:$Z,13,FALSE)</f>
        <v>50</v>
      </c>
      <c r="N128" s="11">
        <f>VLOOKUP($B128&amp;"__wt",'SegEnds_Xtal_BW#'!$A:$Z,14,FALSE)</f>
        <v>56</v>
      </c>
      <c r="O128" s="88">
        <v>38</v>
      </c>
      <c r="P128" s="4">
        <f>VLOOKUP($B128&amp;"__wt",'SegEnds_Xtal_BW#'!$A:$Z,16,FALSE)</f>
        <v>63</v>
      </c>
      <c r="Q128" s="115">
        <v>50</v>
      </c>
      <c r="R128" s="115">
        <v>52</v>
      </c>
      <c r="S128" s="4">
        <v>35</v>
      </c>
      <c r="T128" s="4">
        <f t="array" ref="T128">INDEX(ICL3_classA!$G$2:$G$37,MATCH(MIN(ABS(AI128-ICL3_classA!$F$2:$F$37)),ABS(AI128-ICL3_classA!$F$2:$F$37),0))</f>
        <v>74</v>
      </c>
      <c r="U128" s="4">
        <f t="array" ref="U128">INDEX(ICL3_classA!$H$2:$H$37,MATCH(MIN(ABS(AI128-ICL3_classA!$F$2:$F$37)),ABS(AI128-ICL3_classA!$F$2:$F$37),0))</f>
        <v>21</v>
      </c>
      <c r="V128" s="4">
        <v>61</v>
      </c>
      <c r="W128" s="132">
        <f>VLOOKUP($B128&amp;"__wt",'SegEnds_Xtal_BW#'!$A:$Z,23,FALSE)</f>
        <v>30</v>
      </c>
      <c r="X128" s="4">
        <f>VLOOKUP($B128&amp;"__wt",'SegEnds_Xtal_BW#'!$A:$Z,24,FALSE)</f>
        <v>56</v>
      </c>
      <c r="Y128" s="4">
        <f>VLOOKUP($B128&amp;"__wt",'SegEnds_Xtal_BW#'!$A:$Z,25,FALSE)</f>
        <v>47</v>
      </c>
      <c r="Z128" s="4">
        <f>VLOOKUP($B128&amp;"__wt",'SegEnds_Xtal_BW#'!$A:$Z,26,FALSE)</f>
        <v>59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29</v>
      </c>
      <c r="AC128" s="4">
        <f>VLOOKUP(A128,'SegEnds_NonXtal_Prot#'!A:AL,10,FALSE)-VLOOKUP(A128,'SegEnds_NonXtal_Prot#'!A:AL,7,FALSE)</f>
        <v>16</v>
      </c>
      <c r="AD128" s="4" t="e">
        <f>VLOOKUP(A128,'SegEnds_NonXtal_Prot#'!A:AL,13,FALSE)-VLOOKUP(A128,'SegEnds_NonXtal_Prot#'!A:AL,10,FALSE)</f>
        <v>#VALUE!</v>
      </c>
      <c r="AE128" s="4">
        <f>VLOOKUP(A128,'SegEnds_NonXtal_Prot#'!A:AL,16,FALSE)-VLOOKUP(A128,'SegEnds_NonXtal_Prot#'!A:AL,10,FALSE)</f>
        <v>49</v>
      </c>
      <c r="AF128" s="1" t="e">
        <f>VLOOKUP(A128,'SegEnds_NonXtal_Prot#'!A:AL,22,FALSE)-VLOOKUP(A128,'SegEnds_NonXtal_Prot#'!A:AL,19,FALSE)</f>
        <v>#VALUE!</v>
      </c>
      <c r="AG128" s="4">
        <f>VLOOKUP(A128,'SegEnds_NonXtal_Prot#'!A:AL,28,FALSE)-VLOOKUP(A128,'SegEnds_NonXtal_Prot#'!A:AL,25,FALSE)</f>
        <v>21</v>
      </c>
      <c r="AH128" s="1">
        <f>VLOOKUP(A128,'SegEnds_NonXtal_Prot#'!A:AL,28,FALSE)-VLOOKUP(A128,'SegEnds_NonXtal_Prot#'!A:AL,22,FALSE)</f>
        <v>44</v>
      </c>
      <c r="AI128" s="4">
        <f>VLOOKUP(A128,'SegEnds_NonXtal_Prot#'!A:AL,31,FALSE)-VLOOKUP(A128,'SegEnds_NonXtal_Prot#'!A:AL,28,FALSE)</f>
        <v>63</v>
      </c>
      <c r="AJ128" s="4">
        <f>VLOOKUP(A128,'SegEnds_NonXtal_Prot#'!A:AL,34,FALSE)-VLOOKUP(A128,'SegEnds_NonXtal_Prot#'!A:AL,31,FALSE)</f>
        <v>38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243</v>
      </c>
      <c r="B129" s="1" t="str">
        <f>VLOOKUP(A129,Xtal_Templ!A:B,2,FALSE)</f>
        <v>par2_human</v>
      </c>
      <c r="C129" s="5">
        <f>VLOOKUP($B129&amp;"__wt",'SegEnds_Xtal_BW#'!$A:$Z,3,FALSE)</f>
        <v>28</v>
      </c>
      <c r="D129" s="1">
        <f>VLOOKUP($B129&amp;"__wt",'SegEnds_Xtal_BW#'!$A:$Z,4,FALSE)</f>
        <v>60</v>
      </c>
      <c r="E129" s="1" t="str">
        <f>VLOOKUP($B129&amp;"__wt",'SegEnds_Xtal_BW#'!$A:$Z,5,FALSE)</f>
        <v>-</v>
      </c>
      <c r="F129" s="1" t="str">
        <f>VLOOKUP($B129&amp;"__wt",'SegEnds_Xtal_BW#'!$A:$Z,6,FALSE)</f>
        <v>-</v>
      </c>
      <c r="G129" s="1">
        <v>37</v>
      </c>
      <c r="H129" s="12">
        <v>66</v>
      </c>
      <c r="I129" s="1">
        <f>VLOOKUP($B129&amp;"__wt",'SegEnds_Xtal_BW#'!$A:$Z,9,FALSE)</f>
        <v>47</v>
      </c>
      <c r="J129" s="1">
        <f>VLOOKUP($B129&amp;"__wt",'SegEnds_Xtal_BW#'!$A:$Z,10,FALSE)</f>
        <v>52</v>
      </c>
      <c r="K129" s="12">
        <v>24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7">
        <v>38</v>
      </c>
      <c r="P129" s="1">
        <f>VLOOKUP($B129&amp;"__wt",'SegEnds_Xtal_BW#'!$A:$Z,16,FALSE)</f>
        <v>62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08">
        <v>38</v>
      </c>
      <c r="T129" s="1">
        <f t="array" ref="T129">INDEX(ICL3_classA!$G$2:$G$37,MATCH(MIN(ABS(AI129-ICL3_classA!$F$2:$F$37)),ABS(AI129-ICL3_classA!$F$2:$F$37),0))</f>
        <v>68</v>
      </c>
      <c r="U129" s="1">
        <f t="array" ref="U129">INDEX(ICL3_classA!$H$2:$H$37,MATCH(MIN(ABS(AI129-ICL3_classA!$F$2:$F$37)),ABS(AI129-ICL3_classA!$F$2:$F$37),0))</f>
        <v>24</v>
      </c>
      <c r="V129" s="1">
        <v>61</v>
      </c>
      <c r="W129" s="132">
        <f>VLOOKUP($B129&amp;"__wt",'SegEnds_Xtal_BW#'!$A:$Z,23,FALSE)</f>
        <v>31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61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28</v>
      </c>
      <c r="AC129" s="1">
        <f>VLOOKUP(A129,'SegEnds_NonXtal_Prot#'!A:AL,10,FALSE)-VLOOKUP(A129,'SegEnds_NonXtal_Prot#'!A:AL,7,FALSE)</f>
        <v>15</v>
      </c>
      <c r="AD129" s="1" t="e">
        <f>VLOOKUP(A129,'SegEnds_NonXtal_Prot#'!A:AL,13,FALSE)-VLOOKUP(A129,'SegEnds_NonXtal_Prot#'!A:AL,10,FALSE)</f>
        <v>#VALUE!</v>
      </c>
      <c r="AE129" s="1">
        <f>VLOOKUP(A129,'SegEnds_NonXtal_Prot#'!A:AL,16,FALSE)-VLOOKUP(A129,'SegEnds_NonXtal_Prot#'!A:AL,10,FALSE)</f>
        <v>49</v>
      </c>
      <c r="AF129" s="1">
        <f>VLOOKUP(A129,'SegEnds_NonXtal_Prot#'!A:AL,22,FALSE)-VLOOKUP(A129,'SegEnds_NonXtal_Prot#'!A:AL,19,FALSE)</f>
        <v>20</v>
      </c>
      <c r="AG129" s="1" t="e">
        <f>VLOOKUP(A129,'SegEnds_NonXtal_Prot#'!A:AL,28,FALSE)-VLOOKUP(A129,'SegEnds_NonXtal_Prot#'!A:AL,25,FALSE)</f>
        <v>#VALUE!</v>
      </c>
      <c r="AH129" s="1">
        <f>VLOOKUP(A129,'SegEnds_NonXtal_Prot#'!A:AL,28,FALSE)-VLOOKUP(A129,'SegEnds_NonXtal_Prot#'!A:AL,22,FALSE)</f>
        <v>33</v>
      </c>
      <c r="AI129" s="1">
        <f>VLOOKUP(A129,'SegEnds_NonXtal_Prot#'!A:AL,31,FALSE)-VLOOKUP(A129,'SegEnds_NonXtal_Prot#'!A:AL,28,FALSE)</f>
        <v>48</v>
      </c>
      <c r="AJ129" s="1">
        <f>VLOOKUP(A129,'SegEnds_NonXtal_Prot#'!A:AL,34,FALSE)-VLOOKUP(A129,'SegEnds_NonXtal_Prot#'!A:AL,31,FALSE)</f>
        <v>38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305</v>
      </c>
      <c r="B130" s="1" t="str">
        <f>VLOOKUP(A130,Xtal_Templ!A:B,2,FALSE)</f>
        <v>agtr1_human</v>
      </c>
      <c r="C130" s="5">
        <f>VLOOKUP($B130&amp;"__wt",'SegEnds_Xtal_BW#'!$A:$Z,3,FALSE)</f>
        <v>28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24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7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34</v>
      </c>
      <c r="T130" s="1">
        <f t="array" ref="T130">INDEX(ICL3_classA!$G$2:$G$37,MATCH(MIN(ABS(AI130-ICL3_classA!$F$2:$F$37)),ABS(AI130-ICL3_classA!$F$2:$F$37),0))</f>
        <v>68</v>
      </c>
      <c r="U130" s="1">
        <f t="array" ref="U130">INDEX(ICL3_classA!$H$2:$H$37,MATCH(MIN(ABS(AI130-ICL3_classA!$F$2:$F$37)),ABS(AI130-ICL3_classA!$F$2:$F$37),0))</f>
        <v>30</v>
      </c>
      <c r="V130" s="1">
        <v>61</v>
      </c>
      <c r="W130" s="108">
        <v>25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61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27</v>
      </c>
      <c r="AC130" s="1" t="e">
        <f>VLOOKUP(A130,'SegEnds_NonXtal_Prot#'!A:AL,10,FALSE)-VLOOKUP(A130,'SegEnds_NonXtal_Prot#'!A:AL,7,FALSE)</f>
        <v>#VALUE!</v>
      </c>
      <c r="AD130" s="1" t="e">
        <f>VLOOKUP(A130,'SegEnds_NonXtal_Prot#'!A:AL,13,FALSE)-VLOOKUP(A130,'SegEnds_NonXtal_Prot#'!A:AL,10,FALSE)</f>
        <v>#VALUE!</v>
      </c>
      <c r="AE130" s="1">
        <f>VLOOKUP(A130,'SegEnds_NonXtal_Prot#'!A:AL,16,FALSE)-VLOOKUP(A130,'SegEnds_NonXtal_Prot#'!A:AL,10,FALSE)</f>
        <v>48</v>
      </c>
      <c r="AF130" s="1">
        <f>VLOOKUP(A130,'SegEnds_NonXtal_Prot#'!A:AL,22,FALSE)-VLOOKUP(A130,'SegEnds_NonXtal_Prot#'!A:AL,19,FALSE)</f>
        <v>20</v>
      </c>
      <c r="AG130" s="1" t="e">
        <f>VLOOKUP(A130,'SegEnds_NonXtal_Prot#'!A:AL,28,FALSE)-VLOOKUP(A130,'SegEnds_NonXtal_Prot#'!A:AL,25,FALSE)</f>
        <v>#VALUE!</v>
      </c>
      <c r="AH130" s="1">
        <f>VLOOKUP(A130,'SegEnds_NonXtal_Prot#'!A:AL,28,FALSE)-VLOOKUP(A130,'SegEnds_NonXtal_Prot#'!A:AL,22,FALSE)</f>
        <v>42</v>
      </c>
      <c r="AI130" s="1">
        <f>VLOOKUP(A130,'SegEnds_NonXtal_Prot#'!A:AL,31,FALSE)-VLOOKUP(A130,'SegEnds_NonXtal_Prot#'!A:AL,28,FALSE)</f>
        <v>42</v>
      </c>
      <c r="AJ130" s="1">
        <f>VLOOKUP(A130,'SegEnds_NonXtal_Prot#'!A:AL,34,FALSE)-VLOOKUP(A130,'SegEnds_NonXtal_Prot#'!A:AL,31,FALSE)</f>
        <v>38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306</v>
      </c>
      <c r="B131" s="1" t="str">
        <f>VLOOKUP(A131,Xtal_Templ!A:B,2,FALSE)</f>
        <v>c5ar1_human</v>
      </c>
      <c r="C131" s="5">
        <f>VLOOKUP($B131&amp;"__wt",'SegEnds_Xtal_BW#'!$A:$Z,3,FALSE)</f>
        <v>29</v>
      </c>
      <c r="D131" s="1">
        <f>VLOOKUP($B131&amp;"__wt",'SegEnds_Xtal_BW#'!$A:$Z,4,FALSE)</f>
        <v>60</v>
      </c>
      <c r="E131" s="1" t="str">
        <f>VLOOKUP($B131&amp;"__wt",'SegEnds_Xtal_BW#'!$A:$Z,5,FALSE)</f>
        <v>-</v>
      </c>
      <c r="F131" s="1" t="str">
        <f>VLOOKUP($B131&amp;"__wt",'SegEnds_Xtal_BW#'!$A:$Z,6,FALSE)</f>
        <v>-</v>
      </c>
      <c r="G131" s="1">
        <v>37</v>
      </c>
      <c r="H131" s="12">
        <f>VLOOKUP($B131&amp;"__wt",'SegEnds_Xtal_BW#'!$A:$Z,8,FALSE)</f>
        <v>67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21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7">
        <f>VLOOKUP($B131&amp;"__wt",'SegEnds_Xtal_BW#'!$A:$Z,15,FALSE)</f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31</v>
      </c>
      <c r="T131" s="1">
        <f t="array" ref="T131">INDEX(ICL3_classA!$G$2:$G$37,MATCH(MIN(ABS(AI131-ICL3_classA!$F$2:$F$37)),ABS(AI131-ICL3_classA!$F$2:$F$37),0))</f>
        <v>68</v>
      </c>
      <c r="U131" s="1">
        <f t="array" ref="U131">INDEX(ICL3_classA!$H$2:$H$37,MATCH(MIN(ABS(AI131-ICL3_classA!$F$2:$F$37)),ABS(AI131-ICL3_classA!$F$2:$F$37),0))</f>
        <v>30</v>
      </c>
      <c r="V131" s="1">
        <v>61</v>
      </c>
      <c r="W131" s="132">
        <f>VLOOKUP($B131&amp;"__wt",'SegEnds_Xtal_BW#'!$A:$Z,23,FALSE)</f>
        <v>25</v>
      </c>
      <c r="X131" s="108">
        <v>56</v>
      </c>
      <c r="Y131" s="1">
        <f>VLOOKUP($B131&amp;"__wt",'SegEnds_Xtal_BW#'!$A:$Z,25,FALSE)</f>
        <v>47</v>
      </c>
      <c r="Z131" s="1">
        <f>VLOOKUP($B131&amp;"__wt",'SegEnds_Xtal_BW#'!$A:$Z,26,FALSE)</f>
        <v>56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27</v>
      </c>
      <c r="AC131" s="1" t="e">
        <f>VLOOKUP(A131,'SegEnds_NonXtal_Prot#'!A:AL,10,FALSE)-VLOOKUP(A131,'SegEnds_NonXtal_Prot#'!A:AL,7,FALSE)</f>
        <v>#VALUE!</v>
      </c>
      <c r="AD131" s="1" t="e">
        <f>VLOOKUP(A131,'SegEnds_NonXtal_Prot#'!A:AL,13,FALSE)-VLOOKUP(A131,'SegEnds_NonXtal_Prot#'!A:AL,10,FALSE)</f>
        <v>#VALUE!</v>
      </c>
      <c r="AE131" s="1">
        <f>VLOOKUP(A131,'SegEnds_NonXtal_Prot#'!A:AL,16,FALSE)-VLOOKUP(A131,'SegEnds_NonXtal_Prot#'!A:AL,10,FALSE)</f>
        <v>52</v>
      </c>
      <c r="AF131" s="1">
        <f>VLOOKUP(A131,'SegEnds_NonXtal_Prot#'!A:AL,22,FALSE)-VLOOKUP(A131,'SegEnds_NonXtal_Prot#'!A:AL,19,FALSE)</f>
        <v>20</v>
      </c>
      <c r="AG131" s="1" t="e">
        <f>VLOOKUP(A131,'SegEnds_NonXtal_Prot#'!A:AL,28,FALSE)-VLOOKUP(A131,'SegEnds_NonXtal_Prot#'!A:AL,25,FALSE)</f>
        <v>#VALUE!</v>
      </c>
      <c r="AH131" s="1">
        <f>VLOOKUP(A131,'SegEnds_NonXtal_Prot#'!A:AL,28,FALSE)-VLOOKUP(A131,'SegEnds_NonXtal_Prot#'!A:AL,22,FALSE)</f>
        <v>42</v>
      </c>
      <c r="AI131" s="1">
        <f>VLOOKUP(A131,'SegEnds_NonXtal_Prot#'!A:AL,31,FALSE)-VLOOKUP(A131,'SegEnds_NonXtal_Prot#'!A:AL,28,FALSE)</f>
        <v>42</v>
      </c>
      <c r="AJ131" s="1">
        <f>VLOOKUP(A131,'SegEnds_NonXtal_Prot#'!A:AL,34,FALSE)-VLOOKUP(A131,'SegEnds_NonXtal_Prot#'!A:AL,31,FALSE)</f>
        <v>38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1" t="s">
        <v>307</v>
      </c>
      <c r="B132" s="1" t="str">
        <f>VLOOKUP(A132,Xtal_Templ!A:B,2,FALSE)</f>
        <v>pd2r2_human</v>
      </c>
      <c r="C132" s="5">
        <f>VLOOKUP($B132&amp;"__wt",'SegEnds_Xtal_BW#'!$A:$Z,3,FALSE)</f>
        <v>32</v>
      </c>
      <c r="D132" s="1">
        <f>VLOOKUP($B132&amp;"__wt",'SegEnds_Xtal_BW#'!$A:$Z,4,FALSE)</f>
        <v>60</v>
      </c>
      <c r="E132" s="1" t="str">
        <f>VLOOKUP($B132&amp;"__wt",'SegEnds_Xtal_BW#'!$A:$Z,5,FALSE)</f>
        <v>-</v>
      </c>
      <c r="F132" s="1" t="str">
        <f>VLOOKUP($B132&amp;"__wt",'SegEnds_Xtal_BW#'!$A:$Z,6,FALSE)</f>
        <v>-</v>
      </c>
      <c r="G132" s="1">
        <v>37</v>
      </c>
      <c r="H132" s="12"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24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7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26</v>
      </c>
      <c r="T132" s="1">
        <f t="array" ref="T132">INDEX(ICL3_classA!$G$2:$G$37,MATCH(MIN(ABS(AI132-ICL3_classA!$F$2:$F$37)),ABS(AI132-ICL3_classA!$F$2:$F$37),0))</f>
        <v>68</v>
      </c>
      <c r="U132" s="1">
        <f t="array" ref="U132">INDEX(ICL3_classA!$H$2:$H$37,MATCH(MIN(ABS(AI132-ICL3_classA!$F$2:$F$37)),ABS(AI132-ICL3_classA!$F$2:$F$37),0))</f>
        <v>30</v>
      </c>
      <c r="V132" s="1">
        <v>61</v>
      </c>
      <c r="W132" s="132">
        <f>VLOOKUP($B132&amp;"__wt",'SegEnds_Xtal_BW#'!$A:$Z,23,FALSE)</f>
        <v>27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64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27</v>
      </c>
      <c r="AC132" s="1" t="e">
        <f>VLOOKUP(A132,'SegEnds_NonXtal_Prot#'!A:AL,10,FALSE)-VLOOKUP(A132,'SegEnds_NonXtal_Prot#'!A:AL,7,FALSE)</f>
        <v>#VALUE!</v>
      </c>
      <c r="AD132" s="1" t="e">
        <f>VLOOKUP(A132,'SegEnds_NonXtal_Prot#'!A:AL,13,FALSE)-VLOOKUP(A132,'SegEnds_NonXtal_Prot#'!A:AL,10,FALSE)</f>
        <v>#VALUE!</v>
      </c>
      <c r="AE132" s="1">
        <f>VLOOKUP(A132,'SegEnds_NonXtal_Prot#'!A:AL,16,FALSE)-VLOOKUP(A132,'SegEnds_NonXtal_Prot#'!A:AL,10,FALSE)</f>
        <v>48</v>
      </c>
      <c r="AF132" s="1">
        <f>VLOOKUP(A132,'SegEnds_NonXtal_Prot#'!A:AL,22,FALSE)-VLOOKUP(A132,'SegEnds_NonXtal_Prot#'!A:AL,19,FALSE)</f>
        <v>20</v>
      </c>
      <c r="AG132" s="1" t="e">
        <f>VLOOKUP(A132,'SegEnds_NonXtal_Prot#'!A:AL,28,FALSE)-VLOOKUP(A132,'SegEnds_NonXtal_Prot#'!A:AL,25,FALSE)</f>
        <v>#VALUE!</v>
      </c>
      <c r="AH132" s="1">
        <f>VLOOKUP(A132,'SegEnds_NonXtal_Prot#'!A:AL,28,FALSE)-VLOOKUP(A132,'SegEnds_NonXtal_Prot#'!A:AL,22,FALSE)</f>
        <v>42</v>
      </c>
      <c r="AI132" s="1">
        <f>VLOOKUP(A132,'SegEnds_NonXtal_Prot#'!A:AL,31,FALSE)-VLOOKUP(A132,'SegEnds_NonXtal_Prot#'!A:AL,28,FALSE)</f>
        <v>42</v>
      </c>
      <c r="AJ132" s="1">
        <f>VLOOKUP(A132,'SegEnds_NonXtal_Prot#'!A:AL,34,FALSE)-VLOOKUP(A132,'SegEnds_NonXtal_Prot#'!A:AL,31,FALSE)</f>
        <v>38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1" t="s">
        <v>308</v>
      </c>
      <c r="B133" s="1" t="str">
        <f>VLOOKUP(A133,Xtal_Templ!A:B,2,FALSE)</f>
        <v>par2_human</v>
      </c>
      <c r="C133" s="5">
        <f>VLOOKUP($B133&amp;"__wt",'SegEnds_Xtal_BW#'!$A:$Z,3,FALSE)</f>
        <v>28</v>
      </c>
      <c r="D133" s="1">
        <f>VLOOKUP($B133&amp;"__wt",'SegEnds_Xtal_BW#'!$A:$Z,4,FALSE)</f>
        <v>60</v>
      </c>
      <c r="E133" s="1" t="str">
        <f>VLOOKUP($B133&amp;"__wt",'SegEnds_Xtal_BW#'!$A:$Z,5,FALSE)</f>
        <v>-</v>
      </c>
      <c r="F133" s="1" t="str">
        <f>VLOOKUP($B133&amp;"__wt",'SegEnds_Xtal_BW#'!$A:$Z,6,FALSE)</f>
        <v>-</v>
      </c>
      <c r="G133" s="1">
        <v>37</v>
      </c>
      <c r="H133" s="12">
        <v>66</v>
      </c>
      <c r="I133" s="1">
        <f>VLOOKUP($B133&amp;"__wt",'SegEnds_Xtal_BW#'!$A:$Z,9,FALSE)</f>
        <v>47</v>
      </c>
      <c r="J133" s="1">
        <f>VLOOKUP($B133&amp;"__wt",'SegEnds_Xtal_BW#'!$A:$Z,10,FALSE)</f>
        <v>52</v>
      </c>
      <c r="K133" s="12">
        <v>24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7">
        <v>38</v>
      </c>
      <c r="P133" s="1">
        <f>VLOOKUP($B133&amp;"__wt",'SegEnds_Xtal_BW#'!$A:$Z,16,FALSE)</f>
        <v>62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31</v>
      </c>
      <c r="T133" s="1">
        <f t="array" ref="T133">INDEX(ICL3_classA!$G$2:$G$37,MATCH(MIN(ABS(AI133-ICL3_classA!$F$2:$F$37)),ABS(AI133-ICL3_classA!$F$2:$F$37),0))</f>
        <v>68</v>
      </c>
      <c r="U133" s="1">
        <f t="array" ref="U133">INDEX(ICL3_classA!$H$2:$H$37,MATCH(MIN(ABS(AI133-ICL3_classA!$F$2:$F$37)),ABS(AI133-ICL3_classA!$F$2:$F$37),0))</f>
        <v>30</v>
      </c>
      <c r="V133" s="1">
        <v>61</v>
      </c>
      <c r="W133" s="132">
        <f>VLOOKUP($B133&amp;"__wt",'SegEnds_Xtal_BW#'!$A:$Z,23,FALSE)</f>
        <v>31</v>
      </c>
      <c r="X133" s="108">
        <v>56</v>
      </c>
      <c r="Y133" s="1">
        <f>VLOOKUP($B133&amp;"__wt",'SegEnds_Xtal_BW#'!$A:$Z,25,FALSE)</f>
        <v>47</v>
      </c>
      <c r="Z133" s="1">
        <f>VLOOKUP($B133&amp;"__wt",'SegEnds_Xtal_BW#'!$A:$Z,26,FALSE)</f>
        <v>61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27</v>
      </c>
      <c r="AC133" s="1" t="e">
        <f>VLOOKUP(A133,'SegEnds_NonXtal_Prot#'!A:AL,10,FALSE)-VLOOKUP(A133,'SegEnds_NonXtal_Prot#'!A:AL,7,FALSE)</f>
        <v>#VALUE!</v>
      </c>
      <c r="AD133" s="1" t="e">
        <f>VLOOKUP(A133,'SegEnds_NonXtal_Prot#'!A:AL,13,FALSE)-VLOOKUP(A133,'SegEnds_NonXtal_Prot#'!A:AL,10,FALSE)</f>
        <v>#VALUE!</v>
      </c>
      <c r="AE133" s="1">
        <f>VLOOKUP(A133,'SegEnds_NonXtal_Prot#'!A:AL,16,FALSE)-VLOOKUP(A133,'SegEnds_NonXtal_Prot#'!A:AL,10,FALSE)</f>
        <v>48</v>
      </c>
      <c r="AF133" s="1">
        <f>VLOOKUP(A133,'SegEnds_NonXtal_Prot#'!A:AL,22,FALSE)-VLOOKUP(A133,'SegEnds_NonXtal_Prot#'!A:AL,19,FALSE)</f>
        <v>20</v>
      </c>
      <c r="AG133" s="1" t="e">
        <f>VLOOKUP(A133,'SegEnds_NonXtal_Prot#'!A:AL,28,FALSE)-VLOOKUP(A133,'SegEnds_NonXtal_Prot#'!A:AL,25,FALSE)</f>
        <v>#VALUE!</v>
      </c>
      <c r="AH133" s="1">
        <f>VLOOKUP(A133,'SegEnds_NonXtal_Prot#'!A:AL,28,FALSE)-VLOOKUP(A133,'SegEnds_NonXtal_Prot#'!A:AL,22,FALSE)</f>
        <v>42</v>
      </c>
      <c r="AI133" s="1">
        <f>VLOOKUP(A133,'SegEnds_NonXtal_Prot#'!A:AL,31,FALSE)-VLOOKUP(A133,'SegEnds_NonXtal_Prot#'!A:AL,28,FALSE)</f>
        <v>42</v>
      </c>
      <c r="AJ133" s="1">
        <f>VLOOKUP(A133,'SegEnds_NonXtal_Prot#'!A:AL,34,FALSE)-VLOOKUP(A133,'SegEnds_NonXtal_Prot#'!A:AL,31,FALSE)</f>
        <v>38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NoXtal</v>
      </c>
    </row>
    <row r="134" spans="1:38" x14ac:dyDescent="0.2">
      <c r="A134" s="1" t="s">
        <v>320</v>
      </c>
      <c r="B134" s="1" t="str">
        <f>VLOOKUP(A134,Xtal_Templ!A:B,2,FALSE)</f>
        <v>oprd_human</v>
      </c>
      <c r="C134" s="5">
        <f>VLOOKUP($B134&amp;"__wt",'SegEnds_Xtal_BW#'!$A:$Z,3,FALSE)</f>
        <v>22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f>VLOOKUP($B134&amp;"__wt",'SegEnds_Xtal_BW#'!$A:$Z,14,FALSE)</f>
        <v>57</v>
      </c>
      <c r="O134" s="87"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INDEX(ICL3_classA!$G$2:$G$37,MATCH(MIN(ABS(AI134-ICL3_classA!$F$2:$F$37)),ABS(AI134-ICL3_classA!$F$2:$F$37),0))</f>
        <v>68</v>
      </c>
      <c r="U134" s="1">
        <f t="array" ref="U134">INDEX(ICL3_classA!$H$2:$H$37,MATCH(MIN(ABS(AI134-ICL3_classA!$F$2:$F$37)),ABS(AI134-ICL3_classA!$F$2:$F$37),0))</f>
        <v>23</v>
      </c>
      <c r="V134" s="1">
        <v>61</v>
      </c>
      <c r="W134" s="132">
        <f>VLOOKUP($B134&amp;"__wt",'SegEnds_Xtal_BW#'!$A:$Z,23,FALSE)</f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60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28</v>
      </c>
      <c r="AC134" s="1">
        <f>VLOOKUP(A134,'SegEnds_NonXtal_Prot#'!A:AL,10,FALSE)-VLOOKUP(A134,'SegEnds_NonXtal_Prot#'!A:AL,7,FALSE)</f>
        <v>15</v>
      </c>
      <c r="AD134" s="1">
        <f>VLOOKUP(A134,'SegEnds_NonXtal_Prot#'!A:AL,13,FALSE)-VLOOKUP(A134,'SegEnds_NonXtal_Prot#'!A:AL,10,FALSE)</f>
        <v>19</v>
      </c>
      <c r="AE134" s="1">
        <f>VLOOKUP(A134,'SegEnds_NonXtal_Prot#'!A:AL,16,FALSE)-VLOOKUP(A134,'SegEnds_NonXtal_Prot#'!A:AL,10,FALSE)</f>
        <v>51</v>
      </c>
      <c r="AF134" s="1" t="e">
        <f>VLOOKUP(A134,'SegEnds_NonXtal_Prot#'!A:AL,22,FALSE)-VLOOKUP(A134,'SegEnds_NonXtal_Prot#'!A:AL,19,FALSE)</f>
        <v>#VALUE!</v>
      </c>
      <c r="AG134" s="1">
        <f>VLOOKUP(A134,'SegEnds_NonXtal_Prot#'!A:AL,28,FALSE)-VLOOKUP(A134,'SegEnds_NonXtal_Prot#'!A:AL,25,FALSE)</f>
        <v>27</v>
      </c>
      <c r="AH134" s="1">
        <f>VLOOKUP(A134,'SegEnds_NonXtal_Prot#'!A:AL,28,FALSE)-VLOOKUP(A134,'SegEnds_NonXtal_Prot#'!A:AL,22,FALSE)</f>
        <v>52</v>
      </c>
      <c r="AI134" s="1">
        <f>VLOOKUP(A134,'SegEnds_NonXtal_Prot#'!A:AL,31,FALSE)-VLOOKUP(A134,'SegEnds_NonXtal_Prot#'!A:AL,28,FALSE)</f>
        <v>51</v>
      </c>
      <c r="AJ134" s="1">
        <f>VLOOKUP(A134,'SegEnds_NonXtal_Prot#'!A:AL,34,FALSE)-VLOOKUP(A134,'SegEnds_NonXtal_Prot#'!A:AL,31,FALSE)</f>
        <v>38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NoXtal</v>
      </c>
    </row>
    <row r="135" spans="1:38" x14ac:dyDescent="0.2">
      <c r="A135" s="1" t="s">
        <v>321</v>
      </c>
      <c r="B135" s="1" t="str">
        <f>VLOOKUP(A135,Xtal_Templ!A:B,2,FALSE)</f>
        <v>oprd_human</v>
      </c>
      <c r="C135" s="5">
        <f>VLOOKUP($B135&amp;"__wt",'SegEnds_Xtal_BW#'!$A:$Z,3,FALSE)</f>
        <v>22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v>66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21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7"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31</v>
      </c>
      <c r="T135" s="1">
        <f t="array" ref="T135">INDEX(ICL3_classA!$G$2:$G$37,MATCH(MIN(ABS(AI135-ICL3_classA!$F$2:$F$37)),ABS(AI135-ICL3_classA!$F$2:$F$37),0))</f>
        <v>68</v>
      </c>
      <c r="U135" s="1">
        <f t="array" ref="U135">INDEX(ICL3_classA!$H$2:$H$37,MATCH(MIN(ABS(AI135-ICL3_classA!$F$2:$F$37)),ABS(AI135-ICL3_classA!$F$2:$F$37),0))</f>
        <v>23</v>
      </c>
      <c r="V135" s="1">
        <v>61</v>
      </c>
      <c r="W135" s="132">
        <f>VLOOKUP($B135&amp;"__wt",'SegEnds_Xtal_BW#'!$A:$Z,23,FALSE)</f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60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28</v>
      </c>
      <c r="AC135" s="1">
        <f>VLOOKUP(A135,'SegEnds_NonXtal_Prot#'!A:AL,10,FALSE)-VLOOKUP(A135,'SegEnds_NonXtal_Prot#'!A:AL,7,FALSE)</f>
        <v>15</v>
      </c>
      <c r="AD135" s="1">
        <f>VLOOKUP(A135,'SegEnds_NonXtal_Prot#'!A:AL,13,FALSE)-VLOOKUP(A135,'SegEnds_NonXtal_Prot#'!A:AL,10,FALSE)</f>
        <v>19</v>
      </c>
      <c r="AE135" s="1">
        <f>VLOOKUP(A135,'SegEnds_NonXtal_Prot#'!A:AL,16,FALSE)-VLOOKUP(A135,'SegEnds_NonXtal_Prot#'!A:AL,10,FALSE)</f>
        <v>51</v>
      </c>
      <c r="AF135" s="1" t="e">
        <f>VLOOKUP(A135,'SegEnds_NonXtal_Prot#'!A:AL,22,FALSE)-VLOOKUP(A135,'SegEnds_NonXtal_Prot#'!A:AL,19,FALSE)</f>
        <v>#VALUE!</v>
      </c>
      <c r="AG135" s="1">
        <f>VLOOKUP(A135,'SegEnds_NonXtal_Prot#'!A:AL,28,FALSE)-VLOOKUP(A135,'SegEnds_NonXtal_Prot#'!A:AL,25,FALSE)</f>
        <v>27</v>
      </c>
      <c r="AH135" s="1">
        <f>VLOOKUP(A135,'SegEnds_NonXtal_Prot#'!A:AL,28,FALSE)-VLOOKUP(A135,'SegEnds_NonXtal_Prot#'!A:AL,22,FALSE)</f>
        <v>53</v>
      </c>
      <c r="AI135" s="1">
        <f>VLOOKUP(A135,'SegEnds_NonXtal_Prot#'!A:AL,31,FALSE)-VLOOKUP(A135,'SegEnds_NonXtal_Prot#'!A:AL,28,FALSE)</f>
        <v>51</v>
      </c>
      <c r="AJ135" s="1">
        <f>VLOOKUP(A135,'SegEnds_NonXtal_Prot#'!A:AL,34,FALSE)-VLOOKUP(A135,'SegEnds_NonXtal_Prot#'!A:AL,31,FALSE)</f>
        <v>38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NoXtal</v>
      </c>
    </row>
    <row r="136" spans="1:38" x14ac:dyDescent="0.2">
      <c r="A136" s="1" t="s">
        <v>324</v>
      </c>
      <c r="B136" s="1" t="str">
        <f>VLOOKUP(A136,Xtal_Templ!A:B,2,FALSE)</f>
        <v>5ht2c_human</v>
      </c>
      <c r="C136" s="5">
        <f>VLOOKUP($B136&amp;"__wt",'SegEnds_Xtal_BW#'!$A:$Z,3,FALSE)</f>
        <v>33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68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53</v>
      </c>
      <c r="O136" s="87">
        <v>38</v>
      </c>
      <c r="P136" s="1">
        <f>VLOOKUP($B136&amp;"__wt",'SegEnds_Xtal_BW#'!$A:$Z,16,FALSE)</f>
        <v>67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35</v>
      </c>
      <c r="T136" s="1">
        <f t="array" ref="T136">INDEX(ICL3_classA!$G$2:$G$37,MATCH(MIN(ABS(AI136-ICL3_classA!$F$2:$F$37)),ABS(AI136-ICL3_classA!$F$2:$F$37),0))</f>
        <v>76</v>
      </c>
      <c r="U136" s="1">
        <f t="array" ref="U136">INDEX(ICL3_classA!$H$2:$H$37,MATCH(MIN(ABS(AI136-ICL3_classA!$F$2:$F$37)),ABS(AI136-ICL3_classA!$F$2:$F$37),0))</f>
        <v>24</v>
      </c>
      <c r="V136" s="1">
        <v>61</v>
      </c>
      <c r="W136" s="132">
        <f>VLOOKUP($B136&amp;"__wt",'SegEnds_Xtal_BW#'!$A:$Z,23,FALSE)</f>
        <v>27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60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27</v>
      </c>
      <c r="AC136" s="1" t="e">
        <f>VLOOKUP(A136,'SegEnds_NonXtal_Prot#'!A:AL,10,FALSE)-VLOOKUP(A136,'SegEnds_NonXtal_Prot#'!A:AL,7,FALSE)</f>
        <v>#VALUE!</v>
      </c>
      <c r="AD136" s="1">
        <f>VLOOKUP(A136,'SegEnds_NonXtal_Prot#'!A:AL,13,FALSE)-VLOOKUP(A136,'SegEnds_NonXtal_Prot#'!A:AL,10,FALSE)</f>
        <v>20</v>
      </c>
      <c r="AE136" s="1">
        <f>VLOOKUP(A136,'SegEnds_NonXtal_Prot#'!A:AL,16,FALSE)-VLOOKUP(A136,'SegEnds_NonXtal_Prot#'!A:AL,10,FALSE)</f>
        <v>52</v>
      </c>
      <c r="AF136" s="1">
        <f>VLOOKUP(A136,'SegEnds_NonXtal_Prot#'!A:AL,22,FALSE)-VLOOKUP(A136,'SegEnds_NonXtal_Prot#'!A:AL,19,FALSE)</f>
        <v>18</v>
      </c>
      <c r="AG136" s="1">
        <f>VLOOKUP(A136,'SegEnds_NonXtal_Prot#'!A:AL,28,FALSE)-VLOOKUP(A136,'SegEnds_NonXtal_Prot#'!A:AL,25,FALSE)</f>
        <v>25</v>
      </c>
      <c r="AH136" s="1">
        <f>VLOOKUP(A136,'SegEnds_NonXtal_Prot#'!A:AL,28,FALSE)-VLOOKUP(A136,'SegEnds_NonXtal_Prot#'!A:AL,22,FALSE)</f>
        <v>51</v>
      </c>
      <c r="AI136" s="1">
        <f>VLOOKUP(A136,'SegEnds_NonXtal_Prot#'!A:AL,31,FALSE)-VLOOKUP(A136,'SegEnds_NonXtal_Prot#'!A:AL,28,FALSE)</f>
        <v>67</v>
      </c>
      <c r="AJ136" s="1">
        <f>VLOOKUP(A136,'SegEnds_NonXtal_Prot#'!A:AL,34,FALSE)-VLOOKUP(A136,'SegEnds_NonXtal_Prot#'!A:AL,31,FALSE)</f>
        <v>38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336</v>
      </c>
      <c r="B137" s="1" t="str">
        <f>VLOOKUP(A137,Xtal_Templ!A:B,2,FALSE)</f>
        <v>oprk_human</v>
      </c>
      <c r="C137" s="5">
        <f>VLOOKUP($B137&amp;"__wt",'SegEnds_Xtal_BW#'!$A:$Z,3,FALSE)</f>
        <v>30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f>VLOOKUP($B137&amp;"__wt",'SegEnds_Xtal_BW#'!$A:$Z,11,FALSE)</f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f>VLOOKUP($B137&amp;"__wt",'SegEnds_Xtal_BW#'!$A:$Z,14,FALSE)</f>
        <v>57</v>
      </c>
      <c r="O137" s="87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30</v>
      </c>
      <c r="T137" s="1">
        <f t="array" ref="T137">INDEX(ICL3_classA!$G$2:$G$37,MATCH(MIN(ABS(AI137-ICL3_classA!$F$2:$F$37)),ABS(AI137-ICL3_classA!$F$2:$F$37),0))</f>
        <v>68</v>
      </c>
      <c r="U137" s="1">
        <f t="array" ref="U137">INDEX(ICL3_classA!$H$2:$H$37,MATCH(MIN(ABS(AI137-ICL3_classA!$F$2:$F$37)),ABS(AI137-ICL3_classA!$F$2:$F$37),0))</f>
        <v>23</v>
      </c>
      <c r="V137" s="1">
        <v>61</v>
      </c>
      <c r="W137" s="132">
        <f>VLOOKUP($B137&amp;"__wt",'SegEnds_Xtal_BW#'!$A:$Z,23,FALSE)</f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59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">
        <f>VLOOKUP(A137,'SegEnds_NonXtal_Prot#'!A:AL,10,FALSE)-VLOOKUP(A137,'SegEnds_NonXtal_Prot#'!A:AL,7,FALSE)</f>
        <v>15</v>
      </c>
      <c r="AD137" s="1">
        <f>VLOOKUP(A137,'SegEnds_NonXtal_Prot#'!A:AL,13,FALSE)-VLOOKUP(A137,'SegEnds_NonXtal_Prot#'!A:AL,10,FALSE)</f>
        <v>19</v>
      </c>
      <c r="AE137" s="1">
        <f>VLOOKUP(A137,'SegEnds_NonXtal_Prot#'!A:AL,16,FALSE)-VLOOKUP(A137,'SegEnds_NonXtal_Prot#'!A:AL,10,FALSE)</f>
        <v>51</v>
      </c>
      <c r="AF137" s="1">
        <f>VLOOKUP(A137,'SegEnds_NonXtal_Prot#'!A:AL,22,FALSE)-VLOOKUP(A137,'SegEnds_NonXtal_Prot#'!A:AL,19,FALSE)</f>
        <v>20</v>
      </c>
      <c r="AG137" s="1">
        <f>VLOOKUP(A137,'SegEnds_NonXtal_Prot#'!A:AL,28,FALSE)-VLOOKUP(A137,'SegEnds_NonXtal_Prot#'!A:AL,25,FALSE)</f>
        <v>28</v>
      </c>
      <c r="AH137" s="1">
        <f>VLOOKUP(A137,'SegEnds_NonXtal_Prot#'!A:AL,28,FALSE)-VLOOKUP(A137,'SegEnds_NonXtal_Prot#'!A:AL,22,FALSE)</f>
        <v>55</v>
      </c>
      <c r="AI137" s="1">
        <f>VLOOKUP(A137,'SegEnds_NonXtal_Prot#'!A:AL,31,FALSE)-VLOOKUP(A137,'SegEnds_NonXtal_Prot#'!A:AL,28,FALSE)</f>
        <v>51</v>
      </c>
      <c r="AJ137" s="1">
        <f>VLOOKUP(A137,'SegEnds_NonXtal_Prot#'!A:AL,34,FALSE)-VLOOKUP(A137,'SegEnds_NonXtal_Prot#'!A:AL,31,FALSE)</f>
        <v>38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Xtal</v>
      </c>
    </row>
    <row r="138" spans="1:38" x14ac:dyDescent="0.2">
      <c r="A138" s="1" t="s">
        <v>337</v>
      </c>
      <c r="B138" s="1" t="str">
        <f>VLOOKUP(A138,Xtal_Templ!A:B,2,FALSE)</f>
        <v>oprm_mouse</v>
      </c>
      <c r="C138" s="5">
        <f>VLOOKUP($B138&amp;"__wt",'SegEnds_Xtal_BW#'!$A:$Z,3,FALSE)</f>
        <v>29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7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31</v>
      </c>
      <c r="T138" s="1">
        <f t="array" ref="T138">INDEX(ICL3_classA!$G$2:$G$37,MATCH(MIN(ABS(AI138-ICL3_classA!$F$2:$F$37)),ABS(AI138-ICL3_classA!$F$2:$F$37),0))</f>
        <v>68</v>
      </c>
      <c r="U138" s="1">
        <f t="array" ref="U138">INDEX(ICL3_classA!$H$2:$H$37,MATCH(MIN(ABS(AI138-ICL3_classA!$F$2:$F$37)),ABS(AI138-ICL3_classA!$F$2:$F$37),0))</f>
        <v>23</v>
      </c>
      <c r="V138" s="1">
        <v>61</v>
      </c>
      <c r="W138" s="132">
        <f>VLOOKUP($B138&amp;"__wt",'SegEnds_Xtal_BW#'!$A:$Z,23,FALSE)</f>
        <v>28</v>
      </c>
      <c r="X138" s="125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19</v>
      </c>
      <c r="AE138" s="1">
        <f>VLOOKUP(A138,'SegEnds_NonXtal_Prot#'!A:AL,16,FALSE)-VLOOKUP(A138,'SegEnds_NonXtal_Prot#'!A:AL,10,FALSE)</f>
        <v>51</v>
      </c>
      <c r="AF138" s="1">
        <f>VLOOKUP(A138,'SegEnds_NonXtal_Prot#'!A:AL,22,FALSE)-VLOOKUP(A138,'SegEnds_NonXtal_Prot#'!A:AL,19,FALSE)</f>
        <v>20</v>
      </c>
      <c r="AG138" s="1">
        <f>VLOOKUP(A138,'SegEnds_NonXtal_Prot#'!A:AL,28,FALSE)-VLOOKUP(A138,'SegEnds_NonXtal_Prot#'!A:AL,25,FALSE)</f>
        <v>27</v>
      </c>
      <c r="AH138" s="1">
        <f>VLOOKUP(A138,'SegEnds_NonXtal_Prot#'!A:AL,28,FALSE)-VLOOKUP(A138,'SegEnds_NonXtal_Prot#'!A:AL,22,FALSE)</f>
        <v>52</v>
      </c>
      <c r="AI138" s="1">
        <f>VLOOKUP(A138,'SegEnds_NonXtal_Prot#'!A:AL,31,FALSE)-VLOOKUP(A138,'SegEnds_NonXtal_Prot#'!A:AL,28,FALSE)</f>
        <v>51</v>
      </c>
      <c r="AJ138" s="1">
        <f>VLOOKUP(A138,'SegEnds_NonXtal_Prot#'!A:AL,34,FALSE)-VLOOKUP(A138,'SegEnds_NonXtal_Prot#'!A:AL,31,FALSE)</f>
        <v>38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NoXtal</v>
      </c>
    </row>
    <row r="139" spans="1:38" x14ac:dyDescent="0.2">
      <c r="A139" s="1" t="s">
        <v>918</v>
      </c>
      <c r="B139" s="1" t="str">
        <f>VLOOKUP(A139,Xtal_Templ!A:B,2,FALSE)</f>
        <v>oprm_mouse</v>
      </c>
      <c r="C139" s="5">
        <f>VLOOKUP($B139&amp;"__wt",'SegEnds_Xtal_BW#'!$A:$Z,3,FALSE)</f>
        <v>29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f>VLOOKUP($B139&amp;"__wt",'SegEnds_Xtal_BW#'!$A:$Z,11,FALSE)</f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f>VLOOKUP($B139&amp;"__wt",'SegEnds_Xtal_BW#'!$A:$Z,14,FALSE)</f>
        <v>57</v>
      </c>
      <c r="O139" s="87">
        <f>VLOOKUP($B139&amp;"__wt",'SegEnds_Xtal_BW#'!$A:$Z,15,FALSE)</f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31</v>
      </c>
      <c r="T139" s="1">
        <f t="array" ref="T139">INDEX(ICL3_classA!$G$2:$G$37,MATCH(MIN(ABS(AI139-ICL3_classA!$F$2:$F$37)),ABS(AI139-ICL3_classA!$F$2:$F$37),0))</f>
        <v>68</v>
      </c>
      <c r="U139" s="1">
        <f t="array" ref="U139">INDEX(ICL3_classA!$H$2:$H$37,MATCH(MIN(ABS(AI139-ICL3_classA!$F$2:$F$37)),ABS(AI139-ICL3_classA!$F$2:$F$37),0))</f>
        <v>23</v>
      </c>
      <c r="V139" s="1">
        <v>61</v>
      </c>
      <c r="W139" s="132">
        <f>VLOOKUP($B139&amp;"__wt",'SegEnds_Xtal_BW#'!$A:$Z,23,FALSE)</f>
        <v>28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28</v>
      </c>
      <c r="AC139" s="1">
        <f>VLOOKUP(A139,'SegEnds_NonXtal_Prot#'!A:AL,10,FALSE)-VLOOKUP(A139,'SegEnds_NonXtal_Prot#'!A:AL,7,FALSE)</f>
        <v>15</v>
      </c>
      <c r="AD139" s="1">
        <f>VLOOKUP(A139,'SegEnds_NonXtal_Prot#'!A:AL,13,FALSE)-VLOOKUP(A139,'SegEnds_NonXtal_Prot#'!A:AL,10,FALSE)</f>
        <v>19</v>
      </c>
      <c r="AE139" s="1">
        <f>VLOOKUP(A139,'SegEnds_NonXtal_Prot#'!A:AL,16,FALSE)-VLOOKUP(A139,'SegEnds_NonXtal_Prot#'!A:AL,10,FALSE)</f>
        <v>51</v>
      </c>
      <c r="AF139" s="1">
        <f>VLOOKUP(A139,'SegEnds_NonXtal_Prot#'!A:AL,22,FALSE)-VLOOKUP(A139,'SegEnds_NonXtal_Prot#'!A:AL,19,FALSE)</f>
        <v>20</v>
      </c>
      <c r="AG139" s="1">
        <f>VLOOKUP(A139,'SegEnds_NonXtal_Prot#'!A:AL,28,FALSE)-VLOOKUP(A139,'SegEnds_NonXtal_Prot#'!A:AL,25,FALSE)</f>
        <v>27</v>
      </c>
      <c r="AH139" s="1">
        <f>VLOOKUP(A139,'SegEnds_NonXtal_Prot#'!A:AL,28,FALSE)-VLOOKUP(A139,'SegEnds_NonXtal_Prot#'!A:AL,22,FALSE)</f>
        <v>52</v>
      </c>
      <c r="AI139" s="1">
        <f>VLOOKUP(A139,'SegEnds_NonXtal_Prot#'!A:AL,31,FALSE)-VLOOKUP(A139,'SegEnds_NonXtal_Prot#'!A:AL,28,FALSE)</f>
        <v>51</v>
      </c>
      <c r="AJ139" s="1">
        <f>VLOOKUP(A139,'SegEnds_NonXtal_Prot#'!A:AL,34,FALSE)-VLOOKUP(A139,'SegEnds_NonXtal_Prot#'!A:AL,31,FALSE)</f>
        <v>38</v>
      </c>
      <c r="AK139" s="1">
        <f>VLOOKUP(A139,'SegEnds_NonXtal_Prot#'!A:AL,37,FALSE)-VLOOKUP(A139,'SegEnds_NonXtal_Prot#'!A:AL,34,FALSE)</f>
        <v>10</v>
      </c>
      <c r="AL139" s="1" t="str">
        <f>IF(ISERROR(MATCH(A139,'SegEnds_Xtal_Prot#'!B:B, 0)), "NoXtal", "Xtal")</f>
        <v>Xtal</v>
      </c>
    </row>
    <row r="140" spans="1:38" x14ac:dyDescent="0.2">
      <c r="A140" s="1" t="s">
        <v>1174</v>
      </c>
      <c r="B140" s="1" t="str">
        <f>VLOOKUP(A140,Xtal_Templ!A:B,2,FALSE)</f>
        <v>oprx_human</v>
      </c>
      <c r="C140" s="5">
        <f>VLOOKUP($B140&amp;"__wt",'SegEnds_Xtal_BW#'!$A:$Z,3,FALSE)</f>
        <v>29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f>VLOOKUP($B140&amp;"__wt",'SegEnds_Xtal_BW#'!$A:$Z,11,FALSE)</f>
        <v>21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f>VLOOKUP($B140&amp;"__wt",'SegEnds_Xtal_BW#'!$A:$Z,14,FALSE)</f>
        <v>57</v>
      </c>
      <c r="O140" s="87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31</v>
      </c>
      <c r="T140" s="1">
        <f t="array" ref="T140">INDEX(ICL3_classA!$G$2:$G$37,MATCH(MIN(ABS(AI140-ICL3_classA!$F$2:$F$37)),ABS(AI140-ICL3_classA!$F$2:$F$37),0))</f>
        <v>68</v>
      </c>
      <c r="U140" s="1">
        <f t="array" ref="U140">INDEX(ICL3_classA!$H$2:$H$37,MATCH(MIN(ABS(AI140-ICL3_classA!$F$2:$F$37)),ABS(AI140-ICL3_classA!$F$2:$F$37),0))</f>
        <v>23</v>
      </c>
      <c r="V140" s="1">
        <v>61</v>
      </c>
      <c r="W140" s="132">
        <f>VLOOKUP($B140&amp;"__wt",'SegEnds_Xtal_BW#'!$A:$Z,23,FALSE)</f>
        <v>28</v>
      </c>
      <c r="X140" s="125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28</v>
      </c>
      <c r="AC140" s="1">
        <f>VLOOKUP(A140,'SegEnds_NonXtal_Prot#'!A:AL,10,FALSE)-VLOOKUP(A140,'SegEnds_NonXtal_Prot#'!A:AL,7,FALSE)</f>
        <v>15</v>
      </c>
      <c r="AD140" s="1">
        <f>VLOOKUP(A140,'SegEnds_NonXtal_Prot#'!A:AL,13,FALSE)-VLOOKUP(A140,'SegEnds_NonXtal_Prot#'!A:AL,10,FALSE)</f>
        <v>19</v>
      </c>
      <c r="AE140" s="1">
        <f>VLOOKUP(A140,'SegEnds_NonXtal_Prot#'!A:AL,16,FALSE)-VLOOKUP(A140,'SegEnds_NonXtal_Prot#'!A:AL,10,FALSE)</f>
        <v>51</v>
      </c>
      <c r="AF140" s="1">
        <f>VLOOKUP(A140,'SegEnds_NonXtal_Prot#'!A:AL,22,FALSE)-VLOOKUP(A140,'SegEnds_NonXtal_Prot#'!A:AL,19,FALSE)</f>
        <v>20</v>
      </c>
      <c r="AG140" s="1">
        <f>VLOOKUP(A140,'SegEnds_NonXtal_Prot#'!A:AL,28,FALSE)-VLOOKUP(A140,'SegEnds_NonXtal_Prot#'!A:AL,25,FALSE)</f>
        <v>27</v>
      </c>
      <c r="AH140" s="1">
        <f>VLOOKUP(A140,'SegEnds_NonXtal_Prot#'!A:AL,28,FALSE)-VLOOKUP(A140,'SegEnds_NonXtal_Prot#'!A:AL,22,FALSE)</f>
        <v>52</v>
      </c>
      <c r="AI140" s="1">
        <f>VLOOKUP(A140,'SegEnds_NonXtal_Prot#'!A:AL,31,FALSE)-VLOOKUP(A140,'SegEnds_NonXtal_Prot#'!A:AL,28,FALSE)</f>
        <v>51</v>
      </c>
      <c r="AJ140" s="1">
        <f>VLOOKUP(A140,'SegEnds_NonXtal_Prot#'!A:AL,34,FALSE)-VLOOKUP(A140,'SegEnds_NonXtal_Prot#'!A:AL,31,FALSE)</f>
        <v>38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Xtal</v>
      </c>
    </row>
    <row r="141" spans="1:38" x14ac:dyDescent="0.2">
      <c r="A141" s="1" t="s">
        <v>349</v>
      </c>
      <c r="B141" s="1" t="str">
        <f>VLOOKUP(A141,Xtal_Templ!A:B,2,FALSE)</f>
        <v>par2_human</v>
      </c>
      <c r="C141" s="5">
        <f>VLOOKUP($B141&amp;"__wt",'SegEnds_Xtal_BW#'!$A:$Z,3,FALSE)</f>
        <v>28</v>
      </c>
      <c r="D141" s="1">
        <f>VLOOKUP($B141&amp;"__wt",'SegEnds_Xtal_BW#'!$A:$Z,4,FALSE)</f>
        <v>60</v>
      </c>
      <c r="E141" s="1" t="str">
        <f>VLOOKUP($B141&amp;"__wt",'SegEnds_Xtal_BW#'!$A:$Z,5,FALSE)</f>
        <v>-</v>
      </c>
      <c r="F141" s="1" t="str">
        <f>VLOOKUP($B141&amp;"__wt",'SegEnds_Xtal_BW#'!$A:$Z,6,FALSE)</f>
        <v>-</v>
      </c>
      <c r="G141" s="1">
        <v>37</v>
      </c>
      <c r="H141" s="12">
        <f>VLOOKUP($B141&amp;"__wt",'SegEnds_Xtal_BW#'!$A:$Z,8,FALSE)</f>
        <v>66</v>
      </c>
      <c r="I141" s="1">
        <f>VLOOKUP($B141&amp;"__wt",'SegEnds_Xtal_BW#'!$A:$Z,9,FALSE)</f>
        <v>47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f>VLOOKUP($B141&amp;"__wt",'SegEnds_Xtal_BW#'!$A:$Z,15,FALSE)</f>
        <v>38</v>
      </c>
      <c r="P141" s="1">
        <f>VLOOKUP($B141&amp;"__wt",'SegEnds_Xtal_BW#'!$A:$Z,16,FALSE)</f>
        <v>62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31</v>
      </c>
      <c r="T141" s="1">
        <f t="array" ref="T141">INDEX(ICL3_classA!$G$2:$G$37,MATCH(MIN(ABS(AI141-ICL3_classA!$F$2:$F$37)),ABS(AI141-ICL3_classA!$F$2:$F$37),0))</f>
        <v>67</v>
      </c>
      <c r="U141" s="1">
        <f t="array" ref="U141">INDEX(ICL3_classA!$H$2:$H$37,MATCH(MIN(ABS(AI141-ICL3_classA!$F$2:$F$37)),ABS(AI141-ICL3_classA!$F$2:$F$37),0))</f>
        <v>26</v>
      </c>
      <c r="V141" s="1">
        <v>61</v>
      </c>
      <c r="W141" s="132">
        <f>VLOOKUP($B141&amp;"__wt",'SegEnds_Xtal_BW#'!$A:$Z,23,FALSE)</f>
        <v>31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61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 t="e">
        <f>VLOOKUP(A141,'SegEnds_NonXtal_Prot#'!A:AL,10,FALSE)-VLOOKUP(A141,'SegEnds_NonXtal_Prot#'!A:AL,7,FALSE)</f>
        <v>#VALUE!</v>
      </c>
      <c r="AD141" s="1">
        <f>VLOOKUP(A141,'SegEnds_NonXtal_Prot#'!A:AL,13,FALSE)-VLOOKUP(A141,'SegEnds_NonXtal_Prot#'!A:AL,10,FALSE)</f>
        <v>20</v>
      </c>
      <c r="AE141" s="1">
        <f>VLOOKUP(A141,'SegEnds_NonXtal_Prot#'!A:AL,16,FALSE)-VLOOKUP(A141,'SegEnds_NonXtal_Prot#'!A:AL,10,FALSE)</f>
        <v>52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30</v>
      </c>
      <c r="AH141" s="1">
        <f>VLOOKUP(A141,'SegEnds_NonXtal_Prot#'!A:AL,28,FALSE)-VLOOKUP(A141,'SegEnds_NonXtal_Prot#'!A:AL,22,FALSE)</f>
        <v>57</v>
      </c>
      <c r="AI141" s="1">
        <f>VLOOKUP(A141,'SegEnds_NonXtal_Prot#'!A:AL,31,FALSE)-VLOOKUP(A141,'SegEnds_NonXtal_Prot#'!A:AL,28,FALSE)</f>
        <v>47</v>
      </c>
      <c r="AJ141" s="1">
        <f>VLOOKUP(A141,'SegEnds_NonXtal_Prot#'!A:AL,34,FALSE)-VLOOKUP(A141,'SegEnds_NonXtal_Prot#'!A:AL,31,FALSE)</f>
        <v>38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379</v>
      </c>
      <c r="B142" s="1" t="str">
        <f>VLOOKUP(A142,Xtal_Templ!A:B,2,FALSE)</f>
        <v>s1pr1_human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63</v>
      </c>
      <c r="I142" s="1">
        <f>VLOOKUP($B142&amp;"__wt",'SegEnds_Xtal_BW#'!$A:$Z,9,FALSE)</f>
        <v>47</v>
      </c>
      <c r="J142" s="1">
        <f>VLOOKUP($B142&amp;"__wt",'SegEnds_Xtal_BW#'!$A:$Z,10,FALSE)</f>
        <v>53</v>
      </c>
      <c r="K142" s="12">
        <v>21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7">
        <v>38</v>
      </c>
      <c r="P142" s="1">
        <f>VLOOKUP($B142&amp;"__wt",'SegEnds_Xtal_BW#'!$A:$Z,16,FALSE)</f>
        <v>63</v>
      </c>
      <c r="Q142" s="1" t="str">
        <f>VLOOKUP($B142&amp;"__wt",'SegEnds_Xtal_BW#'!$A:$Z,17,FALSE)</f>
        <v>-</v>
      </c>
      <c r="R142" s="1" t="str">
        <f>VLOOKUP($B142&amp;"__wt",'SegEnds_Xtal_BW#'!$A:$Z,18,FALSE)</f>
        <v>-</v>
      </c>
      <c r="S142" s="1">
        <f>VLOOKUP($B142&amp;"__wt",'SegEnds_Xtal_BW#'!$A:$Z,19,FALSE)</f>
        <v>36</v>
      </c>
      <c r="T142" s="1">
        <f t="array" ref="T142">INDEX(ICL3_classA!$G$2:$G$37,MATCH(MIN(ABS(AI142-ICL3_classA!$F$2:$F$37)),ABS(AI142-ICL3_classA!$F$2:$F$37),0))</f>
        <v>68</v>
      </c>
      <c r="U142" s="1">
        <f t="array" ref="U142">INDEX(ICL3_classA!$H$2:$H$37,MATCH(MIN(ABS(AI142-ICL3_classA!$F$2:$F$37)),ABS(AI142-ICL3_classA!$F$2:$F$37),0))</f>
        <v>23</v>
      </c>
      <c r="V142" s="1">
        <v>61</v>
      </c>
      <c r="W142" s="132">
        <f>VLOOKUP($B142&amp;"__wt",'SegEnds_Xtal_BW#'!$A:$Z,23,FALSE)</f>
        <v>30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>
        <f>VLOOKUP(A142,'SegEnds_NonXtal_Prot#'!A:AL,10,FALSE)-VLOOKUP(A142,'SegEnds_NonXtal_Prot#'!A:AL,7,FALSE)</f>
        <v>15</v>
      </c>
      <c r="AD142" s="1">
        <f>VLOOKUP(A142,'SegEnds_NonXtal_Prot#'!A:AL,13,FALSE)-VLOOKUP(A142,'SegEnds_NonXtal_Prot#'!A:AL,10,FALSE)</f>
        <v>18</v>
      </c>
      <c r="AE142" s="1">
        <f>VLOOKUP(A142,'SegEnds_NonXtal_Prot#'!A:AL,16,FALSE)-VLOOKUP(A142,'SegEnds_NonXtal_Prot#'!A:AL,10,FALSE)</f>
        <v>51</v>
      </c>
      <c r="AF142" s="1">
        <f>VLOOKUP(A142,'SegEnds_NonXtal_Prot#'!A:AL,22,FALSE)-VLOOKUP(A142,'SegEnds_NonXtal_Prot#'!A:AL,19,FALSE)</f>
        <v>20</v>
      </c>
      <c r="AG142" s="1" t="e">
        <f>VLOOKUP(A142,'SegEnds_NonXtal_Prot#'!A:AL,28,FALSE)-VLOOKUP(A142,'SegEnds_NonXtal_Prot#'!A:AL,25,FALSE)</f>
        <v>#VALUE!</v>
      </c>
      <c r="AH142" s="1">
        <f>VLOOKUP(A142,'SegEnds_NonXtal_Prot#'!A:AL,28,FALSE)-VLOOKUP(A142,'SegEnds_NonXtal_Prot#'!A:AL,22,FALSE)</f>
        <v>45</v>
      </c>
      <c r="AI142" s="1">
        <f>VLOOKUP(A142,'SegEnds_NonXtal_Prot#'!A:AL,31,FALSE)-VLOOKUP(A142,'SegEnds_NonXtal_Prot#'!A:AL,28,FALSE)</f>
        <v>51</v>
      </c>
      <c r="AJ142" s="1">
        <f>VLOOKUP(A142,'SegEnds_NonXtal_Prot#'!A:AL,34,FALSE)-VLOOKUP(A142,'SegEnds_NonXtal_Prot#'!A:AL,31,FALSE)</f>
        <v>38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382</v>
      </c>
      <c r="B143" s="1" t="str">
        <f>VLOOKUP(A143,Xtal_Templ!A:B,2,FALSE)</f>
        <v>oprk_human</v>
      </c>
      <c r="C143" s="5">
        <f>VLOOKUP($B143&amp;"__wt",'SegEnds_Xtal_BW#'!$A:$Z,3,FALSE)</f>
        <v>30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7"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30</v>
      </c>
      <c r="T143" s="1">
        <f t="array" ref="T143">INDEX(ICL3_classA!$G$2:$G$37,MATCH(MIN(ABS(AI143-ICL3_classA!$F$2:$F$37)),ABS(AI143-ICL3_classA!$F$2:$F$37),0))</f>
        <v>68</v>
      </c>
      <c r="U143" s="1">
        <f t="array" ref="U143">INDEX(ICL3_classA!$H$2:$H$37,MATCH(MIN(ABS(AI143-ICL3_classA!$F$2:$F$37)),ABS(AI143-ICL3_classA!$F$2:$F$37),0))</f>
        <v>23</v>
      </c>
      <c r="V143" s="1">
        <v>61</v>
      </c>
      <c r="W143" s="132">
        <f>VLOOKUP($B143&amp;"__wt",'SegEnds_Xtal_BW#'!$A:$Z,23,FALSE)</f>
        <v>28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28</v>
      </c>
      <c r="AC143" s="1">
        <f>VLOOKUP(A143,'SegEnds_NonXtal_Prot#'!A:AL,10,FALSE)-VLOOKUP(A143,'SegEnds_NonXtal_Prot#'!A:AL,7,FALSE)</f>
        <v>15</v>
      </c>
      <c r="AD143" s="1">
        <f>VLOOKUP(A143,'SegEnds_NonXtal_Prot#'!A:AL,13,FALSE)-VLOOKUP(A143,'SegEnds_NonXtal_Prot#'!A:AL,10,FALSE)</f>
        <v>19</v>
      </c>
      <c r="AE143" s="1">
        <f>VLOOKUP(A143,'SegEnds_NonXtal_Prot#'!A:AL,16,FALSE)-VLOOKUP(A143,'SegEnds_NonXtal_Prot#'!A:AL,10,FALSE)</f>
        <v>51</v>
      </c>
      <c r="AF143" s="1">
        <f>VLOOKUP(A143,'SegEnds_NonXtal_Prot#'!A:AL,22,FALSE)-VLOOKUP(A143,'SegEnds_NonXtal_Prot#'!A:AL,19,FALSE)</f>
        <v>20</v>
      </c>
      <c r="AG143" s="1">
        <f>VLOOKUP(A143,'SegEnds_NonXtal_Prot#'!A:AL,28,FALSE)-VLOOKUP(A143,'SegEnds_NonXtal_Prot#'!A:AL,25,FALSE)</f>
        <v>27</v>
      </c>
      <c r="AH143" s="1">
        <f>VLOOKUP(A143,'SegEnds_NonXtal_Prot#'!A:AL,28,FALSE)-VLOOKUP(A143,'SegEnds_NonXtal_Prot#'!A:AL,22,FALSE)</f>
        <v>53</v>
      </c>
      <c r="AI143" s="1">
        <f>VLOOKUP(A143,'SegEnds_NonXtal_Prot#'!A:AL,31,FALSE)-VLOOKUP(A143,'SegEnds_NonXtal_Prot#'!A:AL,28,FALSE)</f>
        <v>51</v>
      </c>
      <c r="AJ143" s="1">
        <f>VLOOKUP(A143,'SegEnds_NonXtal_Prot#'!A:AL,34,FALSE)-VLOOKUP(A143,'SegEnds_NonXtal_Prot#'!A:AL,31,FALSE)</f>
        <v>38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383</v>
      </c>
      <c r="B144" s="1" t="str">
        <f>VLOOKUP(A144,Xtal_Templ!A:B,2,FALSE)</f>
        <v>oprk_human</v>
      </c>
      <c r="C144" s="5">
        <f>VLOOKUP($B144&amp;"__wt",'SegEnds_Xtal_BW#'!$A:$Z,3,FALSE)</f>
        <v>30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v>66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21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30</v>
      </c>
      <c r="T144" s="1">
        <f t="array" ref="T144">INDEX(ICL3_classA!$G$2:$G$37,MATCH(MIN(ABS(AI144-ICL3_classA!$F$2:$F$37)),ABS(AI144-ICL3_classA!$F$2:$F$37),0))</f>
        <v>72</v>
      </c>
      <c r="U144" s="1">
        <f t="array" ref="U144">INDEX(ICL3_classA!$H$2:$H$37,MATCH(MIN(ABS(AI144-ICL3_classA!$F$2:$F$37)),ABS(AI144-ICL3_classA!$F$2:$F$37),0))</f>
        <v>24</v>
      </c>
      <c r="V144" s="1">
        <v>61</v>
      </c>
      <c r="W144" s="132">
        <f>VLOOKUP($B144&amp;"__wt",'SegEnds_Xtal_BW#'!$A:$Z,23,FALSE)</f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28</v>
      </c>
      <c r="AC144" s="1">
        <f>VLOOKUP(A144,'SegEnds_NonXtal_Prot#'!A:AL,10,FALSE)-VLOOKUP(A144,'SegEnds_NonXtal_Prot#'!A:AL,7,FALSE)</f>
        <v>15</v>
      </c>
      <c r="AD144" s="1">
        <f>VLOOKUP(A144,'SegEnds_NonXtal_Prot#'!A:AL,13,FALSE)-VLOOKUP(A144,'SegEnds_NonXtal_Prot#'!A:AL,10,FALSE)</f>
        <v>19</v>
      </c>
      <c r="AE144" s="1">
        <f>VLOOKUP(A144,'SegEnds_NonXtal_Prot#'!A:AL,16,FALSE)-VLOOKUP(A144,'SegEnds_NonXtal_Prot#'!A:AL,10,FALSE)</f>
        <v>51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27</v>
      </c>
      <c r="AH144" s="1">
        <f>VLOOKUP(A144,'SegEnds_NonXtal_Prot#'!A:AL,28,FALSE)-VLOOKUP(A144,'SegEnds_NonXtal_Prot#'!A:AL,22,FALSE)</f>
        <v>50</v>
      </c>
      <c r="AI144" s="1">
        <f>VLOOKUP(A144,'SegEnds_NonXtal_Prot#'!A:AL,31,FALSE)-VLOOKUP(A144,'SegEnds_NonXtal_Prot#'!A:AL,28,FALSE)</f>
        <v>54</v>
      </c>
      <c r="AJ144" s="1">
        <f>VLOOKUP(A144,'SegEnds_NonXtal_Prot#'!A:AL,34,FALSE)-VLOOKUP(A144,'SegEnds_NonXtal_Prot#'!A:AL,31,FALSE)</f>
        <v>38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385</v>
      </c>
      <c r="B145" s="1" t="str">
        <f>VLOOKUP(A145,Xtal_Templ!A:B,2,FALSE)</f>
        <v>oprk_human</v>
      </c>
      <c r="C145" s="5">
        <f>VLOOKUP($B145&amp;"__wt",'SegEnds_Xtal_BW#'!$A:$Z,3,FALSE)</f>
        <v>30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v>66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21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7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30</v>
      </c>
      <c r="T145" s="1">
        <f t="array" ref="T145">INDEX(ICL3_classA!$G$2:$G$37,MATCH(MIN(ABS(AI145-ICL3_classA!$F$2:$F$37)),ABS(AI145-ICL3_classA!$F$2:$F$37),0))</f>
        <v>72</v>
      </c>
      <c r="U145" s="1">
        <f t="array" ref="U145">INDEX(ICL3_classA!$H$2:$H$37,MATCH(MIN(ABS(AI145-ICL3_classA!$F$2:$F$37)),ABS(AI145-ICL3_classA!$F$2:$F$37),0))</f>
        <v>29</v>
      </c>
      <c r="V145" s="1">
        <v>61</v>
      </c>
      <c r="W145" s="132">
        <f>VLOOKUP($B145&amp;"__wt",'SegEnds_Xtal_BW#'!$A:$Z,23,FALSE)</f>
        <v>28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28</v>
      </c>
      <c r="AC145" s="1">
        <f>VLOOKUP(A145,'SegEnds_NonXtal_Prot#'!A:AL,10,FALSE)-VLOOKUP(A145,'SegEnds_NonXtal_Prot#'!A:AL,7,FALSE)</f>
        <v>15</v>
      </c>
      <c r="AD145" s="1">
        <f>VLOOKUP(A145,'SegEnds_NonXtal_Prot#'!A:AL,13,FALSE)-VLOOKUP(A145,'SegEnds_NonXtal_Prot#'!A:AL,10,FALSE)</f>
        <v>19</v>
      </c>
      <c r="AE145" s="1">
        <f>VLOOKUP(A145,'SegEnds_NonXtal_Prot#'!A:AL,16,FALSE)-VLOOKUP(A145,'SegEnds_NonXtal_Prot#'!A:AL,10,FALSE)</f>
        <v>51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27</v>
      </c>
      <c r="AH145" s="1">
        <f>VLOOKUP(A145,'SegEnds_NonXtal_Prot#'!A:AL,28,FALSE)-VLOOKUP(A145,'SegEnds_NonXtal_Prot#'!A:AL,22,FALSE)</f>
        <v>49</v>
      </c>
      <c r="AI145" s="1">
        <f>VLOOKUP(A145,'SegEnds_NonXtal_Prot#'!A:AL,31,FALSE)-VLOOKUP(A145,'SegEnds_NonXtal_Prot#'!A:AL,28,FALSE)</f>
        <v>50</v>
      </c>
      <c r="AJ145" s="1">
        <f>VLOOKUP(A145,'SegEnds_NonXtal_Prot#'!A:AL,34,FALSE)-VLOOKUP(A145,'SegEnds_NonXtal_Prot#'!A:AL,31,FALSE)</f>
        <v>38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132</v>
      </c>
      <c r="B146" s="1" t="str">
        <f>VLOOKUP(A146,Xtal_Templ!A:B,2,FALSE)</f>
        <v>5ht2a_human</v>
      </c>
      <c r="C146" s="5">
        <f>VLOOKUP($B146&amp;"__wt",'SegEnds_Xtal_BW#'!$A:$Z,3,FALSE)</f>
        <v>27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68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7">
        <f>VLOOKUP($B146&amp;"__wt",'SegEnds_Xtal_BW#'!$A:$Z,15,FALSE)</f>
        <v>38</v>
      </c>
      <c r="P146" s="1">
        <f>VLOOKUP($B146&amp;"__wt",'SegEnds_Xtal_BW#'!$A:$Z,16,FALSE)</f>
        <v>67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v>35</v>
      </c>
      <c r="T146" s="1">
        <f t="array" ref="T146">INDEX(ICL3_classA!$G$2:$G$37,MATCH(MIN(ABS(AI146-ICL3_classA!$F$2:$F$37)),ABS(AI146-ICL3_classA!$F$2:$F$37),0))</f>
        <v>76</v>
      </c>
      <c r="U146" s="1">
        <f t="array" ref="U146">INDEX(ICL3_classA!$H$2:$H$37,MATCH(MIN(ABS(AI146-ICL3_classA!$F$2:$F$37)),ABS(AI146-ICL3_classA!$F$2:$F$37),0))</f>
        <v>24</v>
      </c>
      <c r="V146" s="1">
        <v>61</v>
      </c>
      <c r="W146" s="132">
        <v>27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60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>
        <f>VLOOKUP(A146,'SegEnds_NonXtal_Prot#'!A:AL,10,FALSE)-VLOOKUP(A146,'SegEnds_NonXtal_Prot#'!A:AL,7,FALSE)</f>
        <v>15</v>
      </c>
      <c r="AD146" s="1">
        <f>VLOOKUP(A146,'SegEnds_NonXtal_Prot#'!A:AL,13,FALSE)-VLOOKUP(A146,'SegEnds_NonXtal_Prot#'!A:AL,10,FALSE)</f>
        <v>21</v>
      </c>
      <c r="AE146" s="1">
        <f>VLOOKUP(A146,'SegEnds_NonXtal_Prot#'!A:AL,16,FALSE)-VLOOKUP(A146,'SegEnds_NonXtal_Prot#'!A:AL,10,FALSE)</f>
        <v>53</v>
      </c>
      <c r="AF146" s="1">
        <f>VLOOKUP(A146,'SegEnds_NonXtal_Prot#'!A:AL,22,FALSE)-VLOOKUP(A146,'SegEnds_NonXtal_Prot#'!A:AL,19,FALSE)</f>
        <v>20</v>
      </c>
      <c r="AG146" s="1">
        <f>VLOOKUP(A146,'SegEnds_NonXtal_Prot#'!A:AL,28,FALSE)-VLOOKUP(A146,'SegEnds_NonXtal_Prot#'!A:AL,25,FALSE)</f>
        <v>19</v>
      </c>
      <c r="AH146" s="1">
        <f>VLOOKUP(A146,'SegEnds_NonXtal_Prot#'!A:AL,28,FALSE)-VLOOKUP(A146,'SegEnds_NonXtal_Prot#'!A:AL,22,FALSE)</f>
        <v>46</v>
      </c>
      <c r="AI146" s="1">
        <f>VLOOKUP(A146,'SegEnds_NonXtal_Prot#'!A:AL,31,FALSE)-VLOOKUP(A146,'SegEnds_NonXtal_Prot#'!A:AL,28,FALSE)</f>
        <v>92</v>
      </c>
      <c r="AJ146" s="1">
        <f>VLOOKUP(A146,'SegEnds_NonXtal_Prot#'!A:AL,34,FALSE)-VLOOKUP(A146,'SegEnds_NonXtal_Prot#'!A:AL,31,FALSE)</f>
        <v>39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Xtal</v>
      </c>
    </row>
    <row r="147" spans="1:38" x14ac:dyDescent="0.2">
      <c r="A147" s="1" t="s">
        <v>133</v>
      </c>
      <c r="B147" s="1" t="str">
        <f>VLOOKUP(A147,Xtal_Templ!A:B,2,FALSE)</f>
        <v>5ht2c_human</v>
      </c>
      <c r="C147" s="5">
        <f>VLOOKUP($B147&amp;"__wt",'SegEnds_Xtal_BW#'!$A:$Z,3,FALSE)</f>
        <v>33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68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7">
        <f>VLOOKUP($B147&amp;"__wt",'SegEnds_Xtal_BW#'!$A:$Z,15,FALSE)</f>
        <v>38</v>
      </c>
      <c r="P147" s="1">
        <f>VLOOKUP($B147&amp;"__wt",'SegEnds_Xtal_BW#'!$A:$Z,16,FALSE)</f>
        <v>67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35</v>
      </c>
      <c r="T147" s="1">
        <f t="array" ref="T147">INDEX(ICL3_classA!$G$2:$G$37,MATCH(MIN(ABS(AI147-ICL3_classA!$F$2:$F$37)),ABS(AI147-ICL3_classA!$F$2:$F$37),0))</f>
        <v>74</v>
      </c>
      <c r="U147" s="1">
        <f t="array" ref="U147">INDEX(ICL3_classA!$H$2:$H$37,MATCH(MIN(ABS(AI147-ICL3_classA!$F$2:$F$37)),ABS(AI147-ICL3_classA!$F$2:$F$37),0))</f>
        <v>24</v>
      </c>
      <c r="V147" s="1">
        <v>61</v>
      </c>
      <c r="W147" s="132">
        <v>27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60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21</v>
      </c>
      <c r="AE147" s="1">
        <f>VLOOKUP(A147,'SegEnds_NonXtal_Prot#'!A:AL,16,FALSE)-VLOOKUP(A147,'SegEnds_NonXtal_Prot#'!A:AL,10,FALSE)</f>
        <v>53</v>
      </c>
      <c r="AF147" s="1">
        <f>VLOOKUP(A147,'SegEnds_NonXtal_Prot#'!A:AL,22,FALSE)-VLOOKUP(A147,'SegEnds_NonXtal_Prot#'!A:AL,19,FALSE)</f>
        <v>20</v>
      </c>
      <c r="AG147" s="1">
        <f>VLOOKUP(A147,'SegEnds_NonXtal_Prot#'!A:AL,28,FALSE)-VLOOKUP(A147,'SegEnds_NonXtal_Prot#'!A:AL,25,FALSE)</f>
        <v>19</v>
      </c>
      <c r="AH147" s="1">
        <f>VLOOKUP(A147,'SegEnds_NonXtal_Prot#'!A:AL,28,FALSE)-VLOOKUP(A147,'SegEnds_NonXtal_Prot#'!A:AL,22,FALSE)</f>
        <v>47</v>
      </c>
      <c r="AI147" s="1">
        <f>VLOOKUP(A147,'SegEnds_NonXtal_Prot#'!A:AL,31,FALSE)-VLOOKUP(A147,'SegEnds_NonXtal_Prot#'!A:AL,28,FALSE)</f>
        <v>100</v>
      </c>
      <c r="AJ147" s="1">
        <f>VLOOKUP(A147,'SegEnds_NonXtal_Prot#'!A:AL,34,FALSE)-VLOOKUP(A147,'SegEnds_NonXtal_Prot#'!A:AL,31,FALSE)</f>
        <v>39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Xtal</v>
      </c>
    </row>
    <row r="148" spans="1:38" x14ac:dyDescent="0.2">
      <c r="A148" s="1" t="s">
        <v>137</v>
      </c>
      <c r="B148" s="1" t="str">
        <f>VLOOKUP(A148,Xtal_Templ!A:B,2,FALSE)</f>
        <v>5ht1b_human</v>
      </c>
      <c r="C148" s="5">
        <f>VLOOKUP($B148&amp;"__wt",'SegEnds_Xtal_BW#'!$A:$Z,3,FALSE)</f>
        <v>28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68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7">
        <f>VLOOKUP($B148&amp;"__wt",'SegEnds_Xtal_BW#'!$A:$Z,15,FALSE)</f>
        <v>38</v>
      </c>
      <c r="P148" s="1">
        <f>VLOOKUP($B148&amp;"__wt",'SegEnds_Xtal_BW#'!$A:$Z,16,FALSE)</f>
        <v>63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v>35</v>
      </c>
      <c r="T148" s="1">
        <f t="array" ref="T148">INDEX(ICL3_classA!$G$2:$G$37,MATCH(MIN(ABS(AI148-ICL3_classA!$F$2:$F$37)),ABS(AI148-ICL3_classA!$F$2:$F$37),0))</f>
        <v>76</v>
      </c>
      <c r="U148" s="1">
        <f t="array" ref="U148">INDEX(ICL3_classA!$H$2:$H$37,MATCH(MIN(ABS(AI148-ICL3_classA!$F$2:$F$37)),ABS(AI148-ICL3_classA!$F$2:$F$37),0))</f>
        <v>24</v>
      </c>
      <c r="V148" s="1">
        <v>61</v>
      </c>
      <c r="W148" s="132">
        <v>27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58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21</v>
      </c>
      <c r="AE148" s="1">
        <f>VLOOKUP(A148,'SegEnds_NonXtal_Prot#'!A:AL,16,FALSE)-VLOOKUP(A148,'SegEnds_NonXtal_Prot#'!A:AL,10,FALSE)</f>
        <v>53</v>
      </c>
      <c r="AF148" s="1">
        <f>VLOOKUP(A148,'SegEnds_NonXtal_Prot#'!A:AL,22,FALSE)-VLOOKUP(A148,'SegEnds_NonXtal_Prot#'!A:AL,19,FALSE)</f>
        <v>20</v>
      </c>
      <c r="AG148" s="1">
        <f>VLOOKUP(A148,'SegEnds_NonXtal_Prot#'!A:AL,28,FALSE)-VLOOKUP(A148,'SegEnds_NonXtal_Prot#'!A:AL,25,FALSE)</f>
        <v>20</v>
      </c>
      <c r="AH148" s="1">
        <f>VLOOKUP(A148,'SegEnds_NonXtal_Prot#'!A:AL,28,FALSE)-VLOOKUP(A148,'SegEnds_NonXtal_Prot#'!A:AL,22,FALSE)</f>
        <v>44</v>
      </c>
      <c r="AI148" s="1">
        <f>VLOOKUP(A148,'SegEnds_NonXtal_Prot#'!A:AL,31,FALSE)-VLOOKUP(A148,'SegEnds_NonXtal_Prot#'!A:AL,28,FALSE)</f>
        <v>91</v>
      </c>
      <c r="AJ148" s="1">
        <f>VLOOKUP(A148,'SegEnds_NonXtal_Prot#'!A:AL,34,FALSE)-VLOOKUP(A148,'SegEnds_NonXtal_Prot#'!A:AL,31,FALSE)</f>
        <v>39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NoXtal</v>
      </c>
    </row>
    <row r="149" spans="1:38" x14ac:dyDescent="0.2">
      <c r="A149" s="1" t="s">
        <v>151</v>
      </c>
      <c r="B149" s="1" t="str">
        <f>VLOOKUP(A149,Xtal_Templ!A:B,2,FALSE)</f>
        <v>s1pr1_human</v>
      </c>
      <c r="C149" s="5">
        <f>VLOOKUP($B149&amp;"__wt",'SegEnds_Xtal_BW#'!$A:$Z,3,FALSE)</f>
        <v>29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v>67</v>
      </c>
      <c r="I149" s="1" t="s">
        <v>23</v>
      </c>
      <c r="J149" s="1" t="s">
        <v>23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7">
        <f>VLOOKUP($B149&amp;"__wt",'SegEnds_Xtal_BW#'!$A:$Z,15,FALSE)</f>
        <v>38</v>
      </c>
      <c r="P149" s="1">
        <f>VLOOKUP($B149&amp;"__wt",'SegEnds_Xtal_BW#'!$A:$Z,16,FALSE)</f>
        <v>63</v>
      </c>
      <c r="Q149" s="1" t="str">
        <f>VLOOKUP($B149&amp;"__wt",'SegEnds_Xtal_BW#'!$A:$Z,17,FALSE)</f>
        <v>-</v>
      </c>
      <c r="R149" s="1" t="str">
        <f>VLOOKUP($B149&amp;"__wt",'SegEnds_Xtal_BW#'!$A:$Z,18,FALSE)</f>
        <v>-</v>
      </c>
      <c r="S149" s="108">
        <v>33</v>
      </c>
      <c r="T149" s="1">
        <f t="array" ref="T149">INDEX(ICL3_classA!$G$2:$G$37,MATCH(MIN(ABS(AI149-ICL3_classA!$F$2:$F$37)),ABS(AI149-ICL3_classA!$F$2:$F$37),0))</f>
        <v>66</v>
      </c>
      <c r="U149" s="1">
        <f t="array" ref="U149">INDEX(ICL3_classA!$H$2:$H$37,MATCH(MIN(ABS(AI149-ICL3_classA!$F$2:$F$37)),ABS(AI149-ICL3_classA!$F$2:$F$37),0))</f>
        <v>30</v>
      </c>
      <c r="V149" s="1">
        <v>61</v>
      </c>
      <c r="W149" s="132">
        <f>VLOOKUP($B149&amp;"__wt",'SegEnds_Xtal_BW#'!$A:$Z,23,FALSE)</f>
        <v>30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28</v>
      </c>
      <c r="AC149" s="1">
        <f>VLOOKUP(A149,'SegEnds_NonXtal_Prot#'!A:AL,10,FALSE)-VLOOKUP(A149,'SegEnds_NonXtal_Prot#'!A:AL,7,FALSE)</f>
        <v>15</v>
      </c>
      <c r="AD149" s="1" t="e">
        <f>VLOOKUP(A149,'SegEnds_NonXtal_Prot#'!A:AL,13,FALSE)-VLOOKUP(A149,'SegEnds_NonXtal_Prot#'!A:AL,10,FALSE)</f>
        <v>#VALUE!</v>
      </c>
      <c r="AE149" s="1">
        <f>VLOOKUP(A149,'SegEnds_NonXtal_Prot#'!A:AL,16,FALSE)-VLOOKUP(A149,'SegEnds_NonXtal_Prot#'!A:AL,10,FALSE)</f>
        <v>58</v>
      </c>
      <c r="AF149" s="1">
        <f>VLOOKUP(A149,'SegEnds_NonXtal_Prot#'!A:AL,22,FALSE)-VLOOKUP(A149,'SegEnds_NonXtal_Prot#'!A:AL,19,FALSE)</f>
        <v>20</v>
      </c>
      <c r="AG149" s="1" t="e">
        <f>VLOOKUP(A149,'SegEnds_NonXtal_Prot#'!A:AL,28,FALSE)-VLOOKUP(A149,'SegEnds_NonXtal_Prot#'!A:AL,25,FALSE)</f>
        <v>#VALUE!</v>
      </c>
      <c r="AH149" s="1">
        <f>VLOOKUP(A149,'SegEnds_NonXtal_Prot#'!A:AL,28,FALSE)-VLOOKUP(A149,'SegEnds_NonXtal_Prot#'!A:AL,22,FALSE)</f>
        <v>40</v>
      </c>
      <c r="AI149" s="1">
        <f>VLOOKUP(A149,'SegEnds_NonXtal_Prot#'!A:AL,31,FALSE)-VLOOKUP(A149,'SegEnds_NonXtal_Prot#'!A:AL,28,FALSE)</f>
        <v>39</v>
      </c>
      <c r="AJ149" s="1">
        <f>VLOOKUP(A149,'SegEnds_NonXtal_Prot#'!A:AL,34,FALSE)-VLOOKUP(A149,'SegEnds_NonXtal_Prot#'!A:AL,31,FALSE)</f>
        <v>39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NoXtal</v>
      </c>
    </row>
    <row r="150" spans="1:38" x14ac:dyDescent="0.2">
      <c r="A150" s="1" t="s">
        <v>167</v>
      </c>
      <c r="B150" s="1" t="str">
        <f>VLOOKUP(A150,Xtal_Templ!A:B,2,FALSE)</f>
        <v>ox1r_human</v>
      </c>
      <c r="C150" s="5">
        <f>VLOOKUP($B150&amp;"__wt",'SegEnds_Xtal_BW#'!$A:$Z,3,FALSE)</f>
        <v>32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7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32</v>
      </c>
      <c r="T150" s="1">
        <f t="array" ref="T150">INDEX(ICL3_classA!$G$2:$G$37,MATCH(MIN(ABS(AI150-ICL3_classA!$F$2:$F$37)),ABS(AI150-ICL3_classA!$F$2:$F$37),0))</f>
        <v>74</v>
      </c>
      <c r="U150" s="1">
        <f t="array" ref="U150">INDEX(ICL3_classA!$H$2:$H$37,MATCH(MIN(ABS(AI150-ICL3_classA!$F$2:$F$37)),ABS(AI150-ICL3_classA!$F$2:$F$37),0))</f>
        <v>24</v>
      </c>
      <c r="V150" s="1">
        <v>61</v>
      </c>
      <c r="W150" s="132">
        <f>VLOOKUP($B150&amp;"__wt",'SegEnds_Xtal_BW#'!$A:$Z,23,FALSE)</f>
        <v>28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58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>
        <f>VLOOKUP(A150,'SegEnds_NonXtal_Prot#'!A:AL,10,FALSE)-VLOOKUP(A150,'SegEnds_NonXtal_Prot#'!A:AL,7,FALSE)</f>
        <v>15</v>
      </c>
      <c r="AD150" s="1">
        <f>VLOOKUP(A150,'SegEnds_NonXtal_Prot#'!A:AL,13,FALSE)-VLOOKUP(A150,'SegEnds_NonXtal_Prot#'!A:AL,10,FALSE)</f>
        <v>20</v>
      </c>
      <c r="AE150" s="1">
        <f>VLOOKUP(A150,'SegEnds_NonXtal_Prot#'!A:AL,16,FALSE)-VLOOKUP(A150,'SegEnds_NonXtal_Prot#'!A:AL,10,FALSE)</f>
        <v>52</v>
      </c>
      <c r="AF150" s="1">
        <f>VLOOKUP(A150,'SegEnds_NonXtal_Prot#'!A:AL,22,FALSE)-VLOOKUP(A150,'SegEnds_NonXtal_Prot#'!A:AL,19,FALSE)</f>
        <v>20</v>
      </c>
      <c r="AG150" s="1">
        <f>VLOOKUP(A150,'SegEnds_NonXtal_Prot#'!A:AL,28,FALSE)-VLOOKUP(A150,'SegEnds_NonXtal_Prot#'!A:AL,25,FALSE)</f>
        <v>25</v>
      </c>
      <c r="AH150" s="1">
        <f>VLOOKUP(A150,'SegEnds_NonXtal_Prot#'!A:AL,28,FALSE)-VLOOKUP(A150,'SegEnds_NonXtal_Prot#'!A:AL,22,FALSE)</f>
        <v>55</v>
      </c>
      <c r="AI150" s="1">
        <f>VLOOKUP(A150,'SegEnds_NonXtal_Prot#'!A:AL,31,FALSE)-VLOOKUP(A150,'SegEnds_NonXtal_Prot#'!A:AL,28,FALSE)</f>
        <v>107</v>
      </c>
      <c r="AJ150" s="1">
        <f>VLOOKUP(A150,'SegEnds_NonXtal_Prot#'!A:AL,34,FALSE)-VLOOKUP(A150,'SegEnds_NonXtal_Prot#'!A:AL,31,FALSE)</f>
        <v>39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NoXtal</v>
      </c>
    </row>
    <row r="151" spans="1:38" x14ac:dyDescent="0.2">
      <c r="A151" s="12" t="s">
        <v>189</v>
      </c>
      <c r="B151" s="12" t="str">
        <f>VLOOKUP(A151,Xtal_Templ!A:B,2,FALSE)</f>
        <v>ccr9_human</v>
      </c>
      <c r="C151" s="13">
        <f>VLOOKUP($B151&amp;"__wt",'SegEnds_Xtal_BW#'!$A:$Z,3,FALSE)</f>
        <v>27</v>
      </c>
      <c r="D151" s="12">
        <f>VLOOKUP($B151&amp;"__wt",'SegEnds_Xtal_BW#'!$A:$Z,4,FALSE)</f>
        <v>60</v>
      </c>
      <c r="E151" s="12">
        <f>VLOOKUP($B151&amp;"__wt",'SegEnds_Xtal_BW#'!$A:$Z,5,FALSE)</f>
        <v>48</v>
      </c>
      <c r="F151" s="12">
        <f>VLOOKUP($B151&amp;"__wt",'SegEnds_Xtal_BW#'!$A:$Z,6,FALSE)</f>
        <v>51</v>
      </c>
      <c r="G151" s="12">
        <v>37</v>
      </c>
      <c r="H151" s="12">
        <v>66</v>
      </c>
      <c r="I151" s="12">
        <f>VLOOKUP($B151&amp;"__wt",'SegEnds_Xtal_BW#'!$A:$Z,9,FALSE)</f>
        <v>49</v>
      </c>
      <c r="J151" s="12">
        <f>VLOOKUP($B151&amp;"__wt",'SegEnds_Xtal_BW#'!$A:$Z,10,FALSE)</f>
        <v>52</v>
      </c>
      <c r="K151" s="12">
        <v>24</v>
      </c>
      <c r="L151" s="12">
        <f>VLOOKUP($B151&amp;"__wt",'SegEnds_Xtal_BW#'!$A:$Z,12,FALSE)</f>
        <v>56</v>
      </c>
      <c r="M151" s="12">
        <f>VLOOKUP($B151&amp;"__wt",'SegEnds_Xtal_BW#'!$A:$Z,13,FALSE)</f>
        <v>50</v>
      </c>
      <c r="N151" s="12">
        <v>58</v>
      </c>
      <c r="O151" s="87">
        <v>38</v>
      </c>
      <c r="P151" s="12">
        <f>VLOOKUP($B151&amp;"__wt",'SegEnds_Xtal_BW#'!$A:$Z,16,FALSE)</f>
        <v>64</v>
      </c>
      <c r="Q151" s="12">
        <f>VLOOKUP($B151&amp;"__wt",'SegEnds_Xtal_BW#'!$A:$Z,17,FALSE)</f>
        <v>50</v>
      </c>
      <c r="R151" s="12">
        <f>VLOOKUP($B151&amp;"__wt",'SegEnds_Xtal_BW#'!$A:$Z,18,FALSE)</f>
        <v>52</v>
      </c>
      <c r="S151" s="12">
        <f>VLOOKUP($B151&amp;"__wt",'SegEnds_Xtal_BW#'!$A:$Z,19,FALSE)</f>
        <v>33</v>
      </c>
      <c r="T151" s="12">
        <f t="array" ref="T151">INDEX(ICL3_classA!$G$2:$G$37,MATCH(MIN(ABS(AI151-ICL3_classA!$F$2:$F$37)),ABS(AI151-ICL3_classA!$F$2:$F$37),0))</f>
        <v>68</v>
      </c>
      <c r="U151" s="12">
        <f t="array" ref="U151">INDEX(ICL3_classA!$H$2:$H$37,MATCH(MIN(ABS(AI151-ICL3_classA!$F$2:$F$37)),ABS(AI151-ICL3_classA!$F$2:$F$37),0))</f>
        <v>30</v>
      </c>
      <c r="V151" s="12">
        <v>61</v>
      </c>
      <c r="W151" s="132">
        <f>VLOOKUP($B151&amp;"__wt",'SegEnds_Xtal_BW#'!$A:$Z,23,FALSE)</f>
        <v>24</v>
      </c>
      <c r="X151" s="12">
        <f>VLOOKUP($B151&amp;"__wt",'SegEnds_Xtal_BW#'!$A:$Z,24,FALSE)</f>
        <v>56</v>
      </c>
      <c r="Y151" s="12">
        <f>VLOOKUP($B151&amp;"__wt",'SegEnds_Xtal_BW#'!$A:$Z,25,FALSE)</f>
        <v>47</v>
      </c>
      <c r="Z151" s="12">
        <f>VLOOKUP($B151&amp;"__wt",'SegEnds_Xtal_BW#'!$A:$Z,26,FALSE)</f>
        <v>67</v>
      </c>
      <c r="AA151" s="36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2">
        <f>VLOOKUP(A151,'SegEnds_NonXtal_Prot#'!A:AL,10,FALSE)-VLOOKUP(A151,'SegEnds_NonXtal_Prot#'!A:AL,7,FALSE)</f>
        <v>15</v>
      </c>
      <c r="AD151" s="12">
        <f>VLOOKUP(A151,'SegEnds_NonXtal_Prot#'!A:AL,13,FALSE)-VLOOKUP(A151,'SegEnds_NonXtal_Prot#'!A:AL,10,FALSE)</f>
        <v>18</v>
      </c>
      <c r="AE151" s="12">
        <f>VLOOKUP(A151,'SegEnds_NonXtal_Prot#'!A:AL,16,FALSE)-VLOOKUP(A151,'SegEnds_NonXtal_Prot#'!A:AL,10,FALSE)</f>
        <v>50</v>
      </c>
      <c r="AF151" s="1">
        <f>VLOOKUP(A151,'SegEnds_NonXtal_Prot#'!A:AL,22,FALSE)-VLOOKUP(A151,'SegEnds_NonXtal_Prot#'!A:AL,19,FALSE)</f>
        <v>22</v>
      </c>
      <c r="AG151" s="12">
        <f>VLOOKUP(A151,'SegEnds_NonXtal_Prot#'!A:AL,28,FALSE)-VLOOKUP(A151,'SegEnds_NonXtal_Prot#'!A:AL,25,FALSE)</f>
        <v>23</v>
      </c>
      <c r="AH151" s="1">
        <f>VLOOKUP(A151,'SegEnds_NonXtal_Prot#'!A:AL,28,FALSE)-VLOOKUP(A151,'SegEnds_NonXtal_Prot#'!A:AL,22,FALSE)</f>
        <v>47</v>
      </c>
      <c r="AI151" s="12">
        <f>VLOOKUP(A151,'SegEnds_NonXtal_Prot#'!A:AL,31,FALSE)-VLOOKUP(A151,'SegEnds_NonXtal_Prot#'!A:AL,28,FALSE)</f>
        <v>43</v>
      </c>
      <c r="AJ151" s="12">
        <f>VLOOKUP(A151,'SegEnds_NonXtal_Prot#'!A:AL,34,FALSE)-VLOOKUP(A151,'SegEnds_NonXtal_Prot#'!A:AL,31,FALSE)</f>
        <v>39</v>
      </c>
      <c r="AK151" s="1">
        <f>VLOOKUP(A151,'SegEnds_NonXtal_Prot#'!A:AL,37,FALSE)-VLOOKUP(A151,'SegEnds_NonXtal_Prot#'!A:AL,34,FALSE)</f>
        <v>10</v>
      </c>
      <c r="AL151" s="12" t="str">
        <f>IF(ISERROR(MATCH(A151,'SegEnds_Xtal_Prot#'!B:B, 0)), "NoXtal", "Xtal")</f>
        <v>NoXtal</v>
      </c>
    </row>
    <row r="152" spans="1:38" x14ac:dyDescent="0.2">
      <c r="A152" s="1" t="s">
        <v>197</v>
      </c>
      <c r="B152" s="1" t="str">
        <f>VLOOKUP(A152,Xtal_Templ!A:B,2,FALSE)</f>
        <v>ednrb_human</v>
      </c>
      <c r="C152" s="5">
        <f>VLOOKUP($B152&amp;"__wt",'SegEnds_Xtal_BW#'!$A:$Z,3,FALSE)</f>
        <v>22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52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21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7"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f>VLOOKUP($B152&amp;"__wt",'SegEnds_Xtal_BW#'!$A:$Z,19,FALSE)</f>
        <v>28</v>
      </c>
      <c r="T152" s="1">
        <f t="array" ref="T152">INDEX(ICL3_classA!$G$2:$G$37,MATCH(MIN(ABS(AI152-ICL3_classA!$F$2:$F$37)),ABS(AI152-ICL3_classA!$F$2:$F$37),0))</f>
        <v>72</v>
      </c>
      <c r="U152" s="1">
        <f t="array" ref="U152">INDEX(ICL3_classA!$H$2:$H$37,MATCH(MIN(ABS(AI152-ICL3_classA!$F$2:$F$37)),ABS(AI152-ICL3_classA!$F$2:$F$37),0))</f>
        <v>24</v>
      </c>
      <c r="V152" s="1">
        <v>61</v>
      </c>
      <c r="W152" s="132">
        <f>VLOOKUP($B152&amp;"__wt",'SegEnds_Xtal_BW#'!$A:$Z,23,FALSE)</f>
        <v>24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60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1">
        <f>VLOOKUP(A152,'SegEnds_NonXtal_Prot#'!A:AL,10,FALSE)-VLOOKUP(A152,'SegEnds_NonXtal_Prot#'!A:AL,7,FALSE)</f>
        <v>15</v>
      </c>
      <c r="AD152" s="1" t="e">
        <f>VLOOKUP(A152,'SegEnds_NonXtal_Prot#'!A:AL,13,FALSE)-VLOOKUP(A152,'SegEnds_NonXtal_Prot#'!A:AL,10,FALSE)</f>
        <v>#VALUE!</v>
      </c>
      <c r="AE152" s="1">
        <f>VLOOKUP(A152,'SegEnds_NonXtal_Prot#'!A:AL,16,FALSE)-VLOOKUP(A152,'SegEnds_NonXtal_Prot#'!A:AL,10,FALSE)</f>
        <v>52</v>
      </c>
      <c r="AF152" s="1">
        <f>VLOOKUP(A152,'SegEnds_NonXtal_Prot#'!A:AL,22,FALSE)-VLOOKUP(A152,'SegEnds_NonXtal_Prot#'!A:AL,19,FALSE)</f>
        <v>20</v>
      </c>
      <c r="AG152" s="1">
        <f>VLOOKUP(A152,'SegEnds_NonXtal_Prot#'!A:AL,28,FALSE)-VLOOKUP(A152,'SegEnds_NonXtal_Prot#'!A:AL,25,FALSE)</f>
        <v>35</v>
      </c>
      <c r="AH152" s="1">
        <f>VLOOKUP(A152,'SegEnds_NonXtal_Prot#'!A:AL,28,FALSE)-VLOOKUP(A152,'SegEnds_NonXtal_Prot#'!A:AL,22,FALSE)</f>
        <v>65</v>
      </c>
      <c r="AI152" s="1">
        <f>VLOOKUP(A152,'SegEnds_NonXtal_Prot#'!A:AL,31,FALSE)-VLOOKUP(A152,'SegEnds_NonXtal_Prot#'!A:AL,28,FALSE)</f>
        <v>53</v>
      </c>
      <c r="AJ152" s="1">
        <f>VLOOKUP(A152,'SegEnds_NonXtal_Prot#'!A:AL,34,FALSE)-VLOOKUP(A152,'SegEnds_NonXtal_Prot#'!A:AL,31,FALSE)</f>
        <v>39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NoXtal</v>
      </c>
    </row>
    <row r="153" spans="1:38" x14ac:dyDescent="0.2">
      <c r="A153" s="4" t="s">
        <v>200</v>
      </c>
      <c r="B153" s="4" t="str">
        <f>VLOOKUP(A153,Xtal_Templ!A:B,2,FALSE)</f>
        <v>ox2r_human</v>
      </c>
      <c r="C153" s="5">
        <f>VLOOKUP($B153&amp;"__wt",'SegEnds_Xtal_BW#'!$A:$Z,3,FALSE)</f>
        <v>31</v>
      </c>
      <c r="D153" s="4">
        <f>VLOOKUP($B153&amp;"__wt",'SegEnds_Xtal_BW#'!$A:$Z,4,FALSE)</f>
        <v>60</v>
      </c>
      <c r="E153" s="4">
        <f>VLOOKUP($B153&amp;"__wt",'SegEnds_Xtal_BW#'!$A:$Z,5,FALSE)</f>
        <v>48</v>
      </c>
      <c r="F153" s="4">
        <f>VLOOKUP($B153&amp;"__wt",'SegEnds_Xtal_BW#'!$A:$Z,6,FALSE)</f>
        <v>51</v>
      </c>
      <c r="G153" s="4">
        <v>37</v>
      </c>
      <c r="H153" s="11">
        <v>66</v>
      </c>
      <c r="I153" s="4">
        <f>VLOOKUP($B153&amp;"__wt",'SegEnds_Xtal_BW#'!$A:$Z,9,FALSE)</f>
        <v>49</v>
      </c>
      <c r="J153" s="4">
        <f>VLOOKUP($B153&amp;"__wt",'SegEnds_Xtal_BW#'!$A:$Z,10,FALSE)</f>
        <v>52</v>
      </c>
      <c r="K153" s="11">
        <v>21</v>
      </c>
      <c r="L153" s="4">
        <f>VLOOKUP($B153&amp;"__wt",'SegEnds_Xtal_BW#'!$A:$Z,12,FALSE)</f>
        <v>56</v>
      </c>
      <c r="M153" s="4">
        <f>VLOOKUP($B153&amp;"__wt",'SegEnds_Xtal_BW#'!$A:$Z,13,FALSE)</f>
        <v>50</v>
      </c>
      <c r="N153" s="11">
        <v>57</v>
      </c>
      <c r="O153" s="87">
        <f>VLOOKUP($B153&amp;"__wt",'SegEnds_Xtal_BW#'!$A:$Z,15,FALSE)</f>
        <v>38</v>
      </c>
      <c r="P153" s="4">
        <f>VLOOKUP($B153&amp;"__wt",'SegEnds_Xtal_BW#'!$A:$Z,16,FALSE)</f>
        <v>64</v>
      </c>
      <c r="Q153" s="4">
        <f>VLOOKUP($B153&amp;"__wt",'SegEnds_Xtal_BW#'!$A:$Z,17,FALSE)</f>
        <v>50</v>
      </c>
      <c r="R153" s="4">
        <f>VLOOKUP($B153&amp;"__wt",'SegEnds_Xtal_BW#'!$A:$Z,18,FALSE)</f>
        <v>52</v>
      </c>
      <c r="S153" s="4">
        <f>VLOOKUP($B153&amp;"__wt",'SegEnds_Xtal_BW#'!$A:$Z,19,FALSE)</f>
        <v>33</v>
      </c>
      <c r="T153" s="4">
        <f t="array" ref="T153">INDEX(ICL3_classA!$G$2:$G$37,MATCH(MIN(ABS(AI153-ICL3_classA!$F$2:$F$37)),ABS(AI153-ICL3_classA!$F$2:$F$37),0))</f>
        <v>76</v>
      </c>
      <c r="U153" s="4">
        <f t="array" ref="U153">INDEX(ICL3_classA!$H$2:$H$37,MATCH(MIN(ABS(AI153-ICL3_classA!$F$2:$F$37)),ABS(AI153-ICL3_classA!$F$2:$F$37),0))</f>
        <v>24</v>
      </c>
      <c r="V153" s="4">
        <v>61</v>
      </c>
      <c r="W153" s="132">
        <f>VLOOKUP($B153&amp;"__wt",'SegEnds_Xtal_BW#'!$A:$Z,23,FALSE)</f>
        <v>27</v>
      </c>
      <c r="X153" s="4">
        <f>VLOOKUP($B153&amp;"__wt",'SegEnds_Xtal_BW#'!$A:$Z,24,FALSE)</f>
        <v>56</v>
      </c>
      <c r="Y153" s="4">
        <f>VLOOKUP($B153&amp;"__wt",'SegEnds_Xtal_BW#'!$A:$Z,25,FALSE)</f>
        <v>47</v>
      </c>
      <c r="Z153" s="4">
        <f>VLOOKUP($B153&amp;"__wt",'SegEnds_Xtal_BW#'!$A:$Z,26,FALSE)</f>
        <v>58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27</v>
      </c>
      <c r="AC153" s="4" t="e">
        <f>VLOOKUP(A153,'SegEnds_NonXtal_Prot#'!A:AL,10,FALSE)-VLOOKUP(A153,'SegEnds_NonXtal_Prot#'!A:AL,7,FALSE)</f>
        <v>#VALUE!</v>
      </c>
      <c r="AD153" s="4">
        <f>VLOOKUP(A153,'SegEnds_NonXtal_Prot#'!A:AL,13,FALSE)-VLOOKUP(A153,'SegEnds_NonXtal_Prot#'!A:AL,10,FALSE)</f>
        <v>19</v>
      </c>
      <c r="AE153" s="4">
        <f>VLOOKUP(A153,'SegEnds_NonXtal_Prot#'!A:AL,16,FALSE)-VLOOKUP(A153,'SegEnds_NonXtal_Prot#'!A:AL,10,FALSE)</f>
        <v>51</v>
      </c>
      <c r="AF153" s="1">
        <f>VLOOKUP(A153,'SegEnds_NonXtal_Prot#'!A:AL,22,FALSE)-VLOOKUP(A153,'SegEnds_NonXtal_Prot#'!A:AL,19,FALSE)</f>
        <v>20</v>
      </c>
      <c r="AG153" s="4">
        <f>VLOOKUP(A153,'SegEnds_NonXtal_Prot#'!A:AL,28,FALSE)-VLOOKUP(A153,'SegEnds_NonXtal_Prot#'!A:AL,25,FALSE)</f>
        <v>25</v>
      </c>
      <c r="AH153" s="1">
        <f>VLOOKUP(A153,'SegEnds_NonXtal_Prot#'!A:AL,28,FALSE)-VLOOKUP(A153,'SegEnds_NonXtal_Prot#'!A:AL,22,FALSE)</f>
        <v>56</v>
      </c>
      <c r="AI153" s="4">
        <f>VLOOKUP(A153,'SegEnds_NonXtal_Prot#'!A:AL,31,FALSE)-VLOOKUP(A153,'SegEnds_NonXtal_Prot#'!A:AL,28,FALSE)</f>
        <v>76</v>
      </c>
      <c r="AJ153" s="4">
        <f>VLOOKUP(A153,'SegEnds_NonXtal_Prot#'!A:AL,34,FALSE)-VLOOKUP(A153,'SegEnds_NonXtal_Prot#'!A:AL,31,FALSE)</f>
        <v>39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208</v>
      </c>
      <c r="B154" s="1" t="str">
        <f>VLOOKUP(A154,Xtal_Templ!A:B,2,FALSE)</f>
        <v>ox2r_human</v>
      </c>
      <c r="C154" s="5">
        <f>VLOOKUP($B154&amp;"__wt",'SegEnds_Xtal_BW#'!$A:$Z,3,FALSE)</f>
        <v>31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68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7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33</v>
      </c>
      <c r="T154" s="1">
        <f t="array" ref="T154">INDEX(ICL3_classA!$G$2:$G$37,MATCH(MIN(ABS(AI154-ICL3_classA!$F$2:$F$37)),ABS(AI154-ICL3_classA!$F$2:$F$37),0))</f>
        <v>76</v>
      </c>
      <c r="U154" s="1">
        <f t="array" ref="U154">INDEX(ICL3_classA!$H$2:$H$37,MATCH(MIN(ABS(AI154-ICL3_classA!$F$2:$F$37)),ABS(AI154-ICL3_classA!$F$2:$F$37),0))</f>
        <v>24</v>
      </c>
      <c r="V154" s="1">
        <v>61</v>
      </c>
      <c r="W154" s="132">
        <f>VLOOKUP($B154&amp;"__wt",'SegEnds_Xtal_BW#'!$A:$Z,23,FALSE)</f>
        <v>27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58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28</v>
      </c>
      <c r="AC154" s="1">
        <f>VLOOKUP(A154,'SegEnds_NonXtal_Prot#'!A:AL,10,FALSE)-VLOOKUP(A154,'SegEnds_NonXtal_Prot#'!A:AL,7,FALSE)</f>
        <v>15</v>
      </c>
      <c r="AD154" s="1">
        <f>VLOOKUP(A154,'SegEnds_NonXtal_Prot#'!A:AL,13,FALSE)-VLOOKUP(A154,'SegEnds_NonXtal_Prot#'!A:AL,10,FALSE)</f>
        <v>20</v>
      </c>
      <c r="AE154" s="1">
        <f>VLOOKUP(A154,'SegEnds_NonXtal_Prot#'!A:AL,16,FALSE)-VLOOKUP(A154,'SegEnds_NonXtal_Prot#'!A:AL,10,FALSE)</f>
        <v>52</v>
      </c>
      <c r="AF154" s="1">
        <f>VLOOKUP(A154,'SegEnds_NonXtal_Prot#'!A:AL,22,FALSE)-VLOOKUP(A154,'SegEnds_NonXtal_Prot#'!A:AL,19,FALSE)</f>
        <v>20</v>
      </c>
      <c r="AG154" s="1">
        <f>VLOOKUP(A154,'SegEnds_NonXtal_Prot#'!A:AL,28,FALSE)-VLOOKUP(A154,'SegEnds_NonXtal_Prot#'!A:AL,25,FALSE)</f>
        <v>25</v>
      </c>
      <c r="AH154" s="1">
        <f>VLOOKUP(A154,'SegEnds_NonXtal_Prot#'!A:AL,28,FALSE)-VLOOKUP(A154,'SegEnds_NonXtal_Prot#'!A:AL,22,FALSE)</f>
        <v>51</v>
      </c>
      <c r="AI154" s="1">
        <f>VLOOKUP(A154,'SegEnds_NonXtal_Prot#'!A:AL,31,FALSE)-VLOOKUP(A154,'SegEnds_NonXtal_Prot#'!A:AL,28,FALSE)</f>
        <v>118</v>
      </c>
      <c r="AJ154" s="1">
        <f>VLOOKUP(A154,'SegEnds_NonXtal_Prot#'!A:AL,34,FALSE)-VLOOKUP(A154,'SegEnds_NonXtal_Prot#'!A:AL,31,FALSE)</f>
        <v>39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NoXtal</v>
      </c>
    </row>
    <row r="155" spans="1:38" x14ac:dyDescent="0.2">
      <c r="A155" s="1" t="s">
        <v>216</v>
      </c>
      <c r="B155" s="1" t="str">
        <f>VLOOKUP(A155,Xtal_Templ!A:B,2,FALSE)</f>
        <v>5ht2c_human</v>
      </c>
      <c r="C155" s="5">
        <f>VLOOKUP($B155&amp;"__wt",'SegEnds_Xtal_BW#'!$A:$Z,3,FALSE)</f>
        <v>33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"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08">
        <v>56</v>
      </c>
      <c r="O155" s="87">
        <f>VLOOKUP($B155&amp;"__wt",'SegEnds_Xtal_BW#'!$A:$Z,15,FALSE)</f>
        <v>38</v>
      </c>
      <c r="P155" s="1">
        <f>VLOOKUP($B155&amp;"__wt",'SegEnds_Xtal_BW#'!$A:$Z,16,FALSE)</f>
        <v>67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35</v>
      </c>
      <c r="T155" s="1">
        <f t="array" ref="T155">INDEX(ICL3_classA!$G$2:$G$37,MATCH(MIN(ABS(AI155-ICL3_classA!$F$2:$F$37)),ABS(AI155-ICL3_classA!$F$2:$F$37),0))</f>
        <v>68</v>
      </c>
      <c r="U155" s="1">
        <f t="array" ref="U155">INDEX(ICL3_classA!$H$2:$H$37,MATCH(MIN(ABS(AI155-ICL3_classA!$F$2:$F$37)),ABS(AI155-ICL3_classA!$F$2:$F$37),0))</f>
        <v>24</v>
      </c>
      <c r="V155" s="1">
        <v>61</v>
      </c>
      <c r="W155" s="132">
        <f>VLOOKUP($B155&amp;"__wt",'SegEnds_Xtal_BW#'!$A:$Z,23,FALSE)</f>
        <v>27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60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29</v>
      </c>
      <c r="AC155" s="1" t="e">
        <f>VLOOKUP(A155,'SegEnds_NonXtal_Prot#'!A:AL,10,FALSE)-VLOOKUP(A155,'SegEnds_NonXtal_Prot#'!A:AL,7,FALSE)</f>
        <v>#VALUE!</v>
      </c>
      <c r="AD155" s="1" t="e">
        <f>VLOOKUP(A155,'SegEnds_NonXtal_Prot#'!A:AL,13,FALSE)-VLOOKUP(A155,'SegEnds_NonXtal_Prot#'!A:AL,10,FALSE)</f>
        <v>#VALUE!</v>
      </c>
      <c r="AE155" s="1">
        <f>VLOOKUP(A155,'SegEnds_NonXtal_Prot#'!A:AL,16,FALSE)-VLOOKUP(A155,'SegEnds_NonXtal_Prot#'!A:AL,10,FALSE)</f>
        <v>53</v>
      </c>
      <c r="AF155" s="1">
        <f>VLOOKUP(A155,'SegEnds_NonXtal_Prot#'!A:AL,22,FALSE)-VLOOKUP(A155,'SegEnds_NonXtal_Prot#'!A:AL,19,FALSE)</f>
        <v>19</v>
      </c>
      <c r="AG155" s="1" t="e">
        <f>VLOOKUP(A155,'SegEnds_NonXtal_Prot#'!A:AL,28,FALSE)-VLOOKUP(A155,'SegEnds_NonXtal_Prot#'!A:AL,25,FALSE)</f>
        <v>#VALUE!</v>
      </c>
      <c r="AH155" s="1">
        <f>VLOOKUP(A155,'SegEnds_NonXtal_Prot#'!A:AL,28,FALSE)-VLOOKUP(A155,'SegEnds_NonXtal_Prot#'!A:AL,22,FALSE)</f>
        <v>43</v>
      </c>
      <c r="AI155" s="1">
        <f>VLOOKUP(A155,'SegEnds_NonXtal_Prot#'!A:AL,31,FALSE)-VLOOKUP(A155,'SegEnds_NonXtal_Prot#'!A:AL,28,FALSE)</f>
        <v>48</v>
      </c>
      <c r="AJ155" s="1">
        <f>VLOOKUP(A155,'SegEnds_NonXtal_Prot#'!A:AL,34,FALSE)-VLOOKUP(A155,'SegEnds_NonXtal_Prot#'!A:AL,31,FALSE)</f>
        <v>39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218</v>
      </c>
      <c r="B156" s="1" t="str">
        <f>VLOOKUP(A156,Xtal_Templ!A:B,2,FALSE)</f>
        <v>5ht2a_human</v>
      </c>
      <c r="C156" s="5">
        <f>VLOOKUP($B156&amp;"__wt",'SegEnds_Xtal_BW#'!$A:$Z,3,FALSE)</f>
        <v>27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">
        <v>67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08">
        <v>56</v>
      </c>
      <c r="O156" s="87">
        <f>VLOOKUP($B156&amp;"__wt",'SegEnds_Xtal_BW#'!$A:$Z,15,FALSE)</f>
        <v>38</v>
      </c>
      <c r="P156" s="1">
        <f>VLOOKUP($B156&amp;"__wt",'SegEnds_Xtal_BW#'!$A:$Z,16,FALSE)</f>
        <v>67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35</v>
      </c>
      <c r="T156" s="1">
        <f t="array" ref="T156">INDEX(ICL3_classA!$G$2:$G$37,MATCH(MIN(ABS(AI156-ICL3_classA!$F$2:$F$37)),ABS(AI156-ICL3_classA!$F$2:$F$37),0))</f>
        <v>67</v>
      </c>
      <c r="U156" s="1">
        <f t="array" ref="U156">INDEX(ICL3_classA!$H$2:$H$37,MATCH(MIN(ABS(AI156-ICL3_classA!$F$2:$F$37)),ABS(AI156-ICL3_classA!$F$2:$F$37),0))</f>
        <v>26</v>
      </c>
      <c r="V156" s="1">
        <v>61</v>
      </c>
      <c r="W156" s="132">
        <f>VLOOKUP($B156&amp;"__wt",'SegEnds_Xtal_BW#'!$A:$Z,23,FALSE)</f>
        <v>27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60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29</v>
      </c>
      <c r="AC156" s="1" t="e">
        <f>VLOOKUP(A156,'SegEnds_NonXtal_Prot#'!A:AL,10,FALSE)-VLOOKUP(A156,'SegEnds_NonXtal_Prot#'!A:AL,7,FALSE)</f>
        <v>#VALUE!</v>
      </c>
      <c r="AD156" s="1" t="e">
        <f>VLOOKUP(A156,'SegEnds_NonXtal_Prot#'!A:AL,13,FALSE)-VLOOKUP(A156,'SegEnds_NonXtal_Prot#'!A:AL,10,FALSE)</f>
        <v>#VALUE!</v>
      </c>
      <c r="AE156" s="1">
        <f>VLOOKUP(A156,'SegEnds_NonXtal_Prot#'!A:AL,16,FALSE)-VLOOKUP(A156,'SegEnds_NonXtal_Prot#'!A:AL,10,FALSE)</f>
        <v>53</v>
      </c>
      <c r="AF156" s="1">
        <f>VLOOKUP(A156,'SegEnds_NonXtal_Prot#'!A:AL,22,FALSE)-VLOOKUP(A156,'SegEnds_NonXtal_Prot#'!A:AL,19,FALSE)</f>
        <v>19</v>
      </c>
      <c r="AG156" s="1" t="e">
        <f>VLOOKUP(A156,'SegEnds_NonXtal_Prot#'!A:AL,28,FALSE)-VLOOKUP(A156,'SegEnds_NonXtal_Prot#'!A:AL,25,FALSE)</f>
        <v>#VALUE!</v>
      </c>
      <c r="AH156" s="1">
        <f>VLOOKUP(A156,'SegEnds_NonXtal_Prot#'!A:AL,28,FALSE)-VLOOKUP(A156,'SegEnds_NonXtal_Prot#'!A:AL,22,FALSE)</f>
        <v>43</v>
      </c>
      <c r="AI156" s="1">
        <f>VLOOKUP(A156,'SegEnds_NonXtal_Prot#'!A:AL,31,FALSE)-VLOOKUP(A156,'SegEnds_NonXtal_Prot#'!A:AL,28,FALSE)</f>
        <v>47</v>
      </c>
      <c r="AJ156" s="1">
        <f>VLOOKUP(A156,'SegEnds_NonXtal_Prot#'!A:AL,34,FALSE)-VLOOKUP(A156,'SegEnds_NonXtal_Prot#'!A:AL,31,FALSE)</f>
        <v>39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222</v>
      </c>
      <c r="B157" s="1" t="str">
        <f>VLOOKUP(A157,Xtal_Templ!A:B,2,FALSE)</f>
        <v>cxcr4_human</v>
      </c>
      <c r="C157" s="5">
        <f>VLOOKUP($B157&amp;"__wt",'SegEnds_Xtal_BW#'!$A:$Z,3,FALSE)</f>
        <v>24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66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f>VLOOKUP($B157&amp;"__wt",'SegEnds_Xtal_BW#'!$A:$Z,14,FALSE)</f>
        <v>57</v>
      </c>
      <c r="O157" s="87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32</v>
      </c>
      <c r="T157" s="1">
        <f t="array" ref="T157">INDEX(ICL3_classA!$G$2:$G$37,MATCH(MIN(ABS(AI157-ICL3_classA!$F$2:$F$37)),ABS(AI157-ICL3_classA!$F$2:$F$37),0))</f>
        <v>74</v>
      </c>
      <c r="U157" s="1">
        <f t="array" ref="U157">INDEX(ICL3_classA!$H$2:$H$37,MATCH(MIN(ABS(AI157-ICL3_classA!$F$2:$F$37)),ABS(AI157-ICL3_classA!$F$2:$F$37),0))</f>
        <v>21</v>
      </c>
      <c r="V157" s="1">
        <v>61</v>
      </c>
      <c r="W157" s="132">
        <f>VLOOKUP($B157&amp;"__wt",'SegEnds_Xtal_BW#'!$A:$Z,23,FALSE)</f>
        <v>24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59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33</v>
      </c>
      <c r="AC157" s="1" t="e">
        <f>VLOOKUP(A157,'SegEnds_NonXtal_Prot#'!A:AL,10,FALSE)-VLOOKUP(A157,'SegEnds_NonXtal_Prot#'!A:AL,7,FALSE)</f>
        <v>#VALUE!</v>
      </c>
      <c r="AD157" s="1" t="e">
        <f>VLOOKUP(A157,'SegEnds_NonXtal_Prot#'!A:AL,13,FALSE)-VLOOKUP(A157,'SegEnds_NonXtal_Prot#'!A:AL,10,FALSE)</f>
        <v>#VALUE!</v>
      </c>
      <c r="AE157" s="1">
        <f>VLOOKUP(A157,'SegEnds_NonXtal_Prot#'!A:AL,16,FALSE)-VLOOKUP(A157,'SegEnds_NonXtal_Prot#'!A:AL,10,FALSE)</f>
        <v>54</v>
      </c>
      <c r="AF157" s="1" t="e">
        <f>VLOOKUP(A157,'SegEnds_NonXtal_Prot#'!A:AL,22,FALSE)-VLOOKUP(A157,'SegEnds_NonXtal_Prot#'!A:AL,19,FALSE)</f>
        <v>#VALUE!</v>
      </c>
      <c r="AG157" s="1">
        <f>VLOOKUP(A157,'SegEnds_NonXtal_Prot#'!A:AL,28,FALSE)-VLOOKUP(A157,'SegEnds_NonXtal_Prot#'!A:AL,25,FALSE)</f>
        <v>27</v>
      </c>
      <c r="AH157" s="1">
        <f>VLOOKUP(A157,'SegEnds_NonXtal_Prot#'!A:AL,28,FALSE)-VLOOKUP(A157,'SegEnds_NonXtal_Prot#'!A:AL,22,FALSE)</f>
        <v>75</v>
      </c>
      <c r="AI157" s="1">
        <f>VLOOKUP(A157,'SegEnds_NonXtal_Prot#'!A:AL,31,FALSE)-VLOOKUP(A157,'SegEnds_NonXtal_Prot#'!A:AL,28,FALSE)</f>
        <v>66</v>
      </c>
      <c r="AJ157" s="1">
        <f>VLOOKUP(A157,'SegEnds_NonXtal_Prot#'!A:AL,34,FALSE)-VLOOKUP(A157,'SegEnds_NonXtal_Prot#'!A:AL,31,FALSE)</f>
        <v>39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NoXtal</v>
      </c>
    </row>
    <row r="158" spans="1:38" x14ac:dyDescent="0.2">
      <c r="A158" s="1" t="s">
        <v>255</v>
      </c>
      <c r="B158" s="1" t="str">
        <f>VLOOKUP(A158,Xtal_Templ!A:B,2,FALSE)</f>
        <v>ednrb_human</v>
      </c>
      <c r="C158" s="5">
        <f>VLOOKUP($B158&amp;"__wt",'SegEnds_Xtal_BW#'!$A:$Z,3,FALSE)</f>
        <v>22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52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7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28</v>
      </c>
      <c r="T158" s="1">
        <f t="array" ref="T158">INDEX(ICL3_classA!$G$2:$G$37,MATCH(MIN(ABS(AI158-ICL3_classA!$F$2:$F$37)),ABS(AI158-ICL3_classA!$F$2:$F$37),0))</f>
        <v>72</v>
      </c>
      <c r="U158" s="1">
        <f t="array" ref="U158">INDEX(ICL3_classA!$H$2:$H$37,MATCH(MIN(ABS(AI158-ICL3_classA!$F$2:$F$37)),ABS(AI158-ICL3_classA!$F$2:$F$37),0))</f>
        <v>24</v>
      </c>
      <c r="V158" s="1">
        <v>61</v>
      </c>
      <c r="W158" s="132">
        <f>VLOOKUP($B158&amp;"__wt",'SegEnds_Xtal_BW#'!$A:$Z,23,FALSE)</f>
        <v>24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60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>
        <f>VLOOKUP(A158,'SegEnds_NonXtal_Prot#'!A:AL,10,FALSE)-VLOOKUP(A158,'SegEnds_NonXtal_Prot#'!A:AL,7,FALSE)</f>
        <v>15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52</v>
      </c>
      <c r="AF158" s="1">
        <f>VLOOKUP(A158,'SegEnds_NonXtal_Prot#'!A:AL,22,FALSE)-VLOOKUP(A158,'SegEnds_NonXtal_Prot#'!A:AL,19,FALSE)</f>
        <v>20</v>
      </c>
      <c r="AG158" s="1">
        <f>VLOOKUP(A158,'SegEnds_NonXtal_Prot#'!A:AL,28,FALSE)-VLOOKUP(A158,'SegEnds_NonXtal_Prot#'!A:AL,25,FALSE)</f>
        <v>35</v>
      </c>
      <c r="AH158" s="1">
        <f>VLOOKUP(A158,'SegEnds_NonXtal_Prot#'!A:AL,28,FALSE)-VLOOKUP(A158,'SegEnds_NonXtal_Prot#'!A:AL,22,FALSE)</f>
        <v>67</v>
      </c>
      <c r="AI158" s="1">
        <f>VLOOKUP(A158,'SegEnds_NonXtal_Prot#'!A:AL,31,FALSE)-VLOOKUP(A158,'SegEnds_NonXtal_Prot#'!A:AL,28,FALSE)</f>
        <v>53</v>
      </c>
      <c r="AJ158" s="1">
        <f>VLOOKUP(A158,'SegEnds_NonXtal_Prot#'!A:AL,34,FALSE)-VLOOKUP(A158,'SegEnds_NonXtal_Prot#'!A:AL,31,FALSE)</f>
        <v>39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259</v>
      </c>
      <c r="B159" s="1" t="str">
        <f>VLOOKUP(A159,Xtal_Templ!A:B,2,FALSE)</f>
        <v>5ht1b_human</v>
      </c>
      <c r="C159" s="5">
        <f>VLOOKUP($B159&amp;"__wt",'SegEnds_Xtal_BW#'!$A:$Z,3,FALSE)</f>
        <v>28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68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7">
        <v>38</v>
      </c>
      <c r="P159" s="1">
        <f>VLOOKUP($B159&amp;"__wt",'SegEnds_Xtal_BW#'!$A:$Z,16,FALSE)</f>
        <v>63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v>35</v>
      </c>
      <c r="T159" s="1">
        <f t="array" ref="T159">INDEX(ICL3_classA!$G$2:$G$37,MATCH(MIN(ABS(AI159-ICL3_classA!$F$2:$F$37)),ABS(AI159-ICL3_classA!$F$2:$F$37),0))</f>
        <v>76</v>
      </c>
      <c r="U159" s="1">
        <f t="array" ref="U159">INDEX(ICL3_classA!$H$2:$H$37,MATCH(MIN(ABS(AI159-ICL3_classA!$F$2:$F$37)),ABS(AI159-ICL3_classA!$F$2:$F$37),0))</f>
        <v>24</v>
      </c>
      <c r="V159" s="1">
        <v>61</v>
      </c>
      <c r="W159" s="132">
        <f>VLOOKUP($B159&amp;"__wt",'SegEnds_Xtal_BW#'!$A:$Z,23,FALSE)</f>
        <v>31</v>
      </c>
      <c r="X159" s="125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58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28</v>
      </c>
      <c r="AC159" s="1">
        <f>VLOOKUP(A159,'SegEnds_NonXtal_Prot#'!A:AL,10,FALSE)-VLOOKUP(A159,'SegEnds_NonXtal_Prot#'!A:AL,7,FALSE)</f>
        <v>15</v>
      </c>
      <c r="AD159" s="1">
        <f>VLOOKUP(A159,'SegEnds_NonXtal_Prot#'!A:AL,13,FALSE)-VLOOKUP(A159,'SegEnds_NonXtal_Prot#'!A:AL,10,FALSE)</f>
        <v>20</v>
      </c>
      <c r="AE159" s="1">
        <f>VLOOKUP(A159,'SegEnds_NonXtal_Prot#'!A:AL,16,FALSE)-VLOOKUP(A159,'SegEnds_NonXtal_Prot#'!A:AL,10,FALSE)</f>
        <v>52</v>
      </c>
      <c r="AF159" s="1" t="e">
        <f>VLOOKUP(A159,'SegEnds_NonXtal_Prot#'!A:AL,22,FALSE)-VLOOKUP(A159,'SegEnds_NonXtal_Prot#'!A:AL,19,FALSE)</f>
        <v>#VALUE!</v>
      </c>
      <c r="AG159" s="1">
        <f>VLOOKUP(A159,'SegEnds_NonXtal_Prot#'!A:AL,28,FALSE)-VLOOKUP(A159,'SegEnds_NonXtal_Prot#'!A:AL,25,FALSE)</f>
        <v>25</v>
      </c>
      <c r="AH159" s="1">
        <f>VLOOKUP(A159,'SegEnds_NonXtal_Prot#'!A:AL,28,FALSE)-VLOOKUP(A159,'SegEnds_NonXtal_Prot#'!A:AL,22,FALSE)</f>
        <v>51</v>
      </c>
      <c r="AI159" s="1">
        <f>VLOOKUP(A159,'SegEnds_NonXtal_Prot#'!A:AL,31,FALSE)-VLOOKUP(A159,'SegEnds_NonXtal_Prot#'!A:AL,28,FALSE)</f>
        <v>75</v>
      </c>
      <c r="AJ159" s="1">
        <f>VLOOKUP(A159,'SegEnds_NonXtal_Prot#'!A:AL,34,FALSE)-VLOOKUP(A159,'SegEnds_NonXtal_Prot#'!A:AL,31,FALSE)</f>
        <v>39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NoXtal</v>
      </c>
    </row>
    <row r="160" spans="1:38" x14ac:dyDescent="0.2">
      <c r="A160" s="1" t="s">
        <v>265</v>
      </c>
      <c r="B160" s="1" t="str">
        <f>VLOOKUP(A160,Xtal_Templ!A:B,2,FALSE)</f>
        <v>drd2_human</v>
      </c>
      <c r="C160" s="5">
        <f>VLOOKUP($B160&amp;"__wt",'SegEnds_Xtal_BW#'!$A:$Z,3,FALSE)</f>
        <v>29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f>VLOOKUP($B160&amp;"__wt",'SegEnds_Xtal_BW#'!$A:$Z,8,FALSE)</f>
        <v>68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f>VLOOKUP($B160&amp;"__wt",'SegEnds_Xtal_BW#'!$A:$Z,14,FALSE)</f>
        <v>58</v>
      </c>
      <c r="O160" s="87">
        <v>38</v>
      </c>
      <c r="P160" s="1">
        <f>VLOOKUP($B160&amp;"__wt",'SegEnds_Xtal_BW#'!$A:$Z,16,FALSE)</f>
        <v>62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v>35</v>
      </c>
      <c r="T160" s="1">
        <f t="array" ref="T160">INDEX(ICL3_classA!$G$2:$G$37,MATCH(MIN(ABS(AI160-ICL3_classA!$F$2:$F$37)),ABS(AI160-ICL3_classA!$F$2:$F$37),0))</f>
        <v>76</v>
      </c>
      <c r="U160" s="1">
        <f t="array" ref="U160">INDEX(ICL3_classA!$H$2:$H$37,MATCH(MIN(ABS(AI160-ICL3_classA!$F$2:$F$37)),ABS(AI160-ICL3_classA!$F$2:$F$37),0))</f>
        <v>24</v>
      </c>
      <c r="V160" s="1">
        <v>61</v>
      </c>
      <c r="W160" s="132">
        <f>VLOOKUP($B160&amp;"__wt",'SegEnds_Xtal_BW#'!$A:$Z,23,FALSE)</f>
        <v>31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59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>
        <f>VLOOKUP(A160,'SegEnds_NonXtal_Prot#'!A:AL,10,FALSE)-VLOOKUP(A160,'SegEnds_NonXtal_Prot#'!A:AL,7,FALSE)</f>
        <v>15</v>
      </c>
      <c r="AD160" s="1">
        <f>VLOOKUP(A160,'SegEnds_NonXtal_Prot#'!A:AL,13,FALSE)-VLOOKUP(A160,'SegEnds_NonXtal_Prot#'!A:AL,10,FALSE)</f>
        <v>20</v>
      </c>
      <c r="AE160" s="1">
        <f>VLOOKUP(A160,'SegEnds_NonXtal_Prot#'!A:AL,16,FALSE)-VLOOKUP(A160,'SegEnds_NonXtal_Prot#'!A:AL,10,FALSE)</f>
        <v>52</v>
      </c>
      <c r="AF160" s="1" t="e">
        <f>VLOOKUP(A160,'SegEnds_NonXtal_Prot#'!A:AL,22,FALSE)-VLOOKUP(A160,'SegEnds_NonXtal_Prot#'!A:AL,19,FALSE)</f>
        <v>#VALUE!</v>
      </c>
      <c r="AG160" s="1">
        <f>VLOOKUP(A160,'SegEnds_NonXtal_Prot#'!A:AL,28,FALSE)-VLOOKUP(A160,'SegEnds_NonXtal_Prot#'!A:AL,25,FALSE)</f>
        <v>25</v>
      </c>
      <c r="AH160" s="1">
        <f>VLOOKUP(A160,'SegEnds_NonXtal_Prot#'!A:AL,28,FALSE)-VLOOKUP(A160,'SegEnds_NonXtal_Prot#'!A:AL,22,FALSE)</f>
        <v>51</v>
      </c>
      <c r="AI160" s="1">
        <f>VLOOKUP(A160,'SegEnds_NonXtal_Prot#'!A:AL,31,FALSE)-VLOOKUP(A160,'SegEnds_NonXtal_Prot#'!A:AL,28,FALSE)</f>
        <v>75</v>
      </c>
      <c r="AJ160" s="1">
        <f>VLOOKUP(A160,'SegEnds_NonXtal_Prot#'!A:AL,34,FALSE)-VLOOKUP(A160,'SegEnds_NonXtal_Prot#'!A:AL,31,FALSE)</f>
        <v>39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296</v>
      </c>
      <c r="B161" s="1" t="str">
        <f>VLOOKUP(A161,Xtal_Templ!A:B,2,FALSE)</f>
        <v>lpar1_human</v>
      </c>
      <c r="C161" s="5">
        <f>VLOOKUP($B161&amp;"__wt",'SegEnds_Xtal_BW#'!$A:$Z,3,FALSE)</f>
        <v>30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v>67</v>
      </c>
      <c r="I161" s="1" t="s">
        <v>23</v>
      </c>
      <c r="J161" s="1" t="s">
        <v>23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63</v>
      </c>
      <c r="Q161" s="1" t="str">
        <f>VLOOKUP($B161&amp;"__wt",'SegEnds_Xtal_BW#'!$A:$Z,17,FALSE)</f>
        <v>-</v>
      </c>
      <c r="R161" s="1" t="str">
        <f>VLOOKUP($B161&amp;"__wt",'SegEnds_Xtal_BW#'!$A:$Z,18,FALSE)</f>
        <v>-</v>
      </c>
      <c r="S161" s="108">
        <v>33</v>
      </c>
      <c r="T161" s="1">
        <f t="array" ref="T161">INDEX(ICL3_classA!$G$2:$G$37,MATCH(MIN(ABS(AI161-ICL3_classA!$F$2:$F$37)),ABS(AI161-ICL3_classA!$F$2:$F$37),0))</f>
        <v>68</v>
      </c>
      <c r="U161" s="108">
        <v>27</v>
      </c>
      <c r="V161" s="1">
        <v>61</v>
      </c>
      <c r="W161" s="132">
        <f>VLOOKUP($B161&amp;"__wt",'SegEnds_Xtal_BW#'!$A:$Z,23,FALSE)</f>
        <v>30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28</v>
      </c>
      <c r="AC161" s="1">
        <f>VLOOKUP(A161,'SegEnds_NonXtal_Prot#'!A:AL,10,FALSE)-VLOOKUP(A161,'SegEnds_NonXtal_Prot#'!A:AL,7,FALSE)</f>
        <v>15</v>
      </c>
      <c r="AD161" s="1" t="e">
        <f>VLOOKUP(A161,'SegEnds_NonXtal_Prot#'!A:AL,13,FALSE)-VLOOKUP(A161,'SegEnds_NonXtal_Prot#'!A:AL,10,FALSE)</f>
        <v>#VALUE!</v>
      </c>
      <c r="AE161" s="1">
        <f>VLOOKUP(A161,'SegEnds_NonXtal_Prot#'!A:AL,16,FALSE)-VLOOKUP(A161,'SegEnds_NonXtal_Prot#'!A:AL,10,FALSE)</f>
        <v>58</v>
      </c>
      <c r="AF161" s="1">
        <f>VLOOKUP(A161,'SegEnds_NonXtal_Prot#'!A:AL,22,FALSE)-VLOOKUP(A161,'SegEnds_NonXtal_Prot#'!A:AL,19,FALSE)</f>
        <v>20</v>
      </c>
      <c r="AG161" s="1" t="e">
        <f>VLOOKUP(A161,'SegEnds_NonXtal_Prot#'!A:AL,28,FALSE)-VLOOKUP(A161,'SegEnds_NonXtal_Prot#'!A:AL,25,FALSE)</f>
        <v>#VALUE!</v>
      </c>
      <c r="AH161" s="1">
        <f>VLOOKUP(A161,'SegEnds_NonXtal_Prot#'!A:AL,28,FALSE)-VLOOKUP(A161,'SegEnds_NonXtal_Prot#'!A:AL,22,FALSE)</f>
        <v>40</v>
      </c>
      <c r="AI161" s="1">
        <f>VLOOKUP(A161,'SegEnds_NonXtal_Prot#'!A:AL,31,FALSE)-VLOOKUP(A161,'SegEnds_NonXtal_Prot#'!A:AL,28,FALSE)</f>
        <v>48</v>
      </c>
      <c r="AJ161" s="1">
        <f>VLOOKUP(A161,'SegEnds_NonXtal_Prot#'!A:AL,34,FALSE)-VLOOKUP(A161,'SegEnds_NonXtal_Prot#'!A:AL,31,FALSE)</f>
        <v>39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297</v>
      </c>
      <c r="B162" s="1" t="str">
        <f>VLOOKUP(A162,Xtal_Templ!A:B,2,FALSE)</f>
        <v>s1pr1_human</v>
      </c>
      <c r="C162" s="5">
        <f>VLOOKUP($B162&amp;"__wt",'SegEnds_Xtal_BW#'!$A:$Z,3,FALSE)</f>
        <v>29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v>67</v>
      </c>
      <c r="I162" s="1" t="s">
        <v>23</v>
      </c>
      <c r="J162" s="1" t="s">
        <v>23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f>VLOOKUP($B162&amp;"__wt",'SegEnds_Xtal_BW#'!$A:$Z,15,FALSE)</f>
        <v>38</v>
      </c>
      <c r="P162" s="1">
        <f>VLOOKUP($B162&amp;"__wt",'SegEnds_Xtal_BW#'!$A:$Z,16,FALSE)</f>
        <v>63</v>
      </c>
      <c r="Q162" s="1" t="str">
        <f>VLOOKUP($B162&amp;"__wt",'SegEnds_Xtal_BW#'!$A:$Z,17,FALSE)</f>
        <v>-</v>
      </c>
      <c r="R162" s="1" t="str">
        <f>VLOOKUP($B162&amp;"__wt",'SegEnds_Xtal_BW#'!$A:$Z,18,FALSE)</f>
        <v>-</v>
      </c>
      <c r="S162" s="108">
        <v>33</v>
      </c>
      <c r="T162" s="1">
        <f t="array" ref="T162">INDEX(ICL3_classA!$G$2:$G$37,MATCH(MIN(ABS(AI162-ICL3_classA!$F$2:$F$37)),ABS(AI162-ICL3_classA!$F$2:$F$37),0))</f>
        <v>67</v>
      </c>
      <c r="U162" s="108">
        <v>27</v>
      </c>
      <c r="V162" s="1">
        <v>61</v>
      </c>
      <c r="W162" s="132">
        <f>VLOOKUP($B162&amp;"__wt",'SegEnds_Xtal_BW#'!$A:$Z,23,FALSE)</f>
        <v>30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59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>
        <f>VLOOKUP(A162,'SegEnds_NonXtal_Prot#'!A:AL,10,FALSE)-VLOOKUP(A162,'SegEnds_NonXtal_Prot#'!A:AL,7,FALSE)</f>
        <v>15</v>
      </c>
      <c r="AD162" s="1" t="e">
        <f>VLOOKUP(A162,'SegEnds_NonXtal_Prot#'!A:AL,13,FALSE)-VLOOKUP(A162,'SegEnds_NonXtal_Prot#'!A:AL,10,FALSE)</f>
        <v>#VALUE!</v>
      </c>
      <c r="AE162" s="1">
        <f>VLOOKUP(A162,'SegEnds_NonXtal_Prot#'!A:AL,16,FALSE)-VLOOKUP(A162,'SegEnds_NonXtal_Prot#'!A:AL,10,FALSE)</f>
        <v>57</v>
      </c>
      <c r="AF162" s="1">
        <f>VLOOKUP(A162,'SegEnds_NonXtal_Prot#'!A:AL,22,FALSE)-VLOOKUP(A162,'SegEnds_NonXtal_Prot#'!A:AL,19,FALSE)</f>
        <v>20</v>
      </c>
      <c r="AG162" s="1" t="e">
        <f>VLOOKUP(A162,'SegEnds_NonXtal_Prot#'!A:AL,28,FALSE)-VLOOKUP(A162,'SegEnds_NonXtal_Prot#'!A:AL,25,FALSE)</f>
        <v>#VALUE!</v>
      </c>
      <c r="AH162" s="1">
        <f>VLOOKUP(A162,'SegEnds_NonXtal_Prot#'!A:AL,28,FALSE)-VLOOKUP(A162,'SegEnds_NonXtal_Prot#'!A:AL,22,FALSE)</f>
        <v>40</v>
      </c>
      <c r="AI162" s="1">
        <f>VLOOKUP(A162,'SegEnds_NonXtal_Prot#'!A:AL,31,FALSE)-VLOOKUP(A162,'SegEnds_NonXtal_Prot#'!A:AL,28,FALSE)</f>
        <v>46</v>
      </c>
      <c r="AJ162" s="1">
        <f>VLOOKUP(A162,'SegEnds_NonXtal_Prot#'!A:AL,34,FALSE)-VLOOKUP(A162,'SegEnds_NonXtal_Prot#'!A:AL,31,FALSE)</f>
        <v>39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298</v>
      </c>
      <c r="B163" s="1" t="str">
        <f>VLOOKUP(A163,Xtal_Templ!A:B,2,FALSE)</f>
        <v>lpar1_human</v>
      </c>
      <c r="C163" s="5">
        <f>VLOOKUP($B163&amp;"__wt",'SegEnds_Xtal_BW#'!$A:$Z,3,FALSE)</f>
        <v>30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63</v>
      </c>
      <c r="I163" s="1">
        <v>49</v>
      </c>
      <c r="J163" s="1">
        <f>VLOOKUP($B163&amp;"__wt",'SegEnds_Xtal_BW#'!$A:$Z,10,FALSE)</f>
        <v>53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7">
        <f>VLOOKUP($B163&amp;"__wt",'SegEnds_Xtal_BW#'!$A:$Z,15,FALSE)</f>
        <v>38</v>
      </c>
      <c r="P163" s="1">
        <f>VLOOKUP($B163&amp;"__wt",'SegEnds_Xtal_BW#'!$A:$Z,16,FALSE)</f>
        <v>63</v>
      </c>
      <c r="Q163" s="1" t="str">
        <f>VLOOKUP($B163&amp;"__wt",'SegEnds_Xtal_BW#'!$A:$Z,17,FALSE)</f>
        <v>-</v>
      </c>
      <c r="R163" s="1" t="str">
        <f>VLOOKUP($B163&amp;"__wt",'SegEnds_Xtal_BW#'!$A:$Z,18,FALSE)</f>
        <v>-</v>
      </c>
      <c r="S163" s="108">
        <v>33</v>
      </c>
      <c r="T163" s="1">
        <f t="array" ref="T163">INDEX(ICL3_classA!$G$2:$G$37,MATCH(MIN(ABS(AI163-ICL3_classA!$F$2:$F$37)),ABS(AI163-ICL3_classA!$F$2:$F$37),0))</f>
        <v>67</v>
      </c>
      <c r="U163" s="108">
        <v>27</v>
      </c>
      <c r="V163" s="1">
        <v>61</v>
      </c>
      <c r="W163" s="132">
        <f>VLOOKUP($B163&amp;"__wt",'SegEnds_Xtal_BW#'!$A:$Z,23,FALSE)</f>
        <v>30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59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>
        <f>VLOOKUP(A163,'SegEnds_NonXtal_Prot#'!A:AL,10,FALSE)-VLOOKUP(A163,'SegEnds_NonXtal_Prot#'!A:AL,7,FALSE)</f>
        <v>15</v>
      </c>
      <c r="AD163" s="1" t="e">
        <f>VLOOKUP(A163,'SegEnds_NonXtal_Prot#'!A:AL,13,FALSE)-VLOOKUP(A163,'SegEnds_NonXtal_Prot#'!A:AL,10,FALSE)</f>
        <v>#VALUE!</v>
      </c>
      <c r="AE163" s="1">
        <f>VLOOKUP(A163,'SegEnds_NonXtal_Prot#'!A:AL,16,FALSE)-VLOOKUP(A163,'SegEnds_NonXtal_Prot#'!A:AL,10,FALSE)</f>
        <v>58</v>
      </c>
      <c r="AF163" s="1">
        <f>VLOOKUP(A163,'SegEnds_NonXtal_Prot#'!A:AL,22,FALSE)-VLOOKUP(A163,'SegEnds_NonXtal_Prot#'!A:AL,19,FALSE)</f>
        <v>20</v>
      </c>
      <c r="AG163" s="1" t="e">
        <f>VLOOKUP(A163,'SegEnds_NonXtal_Prot#'!A:AL,28,FALSE)-VLOOKUP(A163,'SegEnds_NonXtal_Prot#'!A:AL,25,FALSE)</f>
        <v>#VALUE!</v>
      </c>
      <c r="AH163" s="1">
        <f>VLOOKUP(A163,'SegEnds_NonXtal_Prot#'!A:AL,28,FALSE)-VLOOKUP(A163,'SegEnds_NonXtal_Prot#'!A:AL,22,FALSE)</f>
        <v>40</v>
      </c>
      <c r="AI163" s="1">
        <f>VLOOKUP(A163,'SegEnds_NonXtal_Prot#'!A:AL,31,FALSE)-VLOOKUP(A163,'SegEnds_NonXtal_Prot#'!A:AL,28,FALSE)</f>
        <v>46</v>
      </c>
      <c r="AJ163" s="1">
        <f>VLOOKUP(A163,'SegEnds_NonXtal_Prot#'!A:AL,34,FALSE)-VLOOKUP(A163,'SegEnds_NonXtal_Prot#'!A:AL,31,FALSE)</f>
        <v>39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1" t="s">
        <v>309</v>
      </c>
      <c r="B164" s="1" t="str">
        <f>VLOOKUP(A164,Xtal_Templ!A:B,2,FALSE)</f>
        <v>s1pr1_human</v>
      </c>
      <c r="C164" s="5">
        <f>VLOOKUP($B164&amp;"__wt",'SegEnds_Xtal_BW#'!$A:$Z,3,FALSE)</f>
        <v>29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v>67</v>
      </c>
      <c r="I164" s="1" t="s">
        <v>23</v>
      </c>
      <c r="J164" s="1" t="s">
        <v>23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7">
        <f>VLOOKUP($B164&amp;"__wt",'SegEnds_Xtal_BW#'!$A:$Z,15,FALSE)</f>
        <v>38</v>
      </c>
      <c r="P164" s="1">
        <f>VLOOKUP($B164&amp;"__wt",'SegEnds_Xtal_BW#'!$A:$Z,16,FALSE)</f>
        <v>63</v>
      </c>
      <c r="Q164" s="1" t="str">
        <f>VLOOKUP($B164&amp;"__wt",'SegEnds_Xtal_BW#'!$A:$Z,17,FALSE)</f>
        <v>-</v>
      </c>
      <c r="R164" s="1" t="str">
        <f>VLOOKUP($B164&amp;"__wt",'SegEnds_Xtal_BW#'!$A:$Z,18,FALSE)</f>
        <v>-</v>
      </c>
      <c r="S164" s="108">
        <v>33</v>
      </c>
      <c r="T164" s="1">
        <f t="array" ref="T164">INDEX(ICL3_classA!$G$2:$G$37,MATCH(MIN(ABS(AI164-ICL3_classA!$F$2:$F$37)),ABS(AI164-ICL3_classA!$F$2:$F$37),0))</f>
        <v>67</v>
      </c>
      <c r="U164" s="108">
        <v>27</v>
      </c>
      <c r="V164" s="1">
        <v>61</v>
      </c>
      <c r="W164" s="132">
        <f>VLOOKUP($B164&amp;"__wt",'SegEnds_Xtal_BW#'!$A:$Z,23,FALSE)</f>
        <v>30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28</v>
      </c>
      <c r="AC164" s="1">
        <f>VLOOKUP(A164,'SegEnds_NonXtal_Prot#'!A:AL,10,FALSE)-VLOOKUP(A164,'SegEnds_NonXtal_Prot#'!A:AL,7,FALSE)</f>
        <v>15</v>
      </c>
      <c r="AD164" s="1" t="e">
        <f>VLOOKUP(A164,'SegEnds_NonXtal_Prot#'!A:AL,13,FALSE)-VLOOKUP(A164,'SegEnds_NonXtal_Prot#'!A:AL,10,FALSE)</f>
        <v>#VALUE!</v>
      </c>
      <c r="AE164" s="1">
        <f>VLOOKUP(A164,'SegEnds_NonXtal_Prot#'!A:AL,16,FALSE)-VLOOKUP(A164,'SegEnds_NonXtal_Prot#'!A:AL,10,FALSE)</f>
        <v>58</v>
      </c>
      <c r="AF164" s="1">
        <f>VLOOKUP(A164,'SegEnds_NonXtal_Prot#'!A:AL,22,FALSE)-VLOOKUP(A164,'SegEnds_NonXtal_Prot#'!A:AL,19,FALSE)</f>
        <v>20</v>
      </c>
      <c r="AG164" s="1" t="e">
        <f>VLOOKUP(A164,'SegEnds_NonXtal_Prot#'!A:AL,28,FALSE)-VLOOKUP(A164,'SegEnds_NonXtal_Prot#'!A:AL,25,FALSE)</f>
        <v>#VALUE!</v>
      </c>
      <c r="AH164" s="1">
        <f>VLOOKUP(A164,'SegEnds_NonXtal_Prot#'!A:AL,28,FALSE)-VLOOKUP(A164,'SegEnds_NonXtal_Prot#'!A:AL,22,FALSE)</f>
        <v>40</v>
      </c>
      <c r="AI164" s="1">
        <f>VLOOKUP(A164,'SegEnds_NonXtal_Prot#'!A:AL,31,FALSE)-VLOOKUP(A164,'SegEnds_NonXtal_Prot#'!A:AL,28,FALSE)</f>
        <v>47</v>
      </c>
      <c r="AJ164" s="1">
        <f>VLOOKUP(A164,'SegEnds_NonXtal_Prot#'!A:AL,34,FALSE)-VLOOKUP(A164,'SegEnds_NonXtal_Prot#'!A:AL,31,FALSE)</f>
        <v>39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NoXtal</v>
      </c>
    </row>
    <row r="165" spans="1:38" x14ac:dyDescent="0.2">
      <c r="A165" s="1" t="s">
        <v>310</v>
      </c>
      <c r="B165" s="1" t="str">
        <f>VLOOKUP(A165,Xtal_Templ!A:B,2,FALSE)</f>
        <v>ntr1_rat</v>
      </c>
      <c r="C165" s="5">
        <f>VLOOKUP($B165&amp;"__wt",'SegEnds_Xtal_BW#'!$A:$Z,3,FALSE)</f>
        <v>29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67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7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32</v>
      </c>
      <c r="T165" s="1">
        <f t="array" ref="T165">INDEX(ICL3_classA!$G$2:$G$37,MATCH(MIN(ABS(AI165-ICL3_classA!$F$2:$F$37)),ABS(AI165-ICL3_classA!$F$2:$F$37),0))</f>
        <v>72</v>
      </c>
      <c r="U165" s="1">
        <f t="array" ref="U165">INDEX(ICL3_classA!$H$2:$H$37,MATCH(MIN(ABS(AI165-ICL3_classA!$F$2:$F$37)),ABS(AI165-ICL3_classA!$F$2:$F$37),0))</f>
        <v>24</v>
      </c>
      <c r="V165" s="1">
        <v>61</v>
      </c>
      <c r="W165" s="132">
        <f>VLOOKUP($B165&amp;"__wt",'SegEnds_Xtal_BW#'!$A:$Z,23,FALSE)</f>
        <v>24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20</v>
      </c>
      <c r="AE165" s="1">
        <f>VLOOKUP(A165,'SegEnds_NonXtal_Prot#'!A:AL,16,FALSE)-VLOOKUP(A165,'SegEnds_NonXtal_Prot#'!A:AL,10,FALSE)</f>
        <v>52</v>
      </c>
      <c r="AF165" s="1">
        <f>VLOOKUP(A165,'SegEnds_NonXtal_Prot#'!A:AL,22,FALSE)-VLOOKUP(A165,'SegEnds_NonXtal_Prot#'!A:AL,19,FALSE)</f>
        <v>20</v>
      </c>
      <c r="AG165" s="1">
        <f>VLOOKUP(A165,'SegEnds_NonXtal_Prot#'!A:AL,28,FALSE)-VLOOKUP(A165,'SegEnds_NonXtal_Prot#'!A:AL,25,FALSE)</f>
        <v>24</v>
      </c>
      <c r="AH165" s="1">
        <f>VLOOKUP(A165,'SegEnds_NonXtal_Prot#'!A:AL,28,FALSE)-VLOOKUP(A165,'SegEnds_NonXtal_Prot#'!A:AL,22,FALSE)</f>
        <v>96</v>
      </c>
      <c r="AI165" s="1">
        <f>VLOOKUP(A165,'SegEnds_NonXtal_Prot#'!A:AL,31,FALSE)-VLOOKUP(A165,'SegEnds_NonXtal_Prot#'!A:AL,28,FALSE)</f>
        <v>54</v>
      </c>
      <c r="AJ165" s="1">
        <f>VLOOKUP(A165,'SegEnds_NonXtal_Prot#'!A:AL,34,FALSE)-VLOOKUP(A165,'SegEnds_NonXtal_Prot#'!A:AL,31,FALSE)</f>
        <v>39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311</v>
      </c>
      <c r="B166" s="1" t="str">
        <f>VLOOKUP(A166,Xtal_Templ!A:B,2,FALSE)</f>
        <v>mtr1a_human</v>
      </c>
      <c r="C166" s="5">
        <f>VLOOKUP($B166&amp;"__wt",'SegEnds_Xtal_BW#'!$A:$Z,3,FALSE)</f>
        <v>28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f>VLOOKUP($B166&amp;"__wt",'SegEnds_Xtal_BW#'!$A:$Z,15,FALSE)</f>
        <v>38</v>
      </c>
      <c r="P166" s="1">
        <f>VLOOKUP($B166&amp;"__wt",'SegEnds_Xtal_BW#'!$A:$Z,16,FALSE)</f>
        <v>64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35</v>
      </c>
      <c r="T166" s="1">
        <f t="array" ref="T166">INDEX(ICL3_classA!$G$2:$G$37,MATCH(MIN(ABS(AI166-ICL3_classA!$F$2:$F$37)),ABS(AI166-ICL3_classA!$F$2:$F$37),0))</f>
        <v>72</v>
      </c>
      <c r="U166" s="1">
        <f t="array" ref="U166">INDEX(ICL3_classA!$H$2:$H$37,MATCH(MIN(ABS(AI166-ICL3_classA!$F$2:$F$37)),ABS(AI166-ICL3_classA!$F$2:$F$37),0))</f>
        <v>24</v>
      </c>
      <c r="V166" s="1">
        <v>61</v>
      </c>
      <c r="W166" s="132">
        <f>VLOOKUP($B166&amp;"__wt",'SegEnds_Xtal_BW#'!$A:$Z,23,FALSE)</f>
        <v>31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63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>
        <f>VLOOKUP(A166,'SegEnds_NonXtal_Prot#'!A:AL,13,FALSE)-VLOOKUP(A166,'SegEnds_NonXtal_Prot#'!A:AL,10,FALSE)</f>
        <v>20</v>
      </c>
      <c r="AE166" s="1">
        <f>VLOOKUP(A166,'SegEnds_NonXtal_Prot#'!A:AL,16,FALSE)-VLOOKUP(A166,'SegEnds_NonXtal_Prot#'!A:AL,10,FALSE)</f>
        <v>52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22</v>
      </c>
      <c r="AH166" s="1">
        <f>VLOOKUP(A166,'SegEnds_NonXtal_Prot#'!A:AL,28,FALSE)-VLOOKUP(A166,'SegEnds_NonXtal_Prot#'!A:AL,22,FALSE)</f>
        <v>47</v>
      </c>
      <c r="AI166" s="1">
        <f>VLOOKUP(A166,'SegEnds_NonXtal_Prot#'!A:AL,31,FALSE)-VLOOKUP(A166,'SegEnds_NonXtal_Prot#'!A:AL,28,FALSE)</f>
        <v>54</v>
      </c>
      <c r="AJ166" s="1">
        <f>VLOOKUP(A166,'SegEnds_NonXtal_Prot#'!A:AL,34,FALSE)-VLOOKUP(A166,'SegEnds_NonXtal_Prot#'!A:AL,31,FALSE)</f>
        <v>39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Xtal</v>
      </c>
    </row>
    <row r="167" spans="1:38" x14ac:dyDescent="0.2">
      <c r="A167" s="1" t="s">
        <v>312</v>
      </c>
      <c r="B167" s="1" t="str">
        <f>VLOOKUP(A167,Xtal_Templ!A:B,2,FALSE)</f>
        <v>mtr1b_human</v>
      </c>
      <c r="C167" s="5">
        <f>VLOOKUP($B167&amp;"__wt",'SegEnds_Xtal_BW#'!$A:$Z,3,FALSE)</f>
        <v>30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68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7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INDEX(ICL3_classA!$G$2:$G$37,MATCH(MIN(ABS(AI167-ICL3_classA!$F$2:$F$37)),ABS(AI167-ICL3_classA!$F$2:$F$37),0))</f>
        <v>72</v>
      </c>
      <c r="U167" s="1">
        <f t="array" ref="U167">INDEX(ICL3_classA!$H$2:$H$37,MATCH(MIN(ABS(AI167-ICL3_classA!$F$2:$F$37)),ABS(AI167-ICL3_classA!$F$2:$F$37),0))</f>
        <v>24</v>
      </c>
      <c r="V167" s="1">
        <v>61</v>
      </c>
      <c r="W167" s="132">
        <f>VLOOKUP($B167&amp;"__wt",'SegEnds_Xtal_BW#'!$A:$Z,23,FALSE)</f>
        <v>31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63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20</v>
      </c>
      <c r="AE167" s="1">
        <f>VLOOKUP(A167,'SegEnds_NonXtal_Prot#'!A:AL,16,FALSE)-VLOOKUP(A167,'SegEnds_NonXtal_Prot#'!A:AL,10,FALSE)</f>
        <v>52</v>
      </c>
      <c r="AF167" s="1">
        <f>VLOOKUP(A167,'SegEnds_NonXtal_Prot#'!A:AL,22,FALSE)-VLOOKUP(A167,'SegEnds_NonXtal_Prot#'!A:AL,19,FALSE)</f>
        <v>20</v>
      </c>
      <c r="AG167" s="1">
        <f>VLOOKUP(A167,'SegEnds_NonXtal_Prot#'!A:AL,28,FALSE)-VLOOKUP(A167,'SegEnds_NonXtal_Prot#'!A:AL,25,FALSE)</f>
        <v>22</v>
      </c>
      <c r="AH167" s="1">
        <f>VLOOKUP(A167,'SegEnds_NonXtal_Prot#'!A:AL,28,FALSE)-VLOOKUP(A167,'SegEnds_NonXtal_Prot#'!A:AL,22,FALSE)</f>
        <v>47</v>
      </c>
      <c r="AI167" s="1">
        <f>VLOOKUP(A167,'SegEnds_NonXtal_Prot#'!A:AL,31,FALSE)-VLOOKUP(A167,'SegEnds_NonXtal_Prot#'!A:AL,28,FALSE)</f>
        <v>54</v>
      </c>
      <c r="AJ167" s="1">
        <f>VLOOKUP(A167,'SegEnds_NonXtal_Prot#'!A:AL,34,FALSE)-VLOOKUP(A167,'SegEnds_NonXtal_Prot#'!A:AL,31,FALSE)</f>
        <v>39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Xtal</v>
      </c>
    </row>
    <row r="168" spans="1:38" x14ac:dyDescent="0.2">
      <c r="A168" s="1" t="s">
        <v>313</v>
      </c>
      <c r="B168" s="1" t="str">
        <f>VLOOKUP(A168,Xtal_Templ!A:B,2,FALSE)</f>
        <v>mtr1a_human</v>
      </c>
      <c r="C168" s="5">
        <f>VLOOKUP($B168&amp;"__wt",'SegEnds_Xtal_BW#'!$A:$Z,3,FALSE)</f>
        <v>28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68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7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v>35</v>
      </c>
      <c r="T168" s="1">
        <f t="array" ref="T168">INDEX(ICL3_classA!$G$2:$G$37,MATCH(MIN(ABS(AI168-ICL3_classA!$F$2:$F$37)),ABS(AI168-ICL3_classA!$F$2:$F$37),0))</f>
        <v>72</v>
      </c>
      <c r="U168" s="1">
        <f t="array" ref="U168">INDEX(ICL3_classA!$H$2:$H$37,MATCH(MIN(ABS(AI168-ICL3_classA!$F$2:$F$37)),ABS(AI168-ICL3_classA!$F$2:$F$37),0))</f>
        <v>24</v>
      </c>
      <c r="V168" s="1">
        <v>61</v>
      </c>
      <c r="W168" s="132">
        <f>VLOOKUP($B168&amp;"__wt",'SegEnds_Xtal_BW#'!$A:$Z,23,FALSE)</f>
        <v>31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63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>
        <f>VLOOKUP(A168,'SegEnds_NonXtal_Prot#'!A:AL,13,FALSE)-VLOOKUP(A168,'SegEnds_NonXtal_Prot#'!A:AL,10,FALSE)</f>
        <v>20</v>
      </c>
      <c r="AE168" s="1">
        <f>VLOOKUP(A168,'SegEnds_NonXtal_Prot#'!A:AL,16,FALSE)-VLOOKUP(A168,'SegEnds_NonXtal_Prot#'!A:AL,10,FALSE)</f>
        <v>52</v>
      </c>
      <c r="AF168" s="1">
        <f>VLOOKUP(A168,'SegEnds_NonXtal_Prot#'!A:AL,22,FALSE)-VLOOKUP(A168,'SegEnds_NonXtal_Prot#'!A:AL,19,FALSE)</f>
        <v>20</v>
      </c>
      <c r="AG168" s="1">
        <f>VLOOKUP(A168,'SegEnds_NonXtal_Prot#'!A:AL,28,FALSE)-VLOOKUP(A168,'SegEnds_NonXtal_Prot#'!A:AL,25,FALSE)</f>
        <v>22</v>
      </c>
      <c r="AH168" s="1">
        <f>VLOOKUP(A168,'SegEnds_NonXtal_Prot#'!A:AL,28,FALSE)-VLOOKUP(A168,'SegEnds_NonXtal_Prot#'!A:AL,22,FALSE)</f>
        <v>47</v>
      </c>
      <c r="AI168" s="1">
        <f>VLOOKUP(A168,'SegEnds_NonXtal_Prot#'!A:AL,31,FALSE)-VLOOKUP(A168,'SegEnds_NonXtal_Prot#'!A:AL,28,FALSE)</f>
        <v>52</v>
      </c>
      <c r="AJ168" s="1">
        <f>VLOOKUP(A168,'SegEnds_NonXtal_Prot#'!A:AL,34,FALSE)-VLOOKUP(A168,'SegEnds_NonXtal_Prot#'!A:AL,31,FALSE)</f>
        <v>39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NoXtal</v>
      </c>
    </row>
    <row r="169" spans="1:38" x14ac:dyDescent="0.2">
      <c r="A169" s="1" t="s">
        <v>314</v>
      </c>
      <c r="B169" s="1" t="str">
        <f>VLOOKUP(A169,Xtal_Templ!A:B,2,FALSE)</f>
        <v>nk1r_human</v>
      </c>
      <c r="C169" s="5">
        <f>VLOOKUP($B169&amp;"__wt",'SegEnds_Xtal_BW#'!$A:$Z,3,FALSE)</f>
        <v>28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68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 t="str">
        <f>VLOOKUP($B169&amp;"__wt",'SegEnds_Xtal_BW#'!$A:$Z,13,FALSE)</f>
        <v>-</v>
      </c>
      <c r="N169" s="12">
        <v>56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30</v>
      </c>
      <c r="T169" s="1">
        <f t="array" ref="T169">INDEX(ICL3_classA!$G$2:$G$37,MATCH(MIN(ABS(AI169-ICL3_classA!$F$2:$F$37)),ABS(AI169-ICL3_classA!$F$2:$F$37),0))</f>
        <v>73</v>
      </c>
      <c r="U169" s="1">
        <f t="array" ref="U169">INDEX(ICL3_classA!$H$2:$H$37,MATCH(MIN(ABS(AI169-ICL3_classA!$F$2:$F$37)),ABS(AI169-ICL3_classA!$F$2:$F$37),0))</f>
        <v>22</v>
      </c>
      <c r="V169" s="1">
        <v>61</v>
      </c>
      <c r="W169" s="132">
        <f>VLOOKUP($B169&amp;"__wt",'SegEnds_Xtal_BW#'!$A:$Z,23,FALSE)</f>
        <v>30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20</v>
      </c>
      <c r="AE169" s="1">
        <f>VLOOKUP(A169,'SegEnds_NonXtal_Prot#'!A:AL,16,FALSE)-VLOOKUP(A169,'SegEnds_NonXtal_Prot#'!A:AL,10,FALSE)</f>
        <v>52</v>
      </c>
      <c r="AF169" s="1" t="e">
        <f>VLOOKUP(A169,'SegEnds_NonXtal_Prot#'!A:AL,22,FALSE)-VLOOKUP(A169,'SegEnds_NonXtal_Prot#'!A:AL,19,FALSE)</f>
        <v>#VALUE!</v>
      </c>
      <c r="AG169" s="1">
        <f>VLOOKUP(A169,'SegEnds_NonXtal_Prot#'!A:AL,28,FALSE)-VLOOKUP(A169,'SegEnds_NonXtal_Prot#'!A:AL,25,FALSE)</f>
        <v>28</v>
      </c>
      <c r="AH169" s="1">
        <f>VLOOKUP(A169,'SegEnds_NonXtal_Prot#'!A:AL,28,FALSE)-VLOOKUP(A169,'SegEnds_NonXtal_Prot#'!A:AL,22,FALSE)</f>
        <v>53</v>
      </c>
      <c r="AI169" s="1">
        <f>VLOOKUP(A169,'SegEnds_NonXtal_Prot#'!A:AL,31,FALSE)-VLOOKUP(A169,'SegEnds_NonXtal_Prot#'!A:AL,28,FALSE)</f>
        <v>55</v>
      </c>
      <c r="AJ169" s="1">
        <f>VLOOKUP(A169,'SegEnds_NonXtal_Prot#'!A:AL,34,FALSE)-VLOOKUP(A169,'SegEnds_NonXtal_Prot#'!A:AL,31,FALSE)</f>
        <v>39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Xtal</v>
      </c>
    </row>
    <row r="170" spans="1:38" x14ac:dyDescent="0.2">
      <c r="A170" s="1" t="s">
        <v>315</v>
      </c>
      <c r="B170" s="1" t="str">
        <f>VLOOKUP(A170,Xtal_Templ!A:B,2,FALSE)</f>
        <v>nk1r_human</v>
      </c>
      <c r="C170" s="5">
        <f>VLOOKUP($B170&amp;"__wt",'SegEnds_Xtal_BW#'!$A:$Z,3,FALSE)</f>
        <v>28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68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 t="str">
        <f>VLOOKUP($B170&amp;"__wt",'SegEnds_Xtal_BW#'!$A:$Z,13,FALSE)</f>
        <v>-</v>
      </c>
      <c r="N170" s="12">
        <v>56</v>
      </c>
      <c r="O170" s="87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30</v>
      </c>
      <c r="T170" s="1">
        <f t="array" ref="T170">INDEX(ICL3_classA!$G$2:$G$37,MATCH(MIN(ABS(AI170-ICL3_classA!$F$2:$F$37)),ABS(AI170-ICL3_classA!$F$2:$F$37),0))</f>
        <v>73</v>
      </c>
      <c r="U170" s="1">
        <f t="array" ref="U170">INDEX(ICL3_classA!$H$2:$H$37,MATCH(MIN(ABS(AI170-ICL3_classA!$F$2:$F$37)),ABS(AI170-ICL3_classA!$F$2:$F$37),0))</f>
        <v>22</v>
      </c>
      <c r="V170" s="1">
        <v>61</v>
      </c>
      <c r="W170" s="132">
        <f>VLOOKUP($B170&amp;"__wt",'SegEnds_Xtal_BW#'!$A:$Z,23,FALSE)</f>
        <v>30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58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20</v>
      </c>
      <c r="AE170" s="1">
        <f>VLOOKUP(A170,'SegEnds_NonXtal_Prot#'!A:AL,16,FALSE)-VLOOKUP(A170,'SegEnds_NonXtal_Prot#'!A:AL,10,FALSE)</f>
        <v>52</v>
      </c>
      <c r="AF170" s="1" t="e">
        <f>VLOOKUP(A170,'SegEnds_NonXtal_Prot#'!A:AL,22,FALSE)-VLOOKUP(A170,'SegEnds_NonXtal_Prot#'!A:AL,19,FALSE)</f>
        <v>#VALUE!</v>
      </c>
      <c r="AG170" s="1">
        <f>VLOOKUP(A170,'SegEnds_NonXtal_Prot#'!A:AL,28,FALSE)-VLOOKUP(A170,'SegEnds_NonXtal_Prot#'!A:AL,25,FALSE)</f>
        <v>28</v>
      </c>
      <c r="AH170" s="1">
        <f>VLOOKUP(A170,'SegEnds_NonXtal_Prot#'!A:AL,28,FALSE)-VLOOKUP(A170,'SegEnds_NonXtal_Prot#'!A:AL,22,FALSE)</f>
        <v>53</v>
      </c>
      <c r="AI170" s="1">
        <f>VLOOKUP(A170,'SegEnds_NonXtal_Prot#'!A:AL,31,FALSE)-VLOOKUP(A170,'SegEnds_NonXtal_Prot#'!A:AL,28,FALSE)</f>
        <v>56</v>
      </c>
      <c r="AJ170" s="1">
        <f>VLOOKUP(A170,'SegEnds_NonXtal_Prot#'!A:AL,34,FALSE)-VLOOKUP(A170,'SegEnds_NonXtal_Prot#'!A:AL,31,FALSE)</f>
        <v>39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316</v>
      </c>
      <c r="B171" s="1" t="str">
        <f>VLOOKUP(A171,Xtal_Templ!A:B,2,FALSE)</f>
        <v>nk1r_human</v>
      </c>
      <c r="C171" s="5">
        <f>VLOOKUP($B171&amp;"__wt",'SegEnds_Xtal_BW#'!$A:$Z,3,FALSE)</f>
        <v>28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68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 t="str">
        <f>VLOOKUP($B171&amp;"__wt",'SegEnds_Xtal_BW#'!$A:$Z,13,FALSE)</f>
        <v>-</v>
      </c>
      <c r="N171" s="12">
        <v>56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30</v>
      </c>
      <c r="T171" s="1">
        <f t="array" ref="T171">INDEX(ICL3_classA!$G$2:$G$37,MATCH(MIN(ABS(AI171-ICL3_classA!$F$2:$F$37)),ABS(AI171-ICL3_classA!$F$2:$F$37),0))</f>
        <v>73</v>
      </c>
      <c r="U171" s="1">
        <f t="array" ref="U171">INDEX(ICL3_classA!$H$2:$H$37,MATCH(MIN(ABS(AI171-ICL3_classA!$F$2:$F$37)),ABS(AI171-ICL3_classA!$F$2:$F$37),0))</f>
        <v>22</v>
      </c>
      <c r="V171" s="1">
        <v>61</v>
      </c>
      <c r="W171" s="132">
        <f>VLOOKUP($B171&amp;"__wt",'SegEnds_Xtal_BW#'!$A:$Z,23,FALSE)</f>
        <v>30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58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>
        <f>VLOOKUP(A171,'SegEnds_NonXtal_Prot#'!A:AL,10,FALSE)-VLOOKUP(A171,'SegEnds_NonXtal_Prot#'!A:AL,7,FALSE)</f>
        <v>15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 t="e">
        <f>VLOOKUP(A171,'SegEnds_NonXtal_Prot#'!A:AL,22,FALSE)-VLOOKUP(A171,'SegEnds_NonXtal_Prot#'!A:AL,19,FALSE)</f>
        <v>#VALUE!</v>
      </c>
      <c r="AG171" s="1">
        <f>VLOOKUP(A171,'SegEnds_NonXtal_Prot#'!A:AL,28,FALSE)-VLOOKUP(A171,'SegEnds_NonXtal_Prot#'!A:AL,25,FALSE)</f>
        <v>26</v>
      </c>
      <c r="AH171" s="1">
        <f>VLOOKUP(A171,'SegEnds_NonXtal_Prot#'!A:AL,28,FALSE)-VLOOKUP(A171,'SegEnds_NonXtal_Prot#'!A:AL,22,FALSE)</f>
        <v>51</v>
      </c>
      <c r="AI171" s="1">
        <f>VLOOKUP(A171,'SegEnds_NonXtal_Prot#'!A:AL,31,FALSE)-VLOOKUP(A171,'SegEnds_NonXtal_Prot#'!A:AL,28,FALSE)</f>
        <v>55</v>
      </c>
      <c r="AJ171" s="1">
        <f>VLOOKUP(A171,'SegEnds_NonXtal_Prot#'!A:AL,34,FALSE)-VLOOKUP(A171,'SegEnds_NonXtal_Prot#'!A:AL,31,FALSE)</f>
        <v>39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NoXtal</v>
      </c>
    </row>
    <row r="172" spans="1:38" x14ac:dyDescent="0.2">
      <c r="A172" s="1" t="s">
        <v>325</v>
      </c>
      <c r="B172" s="1" t="str">
        <f>VLOOKUP(A172,Xtal_Templ!A:B,2,FALSE)</f>
        <v>npy1r_human</v>
      </c>
      <c r="C172" s="5">
        <f>VLOOKUP($B172&amp;"__wt",'SegEnds_Xtal_BW#'!$A:$Z,3,FALSE)</f>
        <v>28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68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 t="str">
        <f>VLOOKUP($B172&amp;"__wt",'SegEnds_Xtal_BW#'!$A:$Z,13,FALSE)</f>
        <v>-</v>
      </c>
      <c r="N172" s="108" t="s">
        <v>23</v>
      </c>
      <c r="O172" s="87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31</v>
      </c>
      <c r="T172" s="1">
        <f t="array" ref="T172">INDEX(ICL3_classA!$G$2:$G$37,MATCH(MIN(ABS(AI172-ICL3_classA!$F$2:$F$37)),ABS(AI172-ICL3_classA!$F$2:$F$37),0))</f>
        <v>73</v>
      </c>
      <c r="U172" s="1">
        <f t="array" ref="U172">INDEX(ICL3_classA!$H$2:$H$37,MATCH(MIN(ABS(AI172-ICL3_classA!$F$2:$F$37)),ABS(AI172-ICL3_classA!$F$2:$F$37),0))</f>
        <v>22</v>
      </c>
      <c r="V172" s="1">
        <v>61</v>
      </c>
      <c r="W172" s="132">
        <f>VLOOKUP($B172&amp;"__wt",'SegEnds_Xtal_BW#'!$A:$Z,23,FALSE)</f>
        <v>28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58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1">
        <f>VLOOKUP(A172,'SegEnds_NonXtal_Prot#'!A:AL,10,FALSE)-VLOOKUP(A172,'SegEnds_NonXtal_Prot#'!A:AL,7,FALSE)</f>
        <v>15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 t="e">
        <f>VLOOKUP(A172,'SegEnds_NonXtal_Prot#'!A:AL,22,FALSE)-VLOOKUP(A172,'SegEnds_NonXtal_Prot#'!A:AL,19,FALSE)</f>
        <v>#VALUE!</v>
      </c>
      <c r="AG172" s="1">
        <f>VLOOKUP(A172,'SegEnds_NonXtal_Prot#'!A:AL,28,FALSE)-VLOOKUP(A172,'SegEnds_NonXtal_Prot#'!A:AL,25,FALSE)</f>
        <v>25</v>
      </c>
      <c r="AH172" s="1">
        <f>VLOOKUP(A172,'SegEnds_NonXtal_Prot#'!A:AL,28,FALSE)-VLOOKUP(A172,'SegEnds_NonXtal_Prot#'!A:AL,22,FALSE)</f>
        <v>60</v>
      </c>
      <c r="AI172" s="1">
        <f>VLOOKUP(A172,'SegEnds_NonXtal_Prot#'!A:AL,31,FALSE)-VLOOKUP(A172,'SegEnds_NonXtal_Prot#'!A:AL,28,FALSE)</f>
        <v>55</v>
      </c>
      <c r="AJ172" s="1">
        <f>VLOOKUP(A172,'SegEnds_NonXtal_Prot#'!A:AL,34,FALSE)-VLOOKUP(A172,'SegEnds_NonXtal_Prot#'!A:AL,31,FALSE)</f>
        <v>39</v>
      </c>
      <c r="AK172" s="1">
        <f>VLOOKUP(A172,'SegEnds_NonXtal_Prot#'!A:AL,37,FALSE)-VLOOKUP(A172,'SegEnds_NonXtal_Prot#'!A:AL,34,FALSE)</f>
        <v>10</v>
      </c>
      <c r="AL172" s="1" t="str">
        <f>IF(ISERROR(MATCH(A172,'SegEnds_Xtal_Prot#'!B:B, 0)), "NoXtal", "Xtal")</f>
        <v>Xtal</v>
      </c>
    </row>
    <row r="173" spans="1:38" x14ac:dyDescent="0.2">
      <c r="A173" s="1" t="s">
        <v>326</v>
      </c>
      <c r="B173" s="1" t="str">
        <f>VLOOKUP(A173,Xtal_Templ!A:B,2,FALSE)</f>
        <v>ox1r_human</v>
      </c>
      <c r="C173" s="5">
        <f>VLOOKUP($B173&amp;"__wt",'SegEnds_Xtal_BW#'!$A:$Z,3,FALSE)</f>
        <v>32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56</v>
      </c>
      <c r="O173" s="87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32</v>
      </c>
      <c r="T173" s="1">
        <f t="array" ref="T173">INDEX(ICL3_classA!$G$2:$G$37,MATCH(MIN(ABS(AI173-ICL3_classA!$F$2:$F$37)),ABS(AI173-ICL3_classA!$F$2:$F$37),0))</f>
        <v>72</v>
      </c>
      <c r="U173" s="1">
        <f t="array" ref="U173">INDEX(ICL3_classA!$H$2:$H$37,MATCH(MIN(ABS(AI173-ICL3_classA!$F$2:$F$37)),ABS(AI173-ICL3_classA!$F$2:$F$37),0))</f>
        <v>24</v>
      </c>
      <c r="V173" s="1">
        <v>61</v>
      </c>
      <c r="W173" s="132">
        <f>VLOOKUP($B173&amp;"__wt",'SegEnds_Xtal_BW#'!$A:$Z,23,FALSE)</f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58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>
        <f>VLOOKUP(A173,'SegEnds_NonXtal_Prot#'!A:AL,10,FALSE)-VLOOKUP(A173,'SegEnds_NonXtal_Prot#'!A:AL,7,FALSE)</f>
        <v>15</v>
      </c>
      <c r="AD173" s="1">
        <f>VLOOKUP(A173,'SegEnds_NonXtal_Prot#'!A:AL,13,FALSE)-VLOOKUP(A173,'SegEnds_NonXtal_Prot#'!A:AL,10,FALSE)</f>
        <v>20</v>
      </c>
      <c r="AE173" s="1">
        <f>VLOOKUP(A173,'SegEnds_NonXtal_Prot#'!A:AL,16,FALSE)-VLOOKUP(A173,'SegEnds_NonXtal_Prot#'!A:AL,10,FALSE)</f>
        <v>52</v>
      </c>
      <c r="AF173" s="1" t="e">
        <f>VLOOKUP(A173,'SegEnds_NonXtal_Prot#'!A:AL,22,FALSE)-VLOOKUP(A173,'SegEnds_NonXtal_Prot#'!A:AL,19,FALSE)</f>
        <v>#VALUE!</v>
      </c>
      <c r="AG173" s="1">
        <f>VLOOKUP(A173,'SegEnds_NonXtal_Prot#'!A:AL,28,FALSE)-VLOOKUP(A173,'SegEnds_NonXtal_Prot#'!A:AL,25,FALSE)</f>
        <v>28</v>
      </c>
      <c r="AH173" s="1">
        <f>VLOOKUP(A173,'SegEnds_NonXtal_Prot#'!A:AL,28,FALSE)-VLOOKUP(A173,'SegEnds_NonXtal_Prot#'!A:AL,22,FALSE)</f>
        <v>58</v>
      </c>
      <c r="AI173" s="1">
        <f>VLOOKUP(A173,'SegEnds_NonXtal_Prot#'!A:AL,31,FALSE)-VLOOKUP(A173,'SegEnds_NonXtal_Prot#'!A:AL,28,FALSE)</f>
        <v>52</v>
      </c>
      <c r="AJ173" s="1">
        <f>VLOOKUP(A173,'SegEnds_NonXtal_Prot#'!A:AL,34,FALSE)-VLOOKUP(A173,'SegEnds_NonXtal_Prot#'!A:AL,31,FALSE)</f>
        <v>39</v>
      </c>
      <c r="AK173" s="1">
        <f>VLOOKUP(A173,'SegEnds_NonXtal_Prot#'!A:AL,37,FALSE)-VLOOKUP(A173,'SegEnds_NonXtal_Prot#'!A:AL,34,FALSE)</f>
        <v>10</v>
      </c>
      <c r="AL173" s="1" t="str">
        <f>IF(ISERROR(MATCH(A173,'SegEnds_Xtal_Prot#'!B:B, 0)), "NoXtal", "Xtal")</f>
        <v>NoXtal</v>
      </c>
    </row>
    <row r="174" spans="1:38" x14ac:dyDescent="0.2">
      <c r="A174" s="1" t="s">
        <v>327</v>
      </c>
      <c r="B174" s="1" t="str">
        <f>VLOOKUP(A174,Xtal_Templ!A:B,2,FALSE)</f>
        <v>npy1r_human</v>
      </c>
      <c r="C174" s="5">
        <f>VLOOKUP($B174&amp;"__wt",'SegEnds_Xtal_BW#'!$A:$Z,3,FALSE)</f>
        <v>28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68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 t="str">
        <f>VLOOKUP($B174&amp;"__wt",'SegEnds_Xtal_BW#'!$A:$Z,13,FALSE)</f>
        <v>-</v>
      </c>
      <c r="N174" s="108" t="s">
        <v>23</v>
      </c>
      <c r="O174" s="87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31</v>
      </c>
      <c r="T174" s="1">
        <f t="array" ref="T174">INDEX(ICL3_classA!$G$2:$G$37,MATCH(MIN(ABS(AI174-ICL3_classA!$F$2:$F$37)),ABS(AI174-ICL3_classA!$F$2:$F$37),0))</f>
        <v>72</v>
      </c>
      <c r="U174" s="1">
        <f t="array" ref="U174">INDEX(ICL3_classA!$H$2:$H$37,MATCH(MIN(ABS(AI174-ICL3_classA!$F$2:$F$37)),ABS(AI174-ICL3_classA!$F$2:$F$37),0))</f>
        <v>24</v>
      </c>
      <c r="V174" s="1">
        <v>61</v>
      </c>
      <c r="W174" s="132">
        <f>VLOOKUP($B174&amp;"__wt",'SegEnds_Xtal_BW#'!$A:$Z,23,FALSE)</f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58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15</v>
      </c>
      <c r="AD174" s="1">
        <f>VLOOKUP(A174,'SegEnds_NonXtal_Prot#'!A:AL,13,FALSE)-VLOOKUP(A174,'SegEnds_NonXtal_Prot#'!A:AL,10,FALSE)</f>
        <v>20</v>
      </c>
      <c r="AE174" s="1">
        <f>VLOOKUP(A174,'SegEnds_NonXtal_Prot#'!A:AL,16,FALSE)-VLOOKUP(A174,'SegEnds_NonXtal_Prot#'!A:AL,10,FALSE)</f>
        <v>52</v>
      </c>
      <c r="AF174" s="1" t="e">
        <f>VLOOKUP(A174,'SegEnds_NonXtal_Prot#'!A:AL,22,FALSE)-VLOOKUP(A174,'SegEnds_NonXtal_Prot#'!A:AL,19,FALSE)</f>
        <v>#VALUE!</v>
      </c>
      <c r="AG174" s="1">
        <f>VLOOKUP(A174,'SegEnds_NonXtal_Prot#'!A:AL,28,FALSE)-VLOOKUP(A174,'SegEnds_NonXtal_Prot#'!A:AL,25,FALSE)</f>
        <v>25</v>
      </c>
      <c r="AH174" s="1">
        <f>VLOOKUP(A174,'SegEnds_NonXtal_Prot#'!A:AL,28,FALSE)-VLOOKUP(A174,'SegEnds_NonXtal_Prot#'!A:AL,22,FALSE)</f>
        <v>62</v>
      </c>
      <c r="AI174" s="1">
        <f>VLOOKUP(A174,'SegEnds_NonXtal_Prot#'!A:AL,31,FALSE)-VLOOKUP(A174,'SegEnds_NonXtal_Prot#'!A:AL,28,FALSE)</f>
        <v>54</v>
      </c>
      <c r="AJ174" s="1">
        <f>VLOOKUP(A174,'SegEnds_NonXtal_Prot#'!A:AL,34,FALSE)-VLOOKUP(A174,'SegEnds_NonXtal_Prot#'!A:AL,31,FALSE)</f>
        <v>39</v>
      </c>
      <c r="AK174" s="1">
        <f>VLOOKUP(A174,'SegEnds_NonXtal_Prot#'!A:AL,37,FALSE)-VLOOKUP(A174,'SegEnds_NonXtal_Prot#'!A:AL,34,FALSE)</f>
        <v>10</v>
      </c>
      <c r="AL174" s="1" t="str">
        <f>IF(ISERROR(MATCH(A174,'SegEnds_Xtal_Prot#'!B:B, 0)), "NoXtal", "Xtal")</f>
        <v>NoXtal</v>
      </c>
    </row>
    <row r="175" spans="1:38" x14ac:dyDescent="0.2">
      <c r="A175" s="1" t="s">
        <v>328</v>
      </c>
      <c r="B175" s="1" t="str">
        <f>VLOOKUP(A175,Xtal_Templ!A:B,2,FALSE)</f>
        <v>npy1r_human</v>
      </c>
      <c r="C175" s="5">
        <f>VLOOKUP($B175&amp;"__wt",'SegEnds_Xtal_BW#'!$A:$Z,3,FALSE)</f>
        <v>28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68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 t="str">
        <f>VLOOKUP($B175&amp;"__wt",'SegEnds_Xtal_BW#'!$A:$Z,13,FALSE)</f>
        <v>-</v>
      </c>
      <c r="N175" s="108" t="s">
        <v>23</v>
      </c>
      <c r="O175" s="87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31</v>
      </c>
      <c r="T175" s="1">
        <f t="array" ref="T175">INDEX(ICL3_classA!$G$2:$G$37,MATCH(MIN(ABS(AI175-ICL3_classA!$F$2:$F$37)),ABS(AI175-ICL3_classA!$F$2:$F$37),0))</f>
        <v>76</v>
      </c>
      <c r="U175" s="1">
        <f t="array" ref="U175">INDEX(ICL3_classA!$H$2:$H$37,MATCH(MIN(ABS(AI175-ICL3_classA!$F$2:$F$37)),ABS(AI175-ICL3_classA!$F$2:$F$37),0))</f>
        <v>24</v>
      </c>
      <c r="V175" s="1">
        <v>61</v>
      </c>
      <c r="W175" s="132">
        <f>VLOOKUP($B175&amp;"__wt",'SegEnds_Xtal_BW#'!$A:$Z,23,FALSE)</f>
        <v>28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58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20</v>
      </c>
      <c r="AE175" s="1">
        <f>VLOOKUP(A175,'SegEnds_NonXtal_Prot#'!A:AL,16,FALSE)-VLOOKUP(A175,'SegEnds_NonXtal_Prot#'!A:AL,10,FALSE)</f>
        <v>52</v>
      </c>
      <c r="AF175" s="1" t="e">
        <f>VLOOKUP(A175,'SegEnds_NonXtal_Prot#'!A:AL,22,FALSE)-VLOOKUP(A175,'SegEnds_NonXtal_Prot#'!A:AL,19,FALSE)</f>
        <v>#VALUE!</v>
      </c>
      <c r="AG175" s="1">
        <f>VLOOKUP(A175,'SegEnds_NonXtal_Prot#'!A:AL,28,FALSE)-VLOOKUP(A175,'SegEnds_NonXtal_Prot#'!A:AL,25,FALSE)</f>
        <v>25</v>
      </c>
      <c r="AH175" s="1">
        <f>VLOOKUP(A175,'SegEnds_NonXtal_Prot#'!A:AL,28,FALSE)-VLOOKUP(A175,'SegEnds_NonXtal_Prot#'!A:AL,22,FALSE)</f>
        <v>59</v>
      </c>
      <c r="AI175" s="1">
        <f>VLOOKUP(A175,'SegEnds_NonXtal_Prot#'!A:AL,31,FALSE)-VLOOKUP(A175,'SegEnds_NonXtal_Prot#'!A:AL,28,FALSE)</f>
        <v>160</v>
      </c>
      <c r="AJ175" s="1">
        <f>VLOOKUP(A175,'SegEnds_NonXtal_Prot#'!A:AL,34,FALSE)-VLOOKUP(A175,'SegEnds_NonXtal_Prot#'!A:AL,31,FALSE)</f>
        <v>39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1" t="s">
        <v>335</v>
      </c>
      <c r="B176" s="1" t="str">
        <f>VLOOKUP(A176,Xtal_Templ!A:B,2,FALSE)</f>
        <v>oprd_human</v>
      </c>
      <c r="C176" s="5">
        <f>VLOOKUP($B176&amp;"__wt",'SegEnds_Xtal_BW#'!$A:$Z,3,FALSE)</f>
        <v>22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f>VLOOKUP($B176&amp;"__wt",'SegEnds_Xtal_BW#'!$A:$Z,11,FALSE)</f>
        <v>21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f>VLOOKUP($B176&amp;"__wt",'SegEnds_Xtal_BW#'!$A:$Z,14,FALSE)</f>
        <v>57</v>
      </c>
      <c r="O176" s="87">
        <f>VLOOKUP($B176&amp;"__wt",'SegEnds_Xtal_BW#'!$A:$Z,15,FALSE)</f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31</v>
      </c>
      <c r="T176" s="1">
        <f t="array" ref="T176">INDEX(ICL3_classA!$G$2:$G$37,MATCH(MIN(ABS(AI176-ICL3_classA!$F$2:$F$37)),ABS(AI176-ICL3_classA!$F$2:$F$37),0))</f>
        <v>68</v>
      </c>
      <c r="U176" s="1">
        <f t="array" ref="U176">INDEX(ICL3_classA!$H$2:$H$37,MATCH(MIN(ABS(AI176-ICL3_classA!$F$2:$F$37)),ABS(AI176-ICL3_classA!$F$2:$F$37),0))</f>
        <v>23</v>
      </c>
      <c r="V176" s="1">
        <v>61</v>
      </c>
      <c r="W176" s="132">
        <f>VLOOKUP($B176&amp;"__wt",'SegEnds_Xtal_BW#'!$A:$Z,23,FALSE)</f>
        <v>28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60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1">
        <f>VLOOKUP(A176,'SegEnds_NonXtal_Prot#'!A:AL,10,FALSE)-VLOOKUP(A176,'SegEnds_NonXtal_Prot#'!A:AL,7,FALSE)</f>
        <v>15</v>
      </c>
      <c r="AD176" s="1">
        <f>VLOOKUP(A176,'SegEnds_NonXtal_Prot#'!A:AL,13,FALSE)-VLOOKUP(A176,'SegEnds_NonXtal_Prot#'!A:AL,10,FALSE)</f>
        <v>19</v>
      </c>
      <c r="AE176" s="1">
        <f>VLOOKUP(A176,'SegEnds_NonXtal_Prot#'!A:AL,16,FALSE)-VLOOKUP(A176,'SegEnds_NonXtal_Prot#'!A:AL,10,FALSE)</f>
        <v>51</v>
      </c>
      <c r="AF176" s="1">
        <f>VLOOKUP(A176,'SegEnds_NonXtal_Prot#'!A:AL,22,FALSE)-VLOOKUP(A176,'SegEnds_NonXtal_Prot#'!A:AL,19,FALSE)</f>
        <v>20</v>
      </c>
      <c r="AG176" s="1">
        <f>VLOOKUP(A176,'SegEnds_NonXtal_Prot#'!A:AL,28,FALSE)-VLOOKUP(A176,'SegEnds_NonXtal_Prot#'!A:AL,25,FALSE)</f>
        <v>27</v>
      </c>
      <c r="AH176" s="1">
        <f>VLOOKUP(A176,'SegEnds_NonXtal_Prot#'!A:AL,28,FALSE)-VLOOKUP(A176,'SegEnds_NonXtal_Prot#'!A:AL,22,FALSE)</f>
        <v>52</v>
      </c>
      <c r="AI176" s="1">
        <f>VLOOKUP(A176,'SegEnds_NonXtal_Prot#'!A:AL,31,FALSE)-VLOOKUP(A176,'SegEnds_NonXtal_Prot#'!A:AL,28,FALSE)</f>
        <v>51</v>
      </c>
      <c r="AJ176" s="1">
        <f>VLOOKUP(A176,'SegEnds_NonXtal_Prot#'!A:AL,34,FALSE)-VLOOKUP(A176,'SegEnds_NonXtal_Prot#'!A:AL,31,FALSE)</f>
        <v>39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Xtal</v>
      </c>
    </row>
    <row r="177" spans="1:38" x14ac:dyDescent="0.2">
      <c r="A177" s="1" t="s">
        <v>916</v>
      </c>
      <c r="B177" s="1" t="str">
        <f>VLOOKUP(A177,Xtal_Templ!A:B,2,FALSE)</f>
        <v>oprd_mouse</v>
      </c>
      <c r="C177" s="5">
        <f>VLOOKUP($B177&amp;"__wt",'SegEnds_Xtal_BW#'!$A:$Z,3,FALSE)</f>
        <v>24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f>VLOOKUP($B177&amp;"__wt",'SegEnds_Xtal_BW#'!$A:$Z,11,FALSE)</f>
        <v>21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f>VLOOKUP($B177&amp;"__wt",'SegEnds_Xtal_BW#'!$A:$Z,14,FALSE)</f>
        <v>57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31</v>
      </c>
      <c r="T177" s="1">
        <f t="array" ref="T177">INDEX(ICL3_classA!$G$2:$G$37,MATCH(MIN(ABS(AI177-ICL3_classA!$F$2:$F$37)),ABS(AI177-ICL3_classA!$F$2:$F$37),0))</f>
        <v>68</v>
      </c>
      <c r="U177" s="1">
        <f t="array" ref="U177">INDEX(ICL3_classA!$H$2:$H$37,MATCH(MIN(ABS(AI177-ICL3_classA!$F$2:$F$37)),ABS(AI177-ICL3_classA!$F$2:$F$37),0))</f>
        <v>23</v>
      </c>
      <c r="V177" s="1">
        <v>61</v>
      </c>
      <c r="W177" s="132">
        <f>VLOOKUP($B177&amp;"__wt",'SegEnds_Xtal_BW#'!$A:$Z,23,FALSE)</f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60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19</v>
      </c>
      <c r="AE177" s="1">
        <f>VLOOKUP(A177,'SegEnds_NonXtal_Prot#'!A:AL,16,FALSE)-VLOOKUP(A177,'SegEnds_NonXtal_Prot#'!A:AL,10,FALSE)</f>
        <v>51</v>
      </c>
      <c r="AF177" s="1">
        <f>VLOOKUP(A177,'SegEnds_NonXtal_Prot#'!A:AL,22,FALSE)-VLOOKUP(A177,'SegEnds_NonXtal_Prot#'!A:AL,19,FALSE)</f>
        <v>20</v>
      </c>
      <c r="AG177" s="1">
        <f>VLOOKUP(A177,'SegEnds_NonXtal_Prot#'!A:AL,28,FALSE)-VLOOKUP(A177,'SegEnds_NonXtal_Prot#'!A:AL,25,FALSE)</f>
        <v>27</v>
      </c>
      <c r="AH177" s="1">
        <f>VLOOKUP(A177,'SegEnds_NonXtal_Prot#'!A:AL,28,FALSE)-VLOOKUP(A177,'SegEnds_NonXtal_Prot#'!A:AL,22,FALSE)</f>
        <v>52</v>
      </c>
      <c r="AI177" s="1">
        <f>VLOOKUP(A177,'SegEnds_NonXtal_Prot#'!A:AL,31,FALSE)-VLOOKUP(A177,'SegEnds_NonXtal_Prot#'!A:AL,28,FALSE)</f>
        <v>51</v>
      </c>
      <c r="AJ177" s="1">
        <f>VLOOKUP(A177,'SegEnds_NonXtal_Prot#'!A:AL,34,FALSE)-VLOOKUP(A177,'SegEnds_NonXtal_Prot#'!A:AL,31,FALSE)</f>
        <v>39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Xtal</v>
      </c>
    </row>
    <row r="178" spans="1:38" x14ac:dyDescent="0.2">
      <c r="A178" s="1" t="s">
        <v>356</v>
      </c>
      <c r="B178" s="1" t="str">
        <f>VLOOKUP(A178,Xtal_Templ!A:B,2,FALSE)</f>
        <v>par2_human</v>
      </c>
      <c r="C178" s="5">
        <f>VLOOKUP($B178&amp;"__wt",'SegEnds_Xtal_BW#'!$A:$Z,3,FALSE)</f>
        <v>28</v>
      </c>
      <c r="D178" s="1">
        <f>VLOOKUP($B178&amp;"__wt",'SegEnds_Xtal_BW#'!$A:$Z,4,FALSE)</f>
        <v>60</v>
      </c>
      <c r="E178" s="1" t="str">
        <f>VLOOKUP($B178&amp;"__wt",'SegEnds_Xtal_BW#'!$A:$Z,5,FALSE)</f>
        <v>-</v>
      </c>
      <c r="F178" s="1" t="str">
        <f>VLOOKUP($B178&amp;"__wt",'SegEnds_Xtal_BW#'!$A:$Z,6,FALSE)</f>
        <v>-</v>
      </c>
      <c r="G178" s="1">
        <v>37</v>
      </c>
      <c r="H178" s="12">
        <f>VLOOKUP($B178&amp;"__wt",'SegEnds_Xtal_BW#'!$A:$Z,8,FALSE)</f>
        <v>66</v>
      </c>
      <c r="I178" s="1">
        <f>VLOOKUP($B178&amp;"__wt",'SegEnds_Xtal_BW#'!$A:$Z,9,FALSE)</f>
        <v>47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f>VLOOKUP($B178&amp;"__wt",'SegEnds_Xtal_BW#'!$A:$Z,14,FALSE)</f>
        <v>56</v>
      </c>
      <c r="O178" s="87">
        <f>VLOOKUP($B178&amp;"__wt",'SegEnds_Xtal_BW#'!$A:$Z,15,FALSE)</f>
        <v>38</v>
      </c>
      <c r="P178" s="1">
        <f>VLOOKUP($B178&amp;"__wt",'SegEnds_Xtal_BW#'!$A:$Z,16,FALSE)</f>
        <v>62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INDEX(ICL3_classA!$G$2:$G$37,MATCH(MIN(ABS(AI178-ICL3_classA!$F$2:$F$37)),ABS(AI178-ICL3_classA!$F$2:$F$37),0))</f>
        <v>68</v>
      </c>
      <c r="U178" s="1">
        <f t="array" ref="U178">INDEX(ICL3_classA!$H$2:$H$37,MATCH(MIN(ABS(AI178-ICL3_classA!$F$2:$F$37)),ABS(AI178-ICL3_classA!$F$2:$F$37),0))</f>
        <v>24</v>
      </c>
      <c r="V178" s="1">
        <v>62</v>
      </c>
      <c r="W178" s="132">
        <f>VLOOKUP($B178&amp;"__wt",'SegEnds_Xtal_BW#'!$A:$Z,23,FALSE)</f>
        <v>31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61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28</v>
      </c>
      <c r="AC178" s="1" t="e">
        <f>VLOOKUP(A178,'SegEnds_NonXtal_Prot#'!A:AL,10,FALSE)-VLOOKUP(A178,'SegEnds_NonXtal_Prot#'!A:AL,7,FALSE)</f>
        <v>#VALUE!</v>
      </c>
      <c r="AD178" s="1">
        <f>VLOOKUP(A178,'SegEnds_NonXtal_Prot#'!A:AL,13,FALSE)-VLOOKUP(A178,'SegEnds_NonXtal_Prot#'!A:AL,10,FALSE)</f>
        <v>20</v>
      </c>
      <c r="AE178" s="1">
        <f>VLOOKUP(A178,'SegEnds_NonXtal_Prot#'!A:AL,16,FALSE)-VLOOKUP(A178,'SegEnds_NonXtal_Prot#'!A:AL,10,FALSE)</f>
        <v>52</v>
      </c>
      <c r="AF178" s="1">
        <f>VLOOKUP(A178,'SegEnds_NonXtal_Prot#'!A:AL,22,FALSE)-VLOOKUP(A178,'SegEnds_NonXtal_Prot#'!A:AL,19,FALSE)</f>
        <v>19</v>
      </c>
      <c r="AG178" s="1">
        <f>VLOOKUP(A178,'SegEnds_NonXtal_Prot#'!A:AL,28,FALSE)-VLOOKUP(A178,'SegEnds_NonXtal_Prot#'!A:AL,25,FALSE)</f>
        <v>28</v>
      </c>
      <c r="AH178" s="1">
        <f>VLOOKUP(A178,'SegEnds_NonXtal_Prot#'!A:AL,28,FALSE)-VLOOKUP(A178,'SegEnds_NonXtal_Prot#'!A:AL,22,FALSE)</f>
        <v>55</v>
      </c>
      <c r="AI178" s="1">
        <f>VLOOKUP(A178,'SegEnds_NonXtal_Prot#'!A:AL,31,FALSE)-VLOOKUP(A178,'SegEnds_NonXtal_Prot#'!A:AL,28,FALSE)</f>
        <v>48</v>
      </c>
      <c r="AJ178" s="1">
        <f>VLOOKUP(A178,'SegEnds_NonXtal_Prot#'!A:AL,34,FALSE)-VLOOKUP(A178,'SegEnds_NonXtal_Prot#'!A:AL,31,FALSE)</f>
        <v>39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Xtal</v>
      </c>
    </row>
    <row r="179" spans="1:38" x14ac:dyDescent="0.2">
      <c r="A179" s="1" t="s">
        <v>357</v>
      </c>
      <c r="B179" s="1" t="str">
        <f>VLOOKUP(A179,Xtal_Templ!A:B,2,FALSE)</f>
        <v>par2_human</v>
      </c>
      <c r="C179" s="5">
        <f>VLOOKUP($B179&amp;"__wt",'SegEnds_Xtal_BW#'!$A:$Z,3,FALSE)</f>
        <v>28</v>
      </c>
      <c r="D179" s="1">
        <f>VLOOKUP($B179&amp;"__wt",'SegEnds_Xtal_BW#'!$A:$Z,4,FALSE)</f>
        <v>60</v>
      </c>
      <c r="E179" s="1" t="str">
        <f>VLOOKUP($B179&amp;"__wt",'SegEnds_Xtal_BW#'!$A:$Z,5,FALSE)</f>
        <v>-</v>
      </c>
      <c r="F179" s="1" t="str">
        <f>VLOOKUP($B179&amp;"__wt",'SegEnds_Xtal_BW#'!$A:$Z,6,FALSE)</f>
        <v>-</v>
      </c>
      <c r="G179" s="1">
        <v>37</v>
      </c>
      <c r="H179" s="12">
        <f>VLOOKUP($B179&amp;"__wt",'SegEnds_Xtal_BW#'!$A:$Z,8,FALSE)</f>
        <v>66</v>
      </c>
      <c r="I179" s="1">
        <f>VLOOKUP($B179&amp;"__wt",'SegEnds_Xtal_BW#'!$A:$Z,9,FALSE)</f>
        <v>47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7">
        <f>VLOOKUP($B179&amp;"__wt",'SegEnds_Xtal_BW#'!$A:$Z,15,FALSE)</f>
        <v>38</v>
      </c>
      <c r="P179" s="1">
        <f>VLOOKUP($B179&amp;"__wt",'SegEnds_Xtal_BW#'!$A:$Z,16,FALSE)</f>
        <v>62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v>35</v>
      </c>
      <c r="T179" s="1">
        <f t="array" ref="T179">INDEX(ICL3_classA!$G$2:$G$37,MATCH(MIN(ABS(AI179-ICL3_classA!$F$2:$F$37)),ABS(AI179-ICL3_classA!$F$2:$F$37),0))</f>
        <v>68</v>
      </c>
      <c r="U179" s="1">
        <f t="array" ref="U179">INDEX(ICL3_classA!$H$2:$H$37,MATCH(MIN(ABS(AI179-ICL3_classA!$F$2:$F$37)),ABS(AI179-ICL3_classA!$F$2:$F$37),0))</f>
        <v>30</v>
      </c>
      <c r="V179" s="1">
        <v>62</v>
      </c>
      <c r="W179" s="132">
        <f>VLOOKUP($B179&amp;"__wt",'SegEnds_Xtal_BW#'!$A:$Z,23,FALSE)</f>
        <v>31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61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27</v>
      </c>
      <c r="AC179" s="1" t="e">
        <f>VLOOKUP(A179,'SegEnds_NonXtal_Prot#'!A:AL,10,FALSE)-VLOOKUP(A179,'SegEnds_NonXtal_Prot#'!A:AL,7,FALSE)</f>
        <v>#VALUE!</v>
      </c>
      <c r="AD179" s="1">
        <f>VLOOKUP(A179,'SegEnds_NonXtal_Prot#'!A:AL,13,FALSE)-VLOOKUP(A179,'SegEnds_NonXtal_Prot#'!A:AL,10,FALSE)</f>
        <v>20</v>
      </c>
      <c r="AE179" s="1">
        <f>VLOOKUP(A179,'SegEnds_NonXtal_Prot#'!A:AL,16,FALSE)-VLOOKUP(A179,'SegEnds_NonXtal_Prot#'!A:AL,10,FALSE)</f>
        <v>52</v>
      </c>
      <c r="AF179" s="1">
        <f>VLOOKUP(A179,'SegEnds_NonXtal_Prot#'!A:AL,22,FALSE)-VLOOKUP(A179,'SegEnds_NonXtal_Prot#'!A:AL,19,FALSE)</f>
        <v>20</v>
      </c>
      <c r="AG179" s="1">
        <f>VLOOKUP(A179,'SegEnds_NonXtal_Prot#'!A:AL,28,FALSE)-VLOOKUP(A179,'SegEnds_NonXtal_Prot#'!A:AL,25,FALSE)</f>
        <v>22</v>
      </c>
      <c r="AH179" s="1">
        <f>VLOOKUP(A179,'SegEnds_NonXtal_Prot#'!A:AL,28,FALSE)-VLOOKUP(A179,'SegEnds_NonXtal_Prot#'!A:AL,22,FALSE)</f>
        <v>56</v>
      </c>
      <c r="AI179" s="1">
        <f>VLOOKUP(A179,'SegEnds_NonXtal_Prot#'!A:AL,31,FALSE)-VLOOKUP(A179,'SegEnds_NonXtal_Prot#'!A:AL,28,FALSE)</f>
        <v>42</v>
      </c>
      <c r="AJ179" s="1">
        <f>VLOOKUP(A179,'SegEnds_NonXtal_Prot#'!A:AL,34,FALSE)-VLOOKUP(A179,'SegEnds_NonXtal_Prot#'!A:AL,31,FALSE)</f>
        <v>39</v>
      </c>
      <c r="AK179" s="1" t="e">
        <f>VLOOKUP(A179,'SegEnds_NonXtal_Prot#'!A:AL,37,FALSE)-VLOOKUP(A179,'SegEnds_NonXtal_Prot#'!A:AL,34,FALSE)</f>
        <v>#VALUE!</v>
      </c>
      <c r="AL179" s="1" t="str">
        <f>IF(ISERROR(MATCH(A179,'SegEnds_Xtal_Prot#'!B:B, 0)), "NoXtal", "Xtal")</f>
        <v>NoXtal</v>
      </c>
    </row>
    <row r="180" spans="1:38" x14ac:dyDescent="0.2">
      <c r="A180" s="1" t="s">
        <v>358</v>
      </c>
      <c r="B180" s="1" t="str">
        <f>VLOOKUP(A180,Xtal_Templ!A:B,2,FALSE)</f>
        <v>par2_human</v>
      </c>
      <c r="C180" s="5">
        <f>VLOOKUP($B180&amp;"__wt",'SegEnds_Xtal_BW#'!$A:$Z,3,FALSE)</f>
        <v>28</v>
      </c>
      <c r="D180" s="1">
        <f>VLOOKUP($B180&amp;"__wt",'SegEnds_Xtal_BW#'!$A:$Z,4,FALSE)</f>
        <v>60</v>
      </c>
      <c r="E180" s="1" t="str">
        <f>VLOOKUP($B180&amp;"__wt",'SegEnds_Xtal_BW#'!$A:$Z,5,FALSE)</f>
        <v>-</v>
      </c>
      <c r="F180" s="1" t="str">
        <f>VLOOKUP($B180&amp;"__wt",'SegEnds_Xtal_BW#'!$A:$Z,6,FALSE)</f>
        <v>-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47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7">
        <f>VLOOKUP($B180&amp;"__wt",'SegEnds_Xtal_BW#'!$A:$Z,15,FALSE)</f>
        <v>38</v>
      </c>
      <c r="P180" s="1">
        <f>VLOOKUP($B180&amp;"__wt",'SegEnds_Xtal_BW#'!$A:$Z,16,FALSE)</f>
        <v>62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INDEX(ICL3_classA!$G$2:$G$37,MATCH(MIN(ABS(AI180-ICL3_classA!$F$2:$F$37)),ABS(AI180-ICL3_classA!$F$2:$F$37),0))</f>
        <v>68</v>
      </c>
      <c r="U180" s="1">
        <f t="array" ref="U180">INDEX(ICL3_classA!$H$2:$H$37,MATCH(MIN(ABS(AI180-ICL3_classA!$F$2:$F$37)),ABS(AI180-ICL3_classA!$F$2:$F$37),0))</f>
        <v>30</v>
      </c>
      <c r="V180" s="1">
        <v>62</v>
      </c>
      <c r="W180" s="132">
        <f>VLOOKUP($B180&amp;"__wt",'SegEnds_Xtal_BW#'!$A:$Z,23,FALSE)</f>
        <v>31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61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27</v>
      </c>
      <c r="AC180" s="1" t="e">
        <f>VLOOKUP(A180,'SegEnds_NonXtal_Prot#'!A:AL,10,FALSE)-VLOOKUP(A180,'SegEnds_NonXtal_Prot#'!A:AL,7,FALSE)</f>
        <v>#VALUE!</v>
      </c>
      <c r="AD180" s="1">
        <f>VLOOKUP(A180,'SegEnds_NonXtal_Prot#'!A:AL,13,FALSE)-VLOOKUP(A180,'SegEnds_NonXtal_Prot#'!A:AL,10,FALSE)</f>
        <v>20</v>
      </c>
      <c r="AE180" s="1">
        <f>VLOOKUP(A180,'SegEnds_NonXtal_Prot#'!A:AL,16,FALSE)-VLOOKUP(A180,'SegEnds_NonXtal_Prot#'!A:AL,10,FALSE)</f>
        <v>52</v>
      </c>
      <c r="AF180" s="1">
        <f>VLOOKUP(A180,'SegEnds_NonXtal_Prot#'!A:AL,22,FALSE)-VLOOKUP(A180,'SegEnds_NonXtal_Prot#'!A:AL,19,FALSE)</f>
        <v>20</v>
      </c>
      <c r="AG180" s="1">
        <f>VLOOKUP(A180,'SegEnds_NonXtal_Prot#'!A:AL,28,FALSE)-VLOOKUP(A180,'SegEnds_NonXtal_Prot#'!A:AL,25,FALSE)</f>
        <v>28</v>
      </c>
      <c r="AH180" s="1">
        <f>VLOOKUP(A180,'SegEnds_NonXtal_Prot#'!A:AL,28,FALSE)-VLOOKUP(A180,'SegEnds_NonXtal_Prot#'!A:AL,22,FALSE)</f>
        <v>55</v>
      </c>
      <c r="AI180" s="1">
        <f>VLOOKUP(A180,'SegEnds_NonXtal_Prot#'!A:AL,31,FALSE)-VLOOKUP(A180,'SegEnds_NonXtal_Prot#'!A:AL,28,FALSE)</f>
        <v>42</v>
      </c>
      <c r="AJ180" s="1">
        <f>VLOOKUP(A180,'SegEnds_NonXtal_Prot#'!A:AL,34,FALSE)-VLOOKUP(A180,'SegEnds_NonXtal_Prot#'!A:AL,31,FALSE)</f>
        <v>39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NoXtal</v>
      </c>
    </row>
    <row r="181" spans="1:38" x14ac:dyDescent="0.2">
      <c r="A181" s="1" t="s">
        <v>364</v>
      </c>
      <c r="B181" s="1" t="str">
        <f>VLOOKUP(A181,Xtal_Templ!A:B,2,FALSE)</f>
        <v>pe2r4_human</v>
      </c>
      <c r="C181" s="5">
        <f>VLOOKUP($B181&amp;"__wt",'SegEnds_Xtal_BW#'!$A:$Z,3,FALSE)</f>
        <v>33</v>
      </c>
      <c r="D181" s="1">
        <f>VLOOKUP($B181&amp;"__wt",'SegEnds_Xtal_BW#'!$A:$Z,4,FALSE)</f>
        <v>58</v>
      </c>
      <c r="E181" s="1" t="str">
        <f>VLOOKUP($B181&amp;"__wt",'SegEnds_Xtal_BW#'!$A:$Z,5,FALSE)</f>
        <v>-</v>
      </c>
      <c r="F181" s="1" t="str">
        <f>VLOOKUP($B181&amp;"__wt",'SegEnds_Xtal_BW#'!$A:$Z,6,FALSE)</f>
        <v>-</v>
      </c>
      <c r="G181" s="1">
        <v>37</v>
      </c>
      <c r="H181" s="12">
        <f>VLOOKUP($B181&amp;"__wt",'SegEnds_Xtal_BW#'!$A:$Z,8,FALSE)</f>
        <v>67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f>VLOOKUP($B181&amp;"__wt",'SegEnds_Xtal_BW#'!$A:$Z,14,FALSE)</f>
        <v>57</v>
      </c>
      <c r="O181" s="87">
        <v>38</v>
      </c>
      <c r="P181" s="1">
        <f>VLOOKUP($B181&amp;"__wt",'SegEnds_Xtal_BW#'!$A:$Z,16,FALSE)</f>
        <v>63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33</v>
      </c>
      <c r="T181" s="1">
        <f t="array" ref="T181">INDEX(ICL3_classA!$G$2:$G$37,MATCH(MIN(ABS(AI181-ICL3_classA!$F$2:$F$37)),ABS(AI181-ICL3_classA!$F$2:$F$37),0))</f>
        <v>76</v>
      </c>
      <c r="U181" s="1">
        <f t="array" ref="U181">INDEX(ICL3_classA!$H$2:$H$37,MATCH(MIN(ABS(AI181-ICL3_classA!$F$2:$F$37)),ABS(AI181-ICL3_classA!$F$2:$F$37),0))</f>
        <v>24</v>
      </c>
      <c r="V181" s="1">
        <v>61</v>
      </c>
      <c r="W181" s="132">
        <f>VLOOKUP($B181&amp;"__wt",'SegEnds_Xtal_BW#'!$A:$Z,23,FALSE)</f>
        <v>33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60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30</v>
      </c>
      <c r="AC181" s="1" t="e">
        <f>VLOOKUP(A181,'SegEnds_NonXtal_Prot#'!A:AL,10,FALSE)-VLOOKUP(A181,'SegEnds_NonXtal_Prot#'!A:AL,7,FALSE)</f>
        <v>#VALUE!</v>
      </c>
      <c r="AD181" s="1">
        <f>VLOOKUP(A181,'SegEnds_NonXtal_Prot#'!A:AL,13,FALSE)-VLOOKUP(A181,'SegEnds_NonXtal_Prot#'!A:AL,10,FALSE)</f>
        <v>20</v>
      </c>
      <c r="AE181" s="1">
        <f>VLOOKUP(A181,'SegEnds_NonXtal_Prot#'!A:AL,16,FALSE)-VLOOKUP(A181,'SegEnds_NonXtal_Prot#'!A:AL,10,FALSE)</f>
        <v>52</v>
      </c>
      <c r="AF181" s="1">
        <f>VLOOKUP(A181,'SegEnds_NonXtal_Prot#'!A:AL,22,FALSE)-VLOOKUP(A181,'SegEnds_NonXtal_Prot#'!A:AL,19,FALSE)</f>
        <v>20</v>
      </c>
      <c r="AG181" s="1">
        <f>VLOOKUP(A181,'SegEnds_NonXtal_Prot#'!A:AL,28,FALSE)-VLOOKUP(A181,'SegEnds_NonXtal_Prot#'!A:AL,25,FALSE)</f>
        <v>25</v>
      </c>
      <c r="AH181" s="1">
        <f>VLOOKUP(A181,'SegEnds_NonXtal_Prot#'!A:AL,28,FALSE)-VLOOKUP(A181,'SegEnds_NonXtal_Prot#'!A:AL,22,FALSE)</f>
        <v>51</v>
      </c>
      <c r="AI181" s="1">
        <f>VLOOKUP(A181,'SegEnds_NonXtal_Prot#'!A:AL,31,FALSE)-VLOOKUP(A181,'SegEnds_NonXtal_Prot#'!A:AL,28,FALSE)</f>
        <v>92</v>
      </c>
      <c r="AJ181" s="1">
        <f>VLOOKUP(A181,'SegEnds_NonXtal_Prot#'!A:AL,34,FALSE)-VLOOKUP(A181,'SegEnds_NonXtal_Prot#'!A:AL,31,FALSE)</f>
        <v>39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Xtal</v>
      </c>
    </row>
    <row r="182" spans="1:38" x14ac:dyDescent="0.2">
      <c r="A182" s="4" t="s">
        <v>369</v>
      </c>
      <c r="B182" s="4" t="str">
        <f>VLOOKUP(A182,Xtal_Templ!A:B,2,FALSE)</f>
        <v>ox2r_human</v>
      </c>
      <c r="C182" s="5">
        <f>VLOOKUP($B182&amp;"__wt",'SegEnds_Xtal_BW#'!$A:$Z,3,FALSE)</f>
        <v>31</v>
      </c>
      <c r="D182" s="4">
        <f>VLOOKUP($B182&amp;"__wt",'SegEnds_Xtal_BW#'!$A:$Z,4,FALSE)</f>
        <v>60</v>
      </c>
      <c r="E182" s="4">
        <f>VLOOKUP($B182&amp;"__wt",'SegEnds_Xtal_BW#'!$A:$Z,5,FALSE)</f>
        <v>48</v>
      </c>
      <c r="F182" s="4">
        <f>VLOOKUP($B182&amp;"__wt",'SegEnds_Xtal_BW#'!$A:$Z,6,FALSE)</f>
        <v>51</v>
      </c>
      <c r="G182" s="4">
        <v>37</v>
      </c>
      <c r="H182" s="11">
        <f>VLOOKUP($B182&amp;"__wt",'SegEnds_Xtal_BW#'!$A:$Z,8,FALSE)</f>
        <v>68</v>
      </c>
      <c r="I182" s="4">
        <f>VLOOKUP($B182&amp;"__wt",'SegEnds_Xtal_BW#'!$A:$Z,9,FALSE)</f>
        <v>49</v>
      </c>
      <c r="J182" s="4">
        <f>VLOOKUP($B182&amp;"__wt",'SegEnds_Xtal_BW#'!$A:$Z,10,FALSE)</f>
        <v>52</v>
      </c>
      <c r="K182" s="11">
        <v>18</v>
      </c>
      <c r="L182" s="4">
        <f>VLOOKUP($B182&amp;"__wt",'SegEnds_Xtal_BW#'!$A:$Z,12,FALSE)</f>
        <v>56</v>
      </c>
      <c r="M182" s="4">
        <f>VLOOKUP($B182&amp;"__wt",'SegEnds_Xtal_BW#'!$A:$Z,13,FALSE)</f>
        <v>50</v>
      </c>
      <c r="N182" s="11">
        <v>53</v>
      </c>
      <c r="O182" s="87">
        <f>VLOOKUP($B182&amp;"__wt",'SegEnds_Xtal_BW#'!$A:$Z,15,FALSE)</f>
        <v>38</v>
      </c>
      <c r="P182" s="4">
        <f>VLOOKUP($B182&amp;"__wt",'SegEnds_Xtal_BW#'!$A:$Z,16,FALSE)</f>
        <v>64</v>
      </c>
      <c r="Q182" s="4">
        <f>VLOOKUP($B182&amp;"__wt",'SegEnds_Xtal_BW#'!$A:$Z,17,FALSE)</f>
        <v>50</v>
      </c>
      <c r="R182" s="4">
        <f>VLOOKUP($B182&amp;"__wt",'SegEnds_Xtal_BW#'!$A:$Z,18,FALSE)</f>
        <v>52</v>
      </c>
      <c r="S182" s="4">
        <f>VLOOKUP($B182&amp;"__wt",'SegEnds_Xtal_BW#'!$A:$Z,19,FALSE)</f>
        <v>33</v>
      </c>
      <c r="T182" s="4">
        <f t="array" ref="T182">INDEX(ICL3_classA!$G$2:$G$37,MATCH(MIN(ABS(AI182-ICL3_classA!$F$2:$F$37)),ABS(AI182-ICL3_classA!$F$2:$F$37),0))</f>
        <v>73</v>
      </c>
      <c r="U182" s="4">
        <f t="array" ref="U182">INDEX(ICL3_classA!$H$2:$H$37,MATCH(MIN(ABS(AI182-ICL3_classA!$F$2:$F$37)),ABS(AI182-ICL3_classA!$F$2:$F$37),0))</f>
        <v>22</v>
      </c>
      <c r="V182" s="4">
        <v>61</v>
      </c>
      <c r="W182" s="132">
        <f>VLOOKUP($B182&amp;"__wt",'SegEnds_Xtal_BW#'!$A:$Z,23,FALSE)</f>
        <v>27</v>
      </c>
      <c r="X182" s="4">
        <f>VLOOKUP($B182&amp;"__wt",'SegEnds_Xtal_BW#'!$A:$Z,24,FALSE)</f>
        <v>56</v>
      </c>
      <c r="Y182" s="4">
        <f>VLOOKUP($B182&amp;"__wt",'SegEnds_Xtal_BW#'!$A:$Z,25,FALSE)</f>
        <v>47</v>
      </c>
      <c r="Z182" s="4">
        <f>VLOOKUP($B182&amp;"__wt",'SegEnds_Xtal_BW#'!$A:$Z,26,FALSE)</f>
        <v>58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28</v>
      </c>
      <c r="AC182" s="4">
        <f>VLOOKUP(A182,'SegEnds_NonXtal_Prot#'!A:AL,10,FALSE)-VLOOKUP(A182,'SegEnds_NonXtal_Prot#'!A:AL,7,FALSE)</f>
        <v>15</v>
      </c>
      <c r="AD182" s="4">
        <f>VLOOKUP(A182,'SegEnds_NonXtal_Prot#'!A:AL,13,FALSE)-VLOOKUP(A182,'SegEnds_NonXtal_Prot#'!A:AL,10,FALSE)</f>
        <v>21</v>
      </c>
      <c r="AE182" s="4">
        <f>VLOOKUP(A182,'SegEnds_NonXtal_Prot#'!A:AL,16,FALSE)-VLOOKUP(A182,'SegEnds_NonXtal_Prot#'!A:AL,10,FALSE)</f>
        <v>53</v>
      </c>
      <c r="AF182" s="1">
        <f>VLOOKUP(A182,'SegEnds_NonXtal_Prot#'!A:AL,22,FALSE)-VLOOKUP(A182,'SegEnds_NonXtal_Prot#'!A:AL,19,FALSE)</f>
        <v>18</v>
      </c>
      <c r="AG182" s="4">
        <f>VLOOKUP(A182,'SegEnds_NonXtal_Prot#'!A:AL,28,FALSE)-VLOOKUP(A182,'SegEnds_NonXtal_Prot#'!A:AL,25,FALSE)</f>
        <v>26</v>
      </c>
      <c r="AH182" s="1">
        <f>VLOOKUP(A182,'SegEnds_NonXtal_Prot#'!A:AL,28,FALSE)-VLOOKUP(A182,'SegEnds_NonXtal_Prot#'!A:AL,22,FALSE)</f>
        <v>53</v>
      </c>
      <c r="AI182" s="4">
        <f>VLOOKUP(A182,'SegEnds_NonXtal_Prot#'!A:AL,31,FALSE)-VLOOKUP(A182,'SegEnds_NonXtal_Prot#'!A:AL,28,FALSE)</f>
        <v>56</v>
      </c>
      <c r="AJ182" s="4">
        <f>VLOOKUP(A182,'SegEnds_NonXtal_Prot#'!A:AL,34,FALSE)-VLOOKUP(A182,'SegEnds_NonXtal_Prot#'!A:AL,31,FALSE)</f>
        <v>39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396</v>
      </c>
      <c r="B183" s="1" t="str">
        <f>VLOOKUP(A183,Xtal_Templ!A:B,2,FALSE)</f>
        <v>ccr5_human</v>
      </c>
      <c r="C183" s="5">
        <f>VLOOKUP($B183&amp;"__wt",'SegEnds_Xtal_BW#'!$A:$Z,3,FALSE)</f>
        <v>24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v>66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08">
        <v>56</v>
      </c>
      <c r="O183" s="87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30</v>
      </c>
      <c r="T183" s="1">
        <f t="array" ref="T183">INDEX(ICL3_classA!$G$2:$G$37,MATCH(MIN(ABS(AI183-ICL3_classA!$F$2:$F$37)),ABS(AI183-ICL3_classA!$F$2:$F$37),0))</f>
        <v>72</v>
      </c>
      <c r="U183" s="1">
        <f t="array" ref="U183">INDEX(ICL3_classA!$H$2:$H$37,MATCH(MIN(ABS(AI183-ICL3_classA!$F$2:$F$37)),ABS(AI183-ICL3_classA!$F$2:$F$37),0))</f>
        <v>29</v>
      </c>
      <c r="V183" s="1">
        <v>61</v>
      </c>
      <c r="W183" s="132">
        <f>VLOOKUP($B183&amp;"__wt",'SegEnds_Xtal_BW#'!$A:$Z,23,FALSE)</f>
        <v>24</v>
      </c>
      <c r="X183" s="108"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28</v>
      </c>
      <c r="AC183" s="1">
        <f>VLOOKUP(A183,'SegEnds_NonXtal_Prot#'!A:AL,10,FALSE)-VLOOKUP(A183,'SegEnds_NonXtal_Prot#'!A:AL,7,FALSE)</f>
        <v>15</v>
      </c>
      <c r="AD183" s="1">
        <f>VLOOKUP(A183,'SegEnds_NonXtal_Prot#'!A:AL,13,FALSE)-VLOOKUP(A183,'SegEnds_NonXtal_Prot#'!A:AL,10,FALSE)</f>
        <v>19</v>
      </c>
      <c r="AE183" s="1">
        <f>VLOOKUP(A183,'SegEnds_NonXtal_Prot#'!A:AL,16,FALSE)-VLOOKUP(A183,'SegEnds_NonXtal_Prot#'!A:AL,10,FALSE)</f>
        <v>51</v>
      </c>
      <c r="AF183" s="1">
        <f>VLOOKUP(A183,'SegEnds_NonXtal_Prot#'!A:AL,22,FALSE)-VLOOKUP(A183,'SegEnds_NonXtal_Prot#'!A:AL,19,FALSE)</f>
        <v>19</v>
      </c>
      <c r="AG183" s="1">
        <f>VLOOKUP(A183,'SegEnds_NonXtal_Prot#'!A:AL,28,FALSE)-VLOOKUP(A183,'SegEnds_NonXtal_Prot#'!A:AL,25,FALSE)</f>
        <v>24</v>
      </c>
      <c r="AH183" s="1">
        <f>VLOOKUP(A183,'SegEnds_NonXtal_Prot#'!A:AL,28,FALSE)-VLOOKUP(A183,'SegEnds_NonXtal_Prot#'!A:AL,22,FALSE)</f>
        <v>49</v>
      </c>
      <c r="AI183" s="1">
        <f>VLOOKUP(A183,'SegEnds_NonXtal_Prot#'!A:AL,31,FALSE)-VLOOKUP(A183,'SegEnds_NonXtal_Prot#'!A:AL,28,FALSE)</f>
        <v>50</v>
      </c>
      <c r="AJ183" s="1">
        <f>VLOOKUP(A183,'SegEnds_NonXtal_Prot#'!A:AL,34,FALSE)-VLOOKUP(A183,'SegEnds_NonXtal_Prot#'!A:AL,31,FALSE)</f>
        <v>39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397</v>
      </c>
      <c r="B184" s="1" t="str">
        <f>VLOOKUP(A184,Xtal_Templ!A:B,2,FALSE)</f>
        <v>ox2r_human</v>
      </c>
      <c r="C184" s="5">
        <f>VLOOKUP($B184&amp;"__wt",'SegEnds_Xtal_BW#'!$A:$Z,3,FALSE)</f>
        <v>31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08">
        <v>66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08">
        <v>56</v>
      </c>
      <c r="O184" s="87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33</v>
      </c>
      <c r="T184" s="1">
        <f t="array" ref="T184">INDEX(ICL3_classA!$G$2:$G$37,MATCH(MIN(ABS(AI184-ICL3_classA!$F$2:$F$37)),ABS(AI184-ICL3_classA!$F$2:$F$37),0))</f>
        <v>76</v>
      </c>
      <c r="U184" s="1">
        <f t="array" ref="U184">INDEX(ICL3_classA!$H$2:$H$37,MATCH(MIN(ABS(AI184-ICL3_classA!$F$2:$F$37)),ABS(AI184-ICL3_classA!$F$2:$F$37),0))</f>
        <v>24</v>
      </c>
      <c r="V184" s="1">
        <v>61</v>
      </c>
      <c r="W184" s="132">
        <f>VLOOKUP($B184&amp;"__wt",'SegEnds_Xtal_BW#'!$A:$Z,23,FALSE)</f>
        <v>27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58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28</v>
      </c>
      <c r="AC184" s="1">
        <f>VLOOKUP(A184,'SegEnds_NonXtal_Prot#'!A:AL,10,FALSE)-VLOOKUP(A184,'SegEnds_NonXtal_Prot#'!A:AL,7,FALSE)</f>
        <v>15</v>
      </c>
      <c r="AD184" s="1">
        <f>VLOOKUP(A184,'SegEnds_NonXtal_Prot#'!A:AL,13,FALSE)-VLOOKUP(A184,'SegEnds_NonXtal_Prot#'!A:AL,10,FALSE)</f>
        <v>18</v>
      </c>
      <c r="AE184" s="1">
        <f>VLOOKUP(A184,'SegEnds_NonXtal_Prot#'!A:AL,16,FALSE)-VLOOKUP(A184,'SegEnds_NonXtal_Prot#'!A:AL,10,FALSE)</f>
        <v>52</v>
      </c>
      <c r="AF184" s="1">
        <f>VLOOKUP(A184,'SegEnds_NonXtal_Prot#'!A:AL,22,FALSE)-VLOOKUP(A184,'SegEnds_NonXtal_Prot#'!A:AL,19,FALSE)</f>
        <v>19</v>
      </c>
      <c r="AG184" s="1">
        <f>VLOOKUP(A184,'SegEnds_NonXtal_Prot#'!A:AL,28,FALSE)-VLOOKUP(A184,'SegEnds_NonXtal_Prot#'!A:AL,25,FALSE)</f>
        <v>25</v>
      </c>
      <c r="AH184" s="1">
        <f>VLOOKUP(A184,'SegEnds_NonXtal_Prot#'!A:AL,28,FALSE)-VLOOKUP(A184,'SegEnds_NonXtal_Prot#'!A:AL,22,FALSE)</f>
        <v>53</v>
      </c>
      <c r="AI184" s="1">
        <f>VLOOKUP(A184,'SegEnds_NonXtal_Prot#'!A:AL,31,FALSE)-VLOOKUP(A184,'SegEnds_NonXtal_Prot#'!A:AL,28,FALSE)</f>
        <v>78</v>
      </c>
      <c r="AJ184" s="1">
        <f>VLOOKUP(A184,'SegEnds_NonXtal_Prot#'!A:AL,34,FALSE)-VLOOKUP(A184,'SegEnds_NonXtal_Prot#'!A:AL,31,FALSE)</f>
        <v>39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NoXtal</v>
      </c>
    </row>
    <row r="185" spans="1:38" x14ac:dyDescent="0.2">
      <c r="A185" s="1" t="s">
        <v>398</v>
      </c>
      <c r="B185" s="1" t="str">
        <f>VLOOKUP(A185,Xtal_Templ!A:B,2,FALSE)</f>
        <v>mtr1b_human</v>
      </c>
      <c r="C185" s="5">
        <f>VLOOKUP($B185&amp;"__wt",'SegEnds_Xtal_BW#'!$A:$Z,3,FALSE)</f>
        <v>30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08">
        <v>66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08">
        <v>56</v>
      </c>
      <c r="O185" s="87">
        <f>VLOOKUP($B185&amp;"__wt",'SegEnds_Xtal_BW#'!$A:$Z,15,FALSE)</f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35</v>
      </c>
      <c r="T185" s="1">
        <f t="array" ref="T185">INDEX(ICL3_classA!$G$2:$G$37,MATCH(MIN(ABS(AI185-ICL3_classA!$F$2:$F$37)),ABS(AI185-ICL3_classA!$F$2:$F$37),0))</f>
        <v>76</v>
      </c>
      <c r="U185" s="1">
        <f t="array" ref="U185">INDEX(ICL3_classA!$H$2:$H$37,MATCH(MIN(ABS(AI185-ICL3_classA!$F$2:$F$37)),ABS(AI185-ICL3_classA!$F$2:$F$37),0))</f>
        <v>24</v>
      </c>
      <c r="V185" s="1">
        <v>61</v>
      </c>
      <c r="W185" s="132">
        <f>VLOOKUP($B185&amp;"__wt",'SegEnds_Xtal_BW#'!$A:$Z,23,FALSE)</f>
        <v>31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63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28</v>
      </c>
      <c r="AC185" s="1">
        <f>VLOOKUP(A185,'SegEnds_NonXtal_Prot#'!A:AL,10,FALSE)-VLOOKUP(A185,'SegEnds_NonXtal_Prot#'!A:AL,7,FALSE)</f>
        <v>15</v>
      </c>
      <c r="AD185" s="1">
        <f>VLOOKUP(A185,'SegEnds_NonXtal_Prot#'!A:AL,13,FALSE)-VLOOKUP(A185,'SegEnds_NonXtal_Prot#'!A:AL,10,FALSE)</f>
        <v>18</v>
      </c>
      <c r="AE185" s="1">
        <f>VLOOKUP(A185,'SegEnds_NonXtal_Prot#'!A:AL,16,FALSE)-VLOOKUP(A185,'SegEnds_NonXtal_Prot#'!A:AL,10,FALSE)</f>
        <v>52</v>
      </c>
      <c r="AF185" s="1">
        <f>VLOOKUP(A185,'SegEnds_NonXtal_Prot#'!A:AL,22,FALSE)-VLOOKUP(A185,'SegEnds_NonXtal_Prot#'!A:AL,19,FALSE)</f>
        <v>19</v>
      </c>
      <c r="AG185" s="1">
        <f>VLOOKUP(A185,'SegEnds_NonXtal_Prot#'!A:AL,28,FALSE)-VLOOKUP(A185,'SegEnds_NonXtal_Prot#'!A:AL,25,FALSE)</f>
        <v>25</v>
      </c>
      <c r="AH185" s="1">
        <f>VLOOKUP(A185,'SegEnds_NonXtal_Prot#'!A:AL,28,FALSE)-VLOOKUP(A185,'SegEnds_NonXtal_Prot#'!A:AL,22,FALSE)</f>
        <v>53</v>
      </c>
      <c r="AI185" s="1">
        <f>VLOOKUP(A185,'SegEnds_NonXtal_Prot#'!A:AL,31,FALSE)-VLOOKUP(A185,'SegEnds_NonXtal_Prot#'!A:AL,28,FALSE)</f>
        <v>85</v>
      </c>
      <c r="AJ185" s="1">
        <f>VLOOKUP(A185,'SegEnds_NonXtal_Prot#'!A:AL,34,FALSE)-VLOOKUP(A185,'SegEnds_NonXtal_Prot#'!A:AL,31,FALSE)</f>
        <v>39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NoXtal</v>
      </c>
    </row>
    <row r="186" spans="1:38" x14ac:dyDescent="0.2">
      <c r="A186" s="1" t="s">
        <v>164</v>
      </c>
      <c r="B186" s="1" t="str">
        <f>VLOOKUP(A186,Xtal_Templ!A:B,2,FALSE)</f>
        <v>c5ar1_human</v>
      </c>
      <c r="C186" s="5">
        <f>VLOOKUP($B186&amp;"__wt",'SegEnds_Xtal_BW#'!$A:$Z,3,FALSE)</f>
        <v>29</v>
      </c>
      <c r="D186" s="1">
        <f>VLOOKUP($B186&amp;"__wt",'SegEnds_Xtal_BW#'!$A:$Z,4,FALSE)</f>
        <v>60</v>
      </c>
      <c r="E186" s="1" t="str">
        <f>VLOOKUP($B186&amp;"__wt",'SegEnds_Xtal_BW#'!$A:$Z,5,FALSE)</f>
        <v>-</v>
      </c>
      <c r="F186" s="1" t="str">
        <f>VLOOKUP($B186&amp;"__wt",'SegEnds_Xtal_BW#'!$A:$Z,6,FALSE)</f>
        <v>-</v>
      </c>
      <c r="G186" s="1">
        <v>37</v>
      </c>
      <c r="H186" s="12">
        <f>VLOOKUP($B186&amp;"__wt",'SegEnds_Xtal_BW#'!$A:$Z,8,FALSE)</f>
        <v>67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31</v>
      </c>
      <c r="T186" s="1">
        <f t="array" ref="T186">INDEX(ICL3_classA!$G$2:$G$37,MATCH(MIN(ABS(AI186-ICL3_classA!$F$2:$F$37)),ABS(AI186-ICL3_classA!$F$2:$F$37),0))</f>
        <v>68</v>
      </c>
      <c r="U186" s="108">
        <v>31</v>
      </c>
      <c r="V186" s="1">
        <v>61</v>
      </c>
      <c r="W186" s="108">
        <v>25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56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27</v>
      </c>
      <c r="AC186" s="1" t="e">
        <f>VLOOKUP(A186,'SegEnds_NonXtal_Prot#'!A:AL,10,FALSE)-VLOOKUP(A186,'SegEnds_NonXtal_Prot#'!A:AL,7,FALSE)</f>
        <v>#VALUE!</v>
      </c>
      <c r="AD186" s="1">
        <f>VLOOKUP(A186,'SegEnds_NonXtal_Prot#'!A:AL,13,FALSE)-VLOOKUP(A186,'SegEnds_NonXtal_Prot#'!A:AL,10,FALSE)</f>
        <v>20</v>
      </c>
      <c r="AE186" s="1">
        <f>VLOOKUP(A186,'SegEnds_NonXtal_Prot#'!A:AL,16,FALSE)-VLOOKUP(A186,'SegEnds_NonXtal_Prot#'!A:AL,10,FALSE)</f>
        <v>52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176</v>
      </c>
      <c r="AH186" s="1">
        <f>VLOOKUP(A186,'SegEnds_NonXtal_Prot#'!A:AL,28,FALSE)-VLOOKUP(A186,'SegEnds_NonXtal_Prot#'!A:AL,22,FALSE)</f>
        <v>201</v>
      </c>
      <c r="AI186" s="1">
        <f>VLOOKUP(A186,'SegEnds_NonXtal_Prot#'!A:AL,31,FALSE)-VLOOKUP(A186,'SegEnds_NonXtal_Prot#'!A:AL,28,FALSE)</f>
        <v>44</v>
      </c>
      <c r="AJ186" s="1">
        <f>VLOOKUP(A186,'SegEnds_NonXtal_Prot#'!A:AL,34,FALSE)-VLOOKUP(A186,'SegEnds_NonXtal_Prot#'!A:AL,31,FALSE)</f>
        <v>40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NoXtal</v>
      </c>
    </row>
    <row r="187" spans="1:38" x14ac:dyDescent="0.2">
      <c r="A187" s="1" t="s">
        <v>165</v>
      </c>
      <c r="B187" s="1" t="str">
        <f>VLOOKUP(A187,Xtal_Templ!A:B,2,FALSE)</f>
        <v>c5ar1_human</v>
      </c>
      <c r="C187" s="5">
        <f>VLOOKUP($B187&amp;"__wt",'SegEnds_Xtal_BW#'!$A:$Z,3,FALSE)</f>
        <v>29</v>
      </c>
      <c r="D187" s="1">
        <f>VLOOKUP($B187&amp;"__wt",'SegEnds_Xtal_BW#'!$A:$Z,4,FALSE)</f>
        <v>60</v>
      </c>
      <c r="E187" s="1" t="str">
        <f>VLOOKUP($B187&amp;"__wt",'SegEnds_Xtal_BW#'!$A:$Z,5,FALSE)</f>
        <v>-</v>
      </c>
      <c r="F187" s="1" t="str">
        <f>VLOOKUP($B187&amp;"__wt",'SegEnds_Xtal_BW#'!$A:$Z,6,FALSE)</f>
        <v>-</v>
      </c>
      <c r="G187" s="1">
        <v>37</v>
      </c>
      <c r="H187" s="12">
        <f>VLOOKUP($B187&amp;"__wt",'SegEnds_Xtal_BW#'!$A:$Z,8,FALSE)</f>
        <v>67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31</v>
      </c>
      <c r="T187" s="1">
        <f t="array" ref="T187">INDEX(ICL3_classA!$G$2:$G$37,MATCH(MIN(ABS(AI187-ICL3_classA!$F$2:$F$37)),ABS(AI187-ICL3_classA!$F$2:$F$37),0))</f>
        <v>68</v>
      </c>
      <c r="U187" s="108">
        <v>31</v>
      </c>
      <c r="V187" s="1">
        <v>61</v>
      </c>
      <c r="W187" s="108">
        <v>25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56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27</v>
      </c>
      <c r="AC187" s="1" t="e">
        <f>VLOOKUP(A187,'SegEnds_NonXtal_Prot#'!A:AL,10,FALSE)-VLOOKUP(A187,'SegEnds_NonXtal_Prot#'!A:AL,7,FALSE)</f>
        <v>#VALUE!</v>
      </c>
      <c r="AD187" s="1">
        <f>VLOOKUP(A187,'SegEnds_NonXtal_Prot#'!A:AL,13,FALSE)-VLOOKUP(A187,'SegEnds_NonXtal_Prot#'!A:AL,10,FALSE)</f>
        <v>20</v>
      </c>
      <c r="AE187" s="1">
        <f>VLOOKUP(A187,'SegEnds_NonXtal_Prot#'!A:AL,16,FALSE)-VLOOKUP(A187,'SegEnds_NonXtal_Prot#'!A:AL,10,FALSE)</f>
        <v>52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26</v>
      </c>
      <c r="AH187" s="1">
        <f>VLOOKUP(A187,'SegEnds_NonXtal_Prot#'!A:AL,28,FALSE)-VLOOKUP(A187,'SegEnds_NonXtal_Prot#'!A:AL,22,FALSE)</f>
        <v>53</v>
      </c>
      <c r="AI187" s="1">
        <f>VLOOKUP(A187,'SegEnds_NonXtal_Prot#'!A:AL,31,FALSE)-VLOOKUP(A187,'SegEnds_NonXtal_Prot#'!A:AL,28,FALSE)</f>
        <v>43</v>
      </c>
      <c r="AJ187" s="1">
        <f>VLOOKUP(A187,'SegEnds_NonXtal_Prot#'!A:AL,34,FALSE)-VLOOKUP(A187,'SegEnds_NonXtal_Prot#'!A:AL,31,FALSE)</f>
        <v>40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Xtal</v>
      </c>
    </row>
    <row r="188" spans="1:38" x14ac:dyDescent="0.2">
      <c r="A188" s="1" t="s">
        <v>166</v>
      </c>
      <c r="B188" s="1" t="str">
        <f>VLOOKUP(A188,Xtal_Templ!A:B,2,FALSE)</f>
        <v>c5ar1_human</v>
      </c>
      <c r="C188" s="5">
        <f>VLOOKUP($B188&amp;"__wt",'SegEnds_Xtal_BW#'!$A:$Z,3,FALSE)</f>
        <v>29</v>
      </c>
      <c r="D188" s="1">
        <f>VLOOKUP($B188&amp;"__wt",'SegEnds_Xtal_BW#'!$A:$Z,4,FALSE)</f>
        <v>60</v>
      </c>
      <c r="E188" s="1" t="str">
        <f>VLOOKUP($B188&amp;"__wt",'SegEnds_Xtal_BW#'!$A:$Z,5,FALSE)</f>
        <v>-</v>
      </c>
      <c r="F188" s="1" t="str">
        <f>VLOOKUP($B188&amp;"__wt",'SegEnds_Xtal_BW#'!$A:$Z,6,FALSE)</f>
        <v>-</v>
      </c>
      <c r="G188" s="1">
        <v>37</v>
      </c>
      <c r="H188" s="12">
        <f>VLOOKUP($B188&amp;"__wt",'SegEnds_Xtal_BW#'!$A:$Z,8,FALSE)</f>
        <v>67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7"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31</v>
      </c>
      <c r="T188" s="1">
        <f t="array" ref="T188">INDEX(ICL3_classA!$G$2:$G$37,MATCH(MIN(ABS(AI188-ICL3_classA!$F$2:$F$37)),ABS(AI188-ICL3_classA!$F$2:$F$37),0))</f>
        <v>64</v>
      </c>
      <c r="U188" s="108">
        <v>31</v>
      </c>
      <c r="V188" s="1">
        <v>61</v>
      </c>
      <c r="W188" s="108">
        <v>25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56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27</v>
      </c>
      <c r="AC188" s="1" t="e">
        <f>VLOOKUP(A188,'SegEnds_NonXtal_Prot#'!A:AL,10,FALSE)-VLOOKUP(A188,'SegEnds_NonXtal_Prot#'!A:AL,7,FALSE)</f>
        <v>#VALUE!</v>
      </c>
      <c r="AD188" s="1">
        <f>VLOOKUP(A188,'SegEnds_NonXtal_Prot#'!A:AL,13,FALSE)-VLOOKUP(A188,'SegEnds_NonXtal_Prot#'!A:AL,10,FALSE)</f>
        <v>20</v>
      </c>
      <c r="AE188" s="1">
        <f>VLOOKUP(A188,'SegEnds_NonXtal_Prot#'!A:AL,16,FALSE)-VLOOKUP(A188,'SegEnds_NonXtal_Prot#'!A:AL,10,FALSE)</f>
        <v>52</v>
      </c>
      <c r="AF188" s="1">
        <f>VLOOKUP(A188,'SegEnds_NonXtal_Prot#'!A:AL,22,FALSE)-VLOOKUP(A188,'SegEnds_NonXtal_Prot#'!A:AL,19,FALSE)</f>
        <v>20</v>
      </c>
      <c r="AG188" s="1">
        <f>VLOOKUP(A188,'SegEnds_NonXtal_Prot#'!A:AL,28,FALSE)-VLOOKUP(A188,'SegEnds_NonXtal_Prot#'!A:AL,25,FALSE)</f>
        <v>26</v>
      </c>
      <c r="AH188" s="1">
        <f>VLOOKUP(A188,'SegEnds_NonXtal_Prot#'!A:AL,28,FALSE)-VLOOKUP(A188,'SegEnds_NonXtal_Prot#'!A:AL,22,FALSE)</f>
        <v>53</v>
      </c>
      <c r="AI188" s="1">
        <f>VLOOKUP(A188,'SegEnds_NonXtal_Prot#'!A:AL,31,FALSE)-VLOOKUP(A188,'SegEnds_NonXtal_Prot#'!A:AL,28,FALSE)</f>
        <v>36</v>
      </c>
      <c r="AJ188" s="1">
        <f>VLOOKUP(A188,'SegEnds_NonXtal_Prot#'!A:AL,34,FALSE)-VLOOKUP(A188,'SegEnds_NonXtal_Prot#'!A:AL,31,FALSE)</f>
        <v>40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NoXtal</v>
      </c>
    </row>
    <row r="189" spans="1:38" x14ac:dyDescent="0.2">
      <c r="A189" s="1" t="s">
        <v>180</v>
      </c>
      <c r="B189" s="1" t="str">
        <f>VLOOKUP(A189,Xtal_Templ!A:B,2,FALSE)</f>
        <v>p2ry1_human</v>
      </c>
      <c r="C189" s="5">
        <f>VLOOKUP($B189&amp;"__wt",'SegEnds_Xtal_BW#'!$A:$Z,3,FALSE)</f>
        <v>30</v>
      </c>
      <c r="D189" s="1">
        <f>VLOOKUP($B189&amp;"__wt",'SegEnds_Xtal_BW#'!$A:$Z,4,FALSE)</f>
        <v>60</v>
      </c>
      <c r="E189" s="1" t="str">
        <f>VLOOKUP($B189&amp;"__wt",'SegEnds_Xtal_BW#'!$A:$Z,5,FALSE)</f>
        <v>-</v>
      </c>
      <c r="F189" s="1" t="str">
        <f>VLOOKUP($B189&amp;"__wt",'SegEnds_Xtal_BW#'!$A:$Z,6,FALSE)</f>
        <v>-</v>
      </c>
      <c r="G189" s="1">
        <v>37</v>
      </c>
      <c r="H189" s="12">
        <f>VLOOKUP($B189&amp;"__wt",'SegEnds_Xtal_BW#'!$A:$Z,8,FALSE)</f>
        <v>66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7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32</v>
      </c>
      <c r="T189" s="1">
        <f t="array" ref="T189">INDEX(ICL3_classA!$G$2:$G$37,MATCH(MIN(ABS(AI189-ICL3_classA!$F$2:$F$37)),ABS(AI189-ICL3_classA!$F$2:$F$37),0))</f>
        <v>68</v>
      </c>
      <c r="U189" s="1">
        <f t="array" ref="U189">INDEX(ICL3_classA!$H$2:$H$37,MATCH(MIN(ABS(AI189-ICL3_classA!$F$2:$F$37)),ABS(AI189-ICL3_classA!$F$2:$F$37),0))</f>
        <v>24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59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 t="e">
        <f>VLOOKUP(A189,'SegEnds_NonXtal_Prot#'!A:AL,10,FALSE)-VLOOKUP(A189,'SegEnds_NonXtal_Prot#'!A:AL,7,FALSE)</f>
        <v>#VALUE!</v>
      </c>
      <c r="AD189" s="1">
        <f>VLOOKUP(A189,'SegEnds_NonXtal_Prot#'!A:AL,13,FALSE)-VLOOKUP(A189,'SegEnds_NonXtal_Prot#'!A:AL,10,FALSE)</f>
        <v>20</v>
      </c>
      <c r="AE189" s="1">
        <f>VLOOKUP(A189,'SegEnds_NonXtal_Prot#'!A:AL,16,FALSE)-VLOOKUP(A189,'SegEnds_NonXtal_Prot#'!A:AL,10,FALSE)</f>
        <v>52</v>
      </c>
      <c r="AF189" s="1">
        <f>VLOOKUP(A189,'SegEnds_NonXtal_Prot#'!A:AL,22,FALSE)-VLOOKUP(A189,'SegEnds_NonXtal_Prot#'!A:AL,19,FALSE)</f>
        <v>20</v>
      </c>
      <c r="AG189" s="1">
        <f>VLOOKUP(A189,'SegEnds_NonXtal_Prot#'!A:AL,28,FALSE)-VLOOKUP(A189,'SegEnds_NonXtal_Prot#'!A:AL,25,FALSE)</f>
        <v>26</v>
      </c>
      <c r="AH189" s="1">
        <f>VLOOKUP(A189,'SegEnds_NonXtal_Prot#'!A:AL,28,FALSE)-VLOOKUP(A189,'SegEnds_NonXtal_Prot#'!A:AL,22,FALSE)</f>
        <v>50</v>
      </c>
      <c r="AI189" s="1">
        <f>VLOOKUP(A189,'SegEnds_NonXtal_Prot#'!A:AL,31,FALSE)-VLOOKUP(A189,'SegEnds_NonXtal_Prot#'!A:AL,28,FALSE)</f>
        <v>49</v>
      </c>
      <c r="AJ189" s="1">
        <f>VLOOKUP(A189,'SegEnds_NonXtal_Prot#'!A:AL,34,FALSE)-VLOOKUP(A189,'SegEnds_NonXtal_Prot#'!A:AL,31,FALSE)</f>
        <v>40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217</v>
      </c>
      <c r="B190" s="1" t="str">
        <f>VLOOKUP(A190,Xtal_Templ!A:B,2,FALSE)</f>
        <v>par1_human</v>
      </c>
      <c r="C190" s="5">
        <f>VLOOKUP($B190&amp;"__wt",'SegEnds_Xtal_BW#'!$A:$Z,3,FALSE)</f>
        <v>29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v>66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21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7">
        <v>38</v>
      </c>
      <c r="P190" s="1">
        <f>VLOOKUP($B190&amp;"__wt",'SegEnds_Xtal_BW#'!$A:$Z,16,FALSE)</f>
        <v>63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32</v>
      </c>
      <c r="T190" s="1">
        <f t="array" ref="T190">INDEX(ICL3_classA!$G$2:$G$37,MATCH(MIN(ABS(AI190-ICL3_classA!$F$2:$F$37)),ABS(AI190-ICL3_classA!$F$2:$F$37),0))</f>
        <v>68</v>
      </c>
      <c r="U190" s="1">
        <f t="array" ref="U190">INDEX(ICL3_classA!$H$2:$H$37,MATCH(MIN(ABS(AI190-ICL3_classA!$F$2:$F$37)),ABS(AI190-ICL3_classA!$F$2:$F$37),0))</f>
        <v>28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61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>
        <f>VLOOKUP(A190,'SegEnds_NonXtal_Prot#'!A:AL,13,FALSE)-VLOOKUP(A190,'SegEnds_NonXtal_Prot#'!A:AL,10,FALSE)</f>
        <v>19</v>
      </c>
      <c r="AE190" s="1">
        <f>VLOOKUP(A190,'SegEnds_NonXtal_Prot#'!A:AL,16,FALSE)-VLOOKUP(A190,'SegEnds_NonXtal_Prot#'!A:AL,10,FALSE)</f>
        <v>51</v>
      </c>
      <c r="AF190" s="1">
        <f>VLOOKUP(A190,'SegEnds_NonXtal_Prot#'!A:AL,22,FALSE)-VLOOKUP(A190,'SegEnds_NonXtal_Prot#'!A:AL,19,FALSE)</f>
        <v>20</v>
      </c>
      <c r="AG190" s="1">
        <f>VLOOKUP(A190,'SegEnds_NonXtal_Prot#'!A:AL,28,FALSE)-VLOOKUP(A190,'SegEnds_NonXtal_Prot#'!A:AL,25,FALSE)</f>
        <v>30</v>
      </c>
      <c r="AH190" s="1">
        <f>VLOOKUP(A190,'SegEnds_NonXtal_Prot#'!A:AL,28,FALSE)-VLOOKUP(A190,'SegEnds_NonXtal_Prot#'!A:AL,22,FALSE)</f>
        <v>56</v>
      </c>
      <c r="AI190" s="1">
        <f>VLOOKUP(A190,'SegEnds_NonXtal_Prot#'!A:AL,31,FALSE)-VLOOKUP(A190,'SegEnds_NonXtal_Prot#'!A:AL,28,FALSE)</f>
        <v>44</v>
      </c>
      <c r="AJ190" s="1">
        <f>VLOOKUP(A190,'SegEnds_NonXtal_Prot#'!A:AL,34,FALSE)-VLOOKUP(A190,'SegEnds_NonXtal_Prot#'!A:AL,31,FALSE)</f>
        <v>40</v>
      </c>
      <c r="AK190" s="1">
        <f>VLOOKUP(A190,'SegEnds_NonXtal_Prot#'!A:AL,37,FALSE)-VLOOKUP(A190,'SegEnds_NonXtal_Prot#'!A:AL,34,FALSE)</f>
        <v>11</v>
      </c>
      <c r="AL190" s="1" t="str">
        <f>IF(ISERROR(MATCH(A190,'SegEnds_Xtal_Prot#'!B:B, 0)), "NoXtal", "Xtal")</f>
        <v>NoXtal</v>
      </c>
    </row>
    <row r="191" spans="1:38" x14ac:dyDescent="0.2">
      <c r="A191" s="1" t="s">
        <v>224</v>
      </c>
      <c r="B191" s="1" t="str">
        <f>VLOOKUP(A191,Xtal_Templ!A:B,2,FALSE)</f>
        <v>pd2r2_human</v>
      </c>
      <c r="C191" s="5">
        <f>VLOOKUP($B191&amp;"__wt",'SegEnds_Xtal_BW#'!$A:$Z,3,FALSE)</f>
        <v>32</v>
      </c>
      <c r="D191" s="1">
        <f>VLOOKUP($B191&amp;"__wt",'SegEnds_Xtal_BW#'!$A:$Z,4,FALSE)</f>
        <v>60</v>
      </c>
      <c r="E191" s="1" t="str">
        <f>VLOOKUP($B191&amp;"__wt",'SegEnds_Xtal_BW#'!$A:$Z,5,FALSE)</f>
        <v>-</v>
      </c>
      <c r="F191" s="1" t="str">
        <f>VLOOKUP($B191&amp;"__wt",'SegEnds_Xtal_BW#'!$A:$Z,6,FALSE)</f>
        <v>-</v>
      </c>
      <c r="G191" s="1">
        <v>37</v>
      </c>
      <c r="H191" s="12"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7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v>35</v>
      </c>
      <c r="T191" s="1">
        <f t="array" ref="T191">INDEX(ICL3_classA!$G$2:$G$37,MATCH(MIN(ABS(AI191-ICL3_classA!$F$2:$F$37)),ABS(AI191-ICL3_classA!$F$2:$F$37),0))</f>
        <v>68</v>
      </c>
      <c r="U191" s="1">
        <f t="array" ref="U191">INDEX(ICL3_classA!$H$2:$H$37,MATCH(MIN(ABS(AI191-ICL3_classA!$F$2:$F$37)),ABS(AI191-ICL3_classA!$F$2:$F$37),0))</f>
        <v>24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64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30</v>
      </c>
      <c r="AC191" s="1" t="e">
        <f>VLOOKUP(A191,'SegEnds_NonXtal_Prot#'!A:AL,10,FALSE)-VLOOKUP(A191,'SegEnds_NonXtal_Prot#'!A:AL,7,FALSE)</f>
        <v>#VALUE!</v>
      </c>
      <c r="AD191" s="1">
        <f>VLOOKUP(A191,'SegEnds_NonXtal_Prot#'!A:AL,13,FALSE)-VLOOKUP(A191,'SegEnds_NonXtal_Prot#'!A:AL,10,FALSE)</f>
        <v>20</v>
      </c>
      <c r="AE191" s="1">
        <f>VLOOKUP(A191,'SegEnds_NonXtal_Prot#'!A:AL,16,FALSE)-VLOOKUP(A191,'SegEnds_NonXtal_Prot#'!A:AL,10,FALSE)</f>
        <v>52</v>
      </c>
      <c r="AF191" s="1">
        <f>VLOOKUP(A191,'SegEnds_NonXtal_Prot#'!A:AL,22,FALSE)-VLOOKUP(A191,'SegEnds_NonXtal_Prot#'!A:AL,19,FALSE)</f>
        <v>20</v>
      </c>
      <c r="AG191" s="1">
        <f>VLOOKUP(A191,'SegEnds_NonXtal_Prot#'!A:AL,28,FALSE)-VLOOKUP(A191,'SegEnds_NonXtal_Prot#'!A:AL,25,FALSE)</f>
        <v>22</v>
      </c>
      <c r="AH191" s="1">
        <f>VLOOKUP(A191,'SegEnds_NonXtal_Prot#'!A:AL,28,FALSE)-VLOOKUP(A191,'SegEnds_NonXtal_Prot#'!A:AL,22,FALSE)</f>
        <v>48</v>
      </c>
      <c r="AI191" s="1">
        <f>VLOOKUP(A191,'SegEnds_NonXtal_Prot#'!A:AL,31,FALSE)-VLOOKUP(A191,'SegEnds_NonXtal_Prot#'!A:AL,28,FALSE)</f>
        <v>48</v>
      </c>
      <c r="AJ191" s="1">
        <f>VLOOKUP(A191,'SegEnds_NonXtal_Prot#'!A:AL,34,FALSE)-VLOOKUP(A191,'SegEnds_NonXtal_Prot#'!A:AL,31,FALSE)</f>
        <v>40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237</v>
      </c>
      <c r="B192" s="1" t="str">
        <f>VLOOKUP(A192,Xtal_Templ!A:B,2,FALSE)</f>
        <v>agtr1_human</v>
      </c>
      <c r="C192" s="5">
        <f>VLOOKUP($B192&amp;"__wt",'SegEnds_Xtal_BW#'!$A:$Z,3,FALSE)</f>
        <v>28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66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7"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34</v>
      </c>
      <c r="T192" s="1">
        <f t="array" ref="T192">INDEX(ICL3_classA!$G$2:$G$37,MATCH(MIN(ABS(AI192-ICL3_classA!$F$2:$F$37)),ABS(AI192-ICL3_classA!$F$2:$F$37),0))</f>
        <v>68</v>
      </c>
      <c r="U192" s="1">
        <f t="array" ref="U192">INDEX(ICL3_classA!$H$2:$H$37,MATCH(MIN(ABS(AI192-ICL3_classA!$F$2:$F$37)),ABS(AI192-ICL3_classA!$F$2:$F$37),0))</f>
        <v>30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61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27</v>
      </c>
      <c r="AC192" s="1" t="e">
        <f>VLOOKUP(A192,'SegEnds_NonXtal_Prot#'!A:AL,10,FALSE)-VLOOKUP(A192,'SegEnds_NonXtal_Prot#'!A:AL,7,FALSE)</f>
        <v>#VALUE!</v>
      </c>
      <c r="AD192" s="1">
        <f>VLOOKUP(A192,'SegEnds_NonXtal_Prot#'!A:AL,13,FALSE)-VLOOKUP(A192,'SegEnds_NonXtal_Prot#'!A:AL,10,FALSE)</f>
        <v>20</v>
      </c>
      <c r="AE192" s="1">
        <f>VLOOKUP(A192,'SegEnds_NonXtal_Prot#'!A:AL,16,FALSE)-VLOOKUP(A192,'SegEnds_NonXtal_Prot#'!A:AL,10,FALSE)</f>
        <v>52</v>
      </c>
      <c r="AF192" s="1">
        <f>VLOOKUP(A192,'SegEnds_NonXtal_Prot#'!A:AL,22,FALSE)-VLOOKUP(A192,'SegEnds_NonXtal_Prot#'!A:AL,19,FALSE)</f>
        <v>20</v>
      </c>
      <c r="AG192" s="1">
        <f>VLOOKUP(A192,'SegEnds_NonXtal_Prot#'!A:AL,28,FALSE)-VLOOKUP(A192,'SegEnds_NonXtal_Prot#'!A:AL,25,FALSE)</f>
        <v>31</v>
      </c>
      <c r="AH192" s="1">
        <f>VLOOKUP(A192,'SegEnds_NonXtal_Prot#'!A:AL,28,FALSE)-VLOOKUP(A192,'SegEnds_NonXtal_Prot#'!A:AL,22,FALSE)</f>
        <v>56</v>
      </c>
      <c r="AI192" s="1">
        <f>VLOOKUP(A192,'SegEnds_NonXtal_Prot#'!A:AL,31,FALSE)-VLOOKUP(A192,'SegEnds_NonXtal_Prot#'!A:AL,28,FALSE)</f>
        <v>43</v>
      </c>
      <c r="AJ192" s="1">
        <f>VLOOKUP(A192,'SegEnds_NonXtal_Prot#'!A:AL,34,FALSE)-VLOOKUP(A192,'SegEnds_NonXtal_Prot#'!A:AL,31,FALSE)</f>
        <v>40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274</v>
      </c>
      <c r="B193" s="1" t="str">
        <f>VLOOKUP(A193,Xtal_Templ!A:B,2,FALSE)</f>
        <v>ednrb_human</v>
      </c>
      <c r="C193" s="5">
        <f>VLOOKUP($B193&amp;"__wt",'SegEnds_Xtal_BW#'!$A:$Z,3,FALSE)</f>
        <v>22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52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7"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28</v>
      </c>
      <c r="T193" s="1">
        <f t="array" ref="T193">INDEX(ICL3_classA!$G$2:$G$37,MATCH(MIN(ABS(AI193-ICL3_classA!$F$2:$F$37)),ABS(AI193-ICL3_classA!$F$2:$F$37),0))</f>
        <v>73</v>
      </c>
      <c r="U193" s="1">
        <f t="array" ref="U193">INDEX(ICL3_classA!$H$2:$H$37,MATCH(MIN(ABS(AI193-ICL3_classA!$F$2:$F$37)),ABS(AI193-ICL3_classA!$F$2:$F$37),0))</f>
        <v>22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60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>
        <f>VLOOKUP(A193,'SegEnds_NonXtal_Prot#'!A:AL,10,FALSE)-VLOOKUP(A193,'SegEnds_NonXtal_Prot#'!A:AL,7,FALSE)</f>
        <v>15</v>
      </c>
      <c r="AD193" s="1">
        <f>VLOOKUP(A193,'SegEnds_NonXtal_Prot#'!A:AL,13,FALSE)-VLOOKUP(A193,'SegEnds_NonXtal_Prot#'!A:AL,10,FALSE)</f>
        <v>20</v>
      </c>
      <c r="AE193" s="1">
        <f>VLOOKUP(A193,'SegEnds_NonXtal_Prot#'!A:AL,16,FALSE)-VLOOKUP(A193,'SegEnds_NonXtal_Prot#'!A:AL,10,FALSE)</f>
        <v>52</v>
      </c>
      <c r="AF193" s="1">
        <f>VLOOKUP(A193,'SegEnds_NonXtal_Prot#'!A:AL,22,FALSE)-VLOOKUP(A193,'SegEnds_NonXtal_Prot#'!A:AL,19,FALSE)</f>
        <v>20</v>
      </c>
      <c r="AG193" s="1">
        <f>VLOOKUP(A193,'SegEnds_NonXtal_Prot#'!A:AL,28,FALSE)-VLOOKUP(A193,'SegEnds_NonXtal_Prot#'!A:AL,25,FALSE)</f>
        <v>26</v>
      </c>
      <c r="AH193" s="1">
        <f>VLOOKUP(A193,'SegEnds_NonXtal_Prot#'!A:AL,28,FALSE)-VLOOKUP(A193,'SegEnds_NonXtal_Prot#'!A:AL,22,FALSE)</f>
        <v>57</v>
      </c>
      <c r="AI193" s="1">
        <f>VLOOKUP(A193,'SegEnds_NonXtal_Prot#'!A:AL,31,FALSE)-VLOOKUP(A193,'SegEnds_NonXtal_Prot#'!A:AL,28,FALSE)</f>
        <v>57</v>
      </c>
      <c r="AJ193" s="1">
        <f>VLOOKUP(A193,'SegEnds_NonXtal_Prot#'!A:AL,34,FALSE)-VLOOKUP(A193,'SegEnds_NonXtal_Prot#'!A:AL,31,FALSE)</f>
        <v>40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NoXtal</v>
      </c>
    </row>
    <row r="194" spans="1:38" x14ac:dyDescent="0.2">
      <c r="A194" s="1" t="s">
        <v>275</v>
      </c>
      <c r="B194" s="1" t="str">
        <f>VLOOKUP(A194,Xtal_Templ!A:B,2,FALSE)</f>
        <v>p2ry1_human</v>
      </c>
      <c r="C194" s="5">
        <f>VLOOKUP($B194&amp;"__wt",'SegEnds_Xtal_BW#'!$A:$Z,3,FALSE)</f>
        <v>30</v>
      </c>
      <c r="D194" s="1">
        <f>VLOOKUP($B194&amp;"__wt",'SegEnds_Xtal_BW#'!$A:$Z,4,FALSE)</f>
        <v>60</v>
      </c>
      <c r="E194" s="1" t="str">
        <f>VLOOKUP($B194&amp;"__wt",'SegEnds_Xtal_BW#'!$A:$Z,5,FALSE)</f>
        <v>-</v>
      </c>
      <c r="F194" s="1" t="str">
        <f>VLOOKUP($B194&amp;"__wt",'SegEnds_Xtal_BW#'!$A:$Z,6,FALSE)</f>
        <v>-</v>
      </c>
      <c r="G194" s="1">
        <v>37</v>
      </c>
      <c r="H194" s="12">
        <f>VLOOKUP($B194&amp;"__wt",'SegEnds_Xtal_BW#'!$A:$Z,8,FALSE)</f>
        <v>66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7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32</v>
      </c>
      <c r="T194" s="1">
        <f t="array" ref="T194">INDEX(ICL3_classA!$G$2:$G$37,MATCH(MIN(ABS(AI194-ICL3_classA!$F$2:$F$37)),ABS(AI194-ICL3_classA!$F$2:$F$37),0))</f>
        <v>67</v>
      </c>
      <c r="U194" s="1">
        <f t="array" ref="U194">INDEX(ICL3_classA!$H$2:$H$37,MATCH(MIN(ABS(AI194-ICL3_classA!$F$2:$F$37)),ABS(AI194-ICL3_classA!$F$2:$F$37),0))</f>
        <v>26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59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28</v>
      </c>
      <c r="AC194" s="1" t="e">
        <f>VLOOKUP(A194,'SegEnds_NonXtal_Prot#'!A:AL,10,FALSE)-VLOOKUP(A194,'SegEnds_NonXtal_Prot#'!A:AL,7,FALSE)</f>
        <v>#VALUE!</v>
      </c>
      <c r="AD194" s="1">
        <f>VLOOKUP(A194,'SegEnds_NonXtal_Prot#'!A:AL,13,FALSE)-VLOOKUP(A194,'SegEnds_NonXtal_Prot#'!A:AL,10,FALSE)</f>
        <v>20</v>
      </c>
      <c r="AE194" s="1">
        <f>VLOOKUP(A194,'SegEnds_NonXtal_Prot#'!A:AL,16,FALSE)-VLOOKUP(A194,'SegEnds_NonXtal_Prot#'!A:AL,10,FALSE)</f>
        <v>52</v>
      </c>
      <c r="AF194" s="1">
        <f>VLOOKUP(A194,'SegEnds_NonXtal_Prot#'!A:AL,22,FALSE)-VLOOKUP(A194,'SegEnds_NonXtal_Prot#'!A:AL,19,FALSE)</f>
        <v>20</v>
      </c>
      <c r="AG194" s="1">
        <f>VLOOKUP(A194,'SegEnds_NonXtal_Prot#'!A:AL,28,FALSE)-VLOOKUP(A194,'SegEnds_NonXtal_Prot#'!A:AL,25,FALSE)</f>
        <v>23</v>
      </c>
      <c r="AH194" s="1">
        <f>VLOOKUP(A194,'SegEnds_NonXtal_Prot#'!A:AL,28,FALSE)-VLOOKUP(A194,'SegEnds_NonXtal_Prot#'!A:AL,22,FALSE)</f>
        <v>48</v>
      </c>
      <c r="AI194" s="1">
        <f>VLOOKUP(A194,'SegEnds_NonXtal_Prot#'!A:AL,31,FALSE)-VLOOKUP(A194,'SegEnds_NonXtal_Prot#'!A:AL,28,FALSE)</f>
        <v>47</v>
      </c>
      <c r="AJ194" s="1">
        <f>VLOOKUP(A194,'SegEnds_NonXtal_Prot#'!A:AL,34,FALSE)-VLOOKUP(A194,'SegEnds_NonXtal_Prot#'!A:AL,31,FALSE)</f>
        <v>40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NoXtal</v>
      </c>
    </row>
    <row r="195" spans="1:38" x14ac:dyDescent="0.2">
      <c r="A195" s="1" t="s">
        <v>317</v>
      </c>
      <c r="B195" s="1" t="str">
        <f>VLOOKUP(A195,Xtal_Templ!A:B,2,FALSE)</f>
        <v>ednrb_human</v>
      </c>
      <c r="C195" s="5">
        <f>VLOOKUP($B195&amp;"__wt",'SegEnds_Xtal_BW#'!$A:$Z,3,FALSE)</f>
        <v>22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52</v>
      </c>
      <c r="G195" s="1">
        <v>37</v>
      </c>
      <c r="H195" s="12">
        <f>VLOOKUP($B195&amp;"__wt",'SegEnds_Xtal_BW#'!$A:$Z,8,FALSE)</f>
        <v>67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7"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28</v>
      </c>
      <c r="T195" s="1">
        <f t="array" ref="T195">INDEX(ICL3_classA!$G$2:$G$37,MATCH(MIN(ABS(AI195-ICL3_classA!$F$2:$F$37)),ABS(AI195-ICL3_classA!$F$2:$F$37),0))</f>
        <v>73</v>
      </c>
      <c r="U195" s="1">
        <f t="array" ref="U195">INDEX(ICL3_classA!$H$2:$H$37,MATCH(MIN(ABS(AI195-ICL3_classA!$F$2:$F$37)),ABS(AI195-ICL3_classA!$F$2:$F$37),0))</f>
        <v>22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60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28</v>
      </c>
      <c r="AC195" s="1">
        <f>VLOOKUP(A195,'SegEnds_NonXtal_Prot#'!A:AL,10,FALSE)-VLOOKUP(A195,'SegEnds_NonXtal_Prot#'!A:AL,7,FALSE)</f>
        <v>15</v>
      </c>
      <c r="AD195" s="1">
        <f>VLOOKUP(A195,'SegEnds_NonXtal_Prot#'!A:AL,13,FALSE)-VLOOKUP(A195,'SegEnds_NonXtal_Prot#'!A:AL,10,FALSE)</f>
        <v>20</v>
      </c>
      <c r="AE195" s="1">
        <f>VLOOKUP(A195,'SegEnds_NonXtal_Prot#'!A:AL,16,FALSE)-VLOOKUP(A195,'SegEnds_NonXtal_Prot#'!A:AL,10,FALSE)</f>
        <v>52</v>
      </c>
      <c r="AF195" s="1">
        <f>VLOOKUP(A195,'SegEnds_NonXtal_Prot#'!A:AL,22,FALSE)-VLOOKUP(A195,'SegEnds_NonXtal_Prot#'!A:AL,19,FALSE)</f>
        <v>20</v>
      </c>
      <c r="AG195" s="1">
        <f>VLOOKUP(A195,'SegEnds_NonXtal_Prot#'!A:AL,28,FALSE)-VLOOKUP(A195,'SegEnds_NonXtal_Prot#'!A:AL,25,FALSE)</f>
        <v>26</v>
      </c>
      <c r="AH195" s="1">
        <f>VLOOKUP(A195,'SegEnds_NonXtal_Prot#'!A:AL,28,FALSE)-VLOOKUP(A195,'SegEnds_NonXtal_Prot#'!A:AL,22,FALSE)</f>
        <v>56</v>
      </c>
      <c r="AI195" s="1">
        <f>VLOOKUP(A195,'SegEnds_NonXtal_Prot#'!A:AL,31,FALSE)-VLOOKUP(A195,'SegEnds_NonXtal_Prot#'!A:AL,28,FALSE)</f>
        <v>57</v>
      </c>
      <c r="AJ195" s="1">
        <f>VLOOKUP(A195,'SegEnds_NonXtal_Prot#'!A:AL,34,FALSE)-VLOOKUP(A195,'SegEnds_NonXtal_Prot#'!A:AL,31,FALSE)</f>
        <v>40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NoXtal</v>
      </c>
    </row>
    <row r="196" spans="1:38" x14ac:dyDescent="0.2">
      <c r="A196" s="1" t="s">
        <v>331</v>
      </c>
      <c r="B196" s="1" t="str">
        <f>VLOOKUP(A196,Xtal_Templ!A:B,2,FALSE)</f>
        <v>ptafr_human</v>
      </c>
      <c r="C196" s="5">
        <f>VLOOKUP($B196&amp;"__wt",'SegEnds_Xtal_BW#'!$A:$Z,3,FALSE)</f>
        <v>27</v>
      </c>
      <c r="D196" s="108">
        <v>60</v>
      </c>
      <c r="E196" s="108">
        <v>48</v>
      </c>
      <c r="F196" s="108">
        <v>51</v>
      </c>
      <c r="G196" s="1">
        <v>37</v>
      </c>
      <c r="H196" s="12">
        <f>VLOOKUP($B196&amp;"__wt",'SegEnds_Xtal_BW#'!$A:$Z,8,FALSE)</f>
        <v>67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7">
        <f>VLOOKUP($B196&amp;"__wt",'SegEnds_Xtal_BW#'!$A:$Z,15,FALSE)</f>
        <v>38</v>
      </c>
      <c r="P196" s="1">
        <f>VLOOKUP($B196&amp;"__wt",'SegEnds_Xtal_BW#'!$A:$Z,16,FALSE)</f>
        <v>63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33</v>
      </c>
      <c r="T196" s="1">
        <f t="array" ref="T196">INDEX(ICL3_classA!$G$2:$G$37,MATCH(MIN(ABS(AI196-ICL3_classA!$F$2:$F$37)),ABS(AI196-ICL3_classA!$F$2:$F$37),0))</f>
        <v>67</v>
      </c>
      <c r="U196" s="1">
        <f t="array" ref="U196">INDEX(ICL3_classA!$H$2:$H$37,MATCH(MIN(ABS(AI196-ICL3_classA!$F$2:$F$37)),ABS(AI196-ICL3_classA!$F$2:$F$37),0))</f>
        <v>26</v>
      </c>
      <c r="V196" s="1">
        <v>61</v>
      </c>
      <c r="W196" s="1">
        <v>28</v>
      </c>
      <c r="X196" s="1">
        <f>VLOOKUP($B196&amp;"__wt",'SegEnds_Xtal_BW#'!$A:$Z,24,FALSE)</f>
        <v>59</v>
      </c>
      <c r="Y196" s="1">
        <f>VLOOKUP($B196&amp;"__wt",'SegEnds_Xtal_BW#'!$A:$Z,25,FALSE)</f>
        <v>50</v>
      </c>
      <c r="Z196" s="1">
        <f>VLOOKUP($B196&amp;"__wt",'SegEnds_Xtal_BW#'!$A:$Z,26,FALSE)</f>
        <v>63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1">
        <f>VLOOKUP(A196,'SegEnds_NonXtal_Prot#'!A:AL,10,FALSE)-VLOOKUP(A196,'SegEnds_NonXtal_Prot#'!A:AL,7,FALSE)</f>
        <v>15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>
        <f>VLOOKUP(A196,'SegEnds_NonXtal_Prot#'!A:AL,22,FALSE)-VLOOKUP(A196,'SegEnds_NonXtal_Prot#'!A:AL,19,FALSE)</f>
        <v>20</v>
      </c>
      <c r="AG196" s="1">
        <f>VLOOKUP(A196,'SegEnds_NonXtal_Prot#'!A:AL,28,FALSE)-VLOOKUP(A196,'SegEnds_NonXtal_Prot#'!A:AL,25,FALSE)</f>
        <v>25</v>
      </c>
      <c r="AH196" s="1">
        <f>VLOOKUP(A196,'SegEnds_NonXtal_Prot#'!A:AL,28,FALSE)-VLOOKUP(A196,'SegEnds_NonXtal_Prot#'!A:AL,22,FALSE)</f>
        <v>51</v>
      </c>
      <c r="AI196" s="1">
        <f>VLOOKUP(A196,'SegEnds_NonXtal_Prot#'!A:AL,31,FALSE)-VLOOKUP(A196,'SegEnds_NonXtal_Prot#'!A:AL,28,FALSE)</f>
        <v>46</v>
      </c>
      <c r="AJ196" s="1">
        <f>VLOOKUP(A196,'SegEnds_NonXtal_Prot#'!A:AL,34,FALSE)-VLOOKUP(A196,'SegEnds_NonXtal_Prot#'!A:AL,31,FALSE)</f>
        <v>40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355</v>
      </c>
      <c r="B197" s="1" t="str">
        <f>VLOOKUP(A197,Xtal_Templ!A:B,2,FALSE)</f>
        <v>par1_human</v>
      </c>
      <c r="C197" s="5">
        <f>VLOOKUP($B197&amp;"__wt",'SegEnds_Xtal_BW#'!$A:$Z,3,FALSE)</f>
        <v>29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66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f>VLOOKUP($B197&amp;"__wt",'SegEnds_Xtal_BW#'!$A:$Z,14,FALSE)</f>
        <v>57</v>
      </c>
      <c r="O197" s="87">
        <f>VLOOKUP($B197&amp;"__wt",'SegEnds_Xtal_BW#'!$A:$Z,15,FALSE)</f>
        <v>38</v>
      </c>
      <c r="P197" s="1">
        <f>VLOOKUP($B197&amp;"__wt",'SegEnds_Xtal_BW#'!$A:$Z,16,FALSE)</f>
        <v>63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32</v>
      </c>
      <c r="T197" s="1">
        <f t="array" ref="T197">INDEX(ICL3_classA!$G$2:$G$37,MATCH(MIN(ABS(AI197-ICL3_classA!$F$2:$F$37)),ABS(AI197-ICL3_classA!$F$2:$F$37),0))</f>
        <v>67</v>
      </c>
      <c r="U197" s="1">
        <f t="array" ref="U197">INDEX(ICL3_classA!$H$2:$H$37,MATCH(MIN(ABS(AI197-ICL3_classA!$F$2:$F$37)),ABS(AI197-ICL3_classA!$F$2:$F$37),0))</f>
        <v>26</v>
      </c>
      <c r="V197" s="1">
        <v>62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61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20</v>
      </c>
      <c r="AE197" s="1">
        <f>VLOOKUP(A197,'SegEnds_NonXtal_Prot#'!A:AL,16,FALSE)-VLOOKUP(A197,'SegEnds_NonXtal_Prot#'!A:AL,10,FALSE)</f>
        <v>52</v>
      </c>
      <c r="AF197" s="1">
        <f>VLOOKUP(A197,'SegEnds_NonXtal_Prot#'!A:AL,22,FALSE)-VLOOKUP(A197,'SegEnds_NonXtal_Prot#'!A:AL,19,FALSE)</f>
        <v>20</v>
      </c>
      <c r="AG197" s="1">
        <f>VLOOKUP(A197,'SegEnds_NonXtal_Prot#'!A:AL,28,FALSE)-VLOOKUP(A197,'SegEnds_NonXtal_Prot#'!A:AL,25,FALSE)</f>
        <v>28</v>
      </c>
      <c r="AH197" s="1">
        <f>VLOOKUP(A197,'SegEnds_NonXtal_Prot#'!A:AL,28,FALSE)-VLOOKUP(A197,'SegEnds_NonXtal_Prot#'!A:AL,22,FALSE)</f>
        <v>55</v>
      </c>
      <c r="AI197" s="1">
        <f>VLOOKUP(A197,'SegEnds_NonXtal_Prot#'!A:AL,31,FALSE)-VLOOKUP(A197,'SegEnds_NonXtal_Prot#'!A:AL,28,FALSE)</f>
        <v>46</v>
      </c>
      <c r="AJ197" s="1">
        <f>VLOOKUP(A197,'SegEnds_NonXtal_Prot#'!A:AL,34,FALSE)-VLOOKUP(A197,'SegEnds_NonXtal_Prot#'!A:AL,31,FALSE)</f>
        <v>40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Xtal</v>
      </c>
    </row>
    <row r="198" spans="1:38" x14ac:dyDescent="0.2">
      <c r="A198" s="1" t="s">
        <v>359</v>
      </c>
      <c r="B198" s="1" t="str">
        <f>VLOOKUP(A198,Xtal_Templ!A:B,2,FALSE)</f>
        <v>pe2r4_human</v>
      </c>
      <c r="C198" s="5">
        <f>VLOOKUP($B198&amp;"__wt",'SegEnds_Xtal_BW#'!$A:$Z,3,FALSE)</f>
        <v>33</v>
      </c>
      <c r="D198" s="1">
        <f>VLOOKUP($B198&amp;"__wt",'SegEnds_Xtal_BW#'!$A:$Z,4,FALSE)</f>
        <v>58</v>
      </c>
      <c r="E198" s="1" t="str">
        <f>VLOOKUP($B198&amp;"__wt",'SegEnds_Xtal_BW#'!$A:$Z,5,FALSE)</f>
        <v>-</v>
      </c>
      <c r="F198" s="1" t="str">
        <f>VLOOKUP($B198&amp;"__wt",'SegEnds_Xtal_BW#'!$A:$Z,6,FALSE)</f>
        <v>-</v>
      </c>
      <c r="G198" s="1">
        <v>37</v>
      </c>
      <c r="H198" s="12">
        <f>VLOOKUP($B198&amp;"__wt",'SegEnds_Xtal_BW#'!$A:$Z,8,FALSE)</f>
        <v>67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7">
        <f>VLOOKUP($B198&amp;"__wt",'SegEnds_Xtal_BW#'!$A:$Z,15,FALSE)</f>
        <v>38</v>
      </c>
      <c r="P198" s="1">
        <f>VLOOKUP($B198&amp;"__wt",'SegEnds_Xtal_BW#'!$A:$Z,16,FALSE)</f>
        <v>63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33</v>
      </c>
      <c r="T198" s="1">
        <f t="array" ref="T198">INDEX(ICL3_classA!$G$2:$G$37,MATCH(MIN(ABS(AI198-ICL3_classA!$F$2:$F$37)),ABS(AI198-ICL3_classA!$F$2:$F$37),0))</f>
        <v>76</v>
      </c>
      <c r="U198" s="1">
        <f t="array" ref="U198">INDEX(ICL3_classA!$H$2:$H$37,MATCH(MIN(ABS(AI198-ICL3_classA!$F$2:$F$37)),ABS(AI198-ICL3_classA!$F$2:$F$37),0))</f>
        <v>24</v>
      </c>
      <c r="V198" s="1">
        <v>61</v>
      </c>
      <c r="W198" s="1">
        <v>28</v>
      </c>
      <c r="X198" s="125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60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38</v>
      </c>
      <c r="AC198" s="1" t="e">
        <f>VLOOKUP(A198,'SegEnds_NonXtal_Prot#'!A:AL,10,FALSE)-VLOOKUP(A198,'SegEnds_NonXtal_Prot#'!A:AL,7,FALSE)</f>
        <v>#VALUE!</v>
      </c>
      <c r="AD198" s="1" t="e">
        <f>VLOOKUP(A198,'SegEnds_NonXtal_Prot#'!A:AL,13,FALSE)-VLOOKUP(A198,'SegEnds_NonXtal_Prot#'!A:AL,10,FALSE)</f>
        <v>#VALUE!</v>
      </c>
      <c r="AE198" s="1">
        <f>VLOOKUP(A198,'SegEnds_NonXtal_Prot#'!A:AL,16,FALSE)-VLOOKUP(A198,'SegEnds_NonXtal_Prot#'!A:AL,10,FALSE)</f>
        <v>58</v>
      </c>
      <c r="AF198" s="1">
        <f>VLOOKUP(A198,'SegEnds_NonXtal_Prot#'!A:AL,22,FALSE)-VLOOKUP(A198,'SegEnds_NonXtal_Prot#'!A:AL,19,FALSE)</f>
        <v>20</v>
      </c>
      <c r="AG198" s="1">
        <f>VLOOKUP(A198,'SegEnds_NonXtal_Prot#'!A:AL,28,FALSE)-VLOOKUP(A198,'SegEnds_NonXtal_Prot#'!A:AL,25,FALSE)</f>
        <v>29</v>
      </c>
      <c r="AH198" s="1">
        <f>VLOOKUP(A198,'SegEnds_NonXtal_Prot#'!A:AL,28,FALSE)-VLOOKUP(A198,'SegEnds_NonXtal_Prot#'!A:AL,22,FALSE)</f>
        <v>55</v>
      </c>
      <c r="AI198" s="1">
        <f>VLOOKUP(A198,'SegEnds_NonXtal_Prot#'!A:AL,31,FALSE)-VLOOKUP(A198,'SegEnds_NonXtal_Prot#'!A:AL,28,FALSE)</f>
        <v>68</v>
      </c>
      <c r="AJ198" s="1">
        <f>VLOOKUP(A198,'SegEnds_NonXtal_Prot#'!A:AL,34,FALSE)-VLOOKUP(A198,'SegEnds_NonXtal_Prot#'!A:AL,31,FALSE)</f>
        <v>40</v>
      </c>
      <c r="AK198" s="1">
        <f>VLOOKUP(A198,'SegEnds_NonXtal_Prot#'!A:AL,37,FALSE)-VLOOKUP(A198,'SegEnds_NonXtal_Prot#'!A:AL,34,FALSE)</f>
        <v>10</v>
      </c>
      <c r="AL198" s="1" t="str">
        <f>IF(ISERROR(MATCH(A198,'SegEnds_Xtal_Prot#'!B:B, 0)), "NoXtal", "Xtal")</f>
        <v>NoXtal</v>
      </c>
    </row>
    <row r="199" spans="1:38" x14ac:dyDescent="0.2">
      <c r="A199" s="1" t="s">
        <v>360</v>
      </c>
      <c r="B199" s="1" t="str">
        <f>VLOOKUP(A199,Xtal_Templ!A:B,2,FALSE)</f>
        <v>pd2r2_human</v>
      </c>
      <c r="C199" s="5">
        <f>VLOOKUP($B199&amp;"__wt",'SegEnds_Xtal_BW#'!$A:$Z,3,FALSE)</f>
        <v>32</v>
      </c>
      <c r="D199" s="1">
        <f>VLOOKUP($B199&amp;"__wt",'SegEnds_Xtal_BW#'!$A:$Z,4,FALSE)</f>
        <v>60</v>
      </c>
      <c r="E199" s="1" t="str">
        <f>VLOOKUP($B199&amp;"__wt",'SegEnds_Xtal_BW#'!$A:$Z,5,FALSE)</f>
        <v>-</v>
      </c>
      <c r="F199" s="1" t="str">
        <f>VLOOKUP($B199&amp;"__wt",'SegEnds_Xtal_BW#'!$A:$Z,6,FALSE)</f>
        <v>-</v>
      </c>
      <c r="G199" s="1">
        <v>37</v>
      </c>
      <c r="H199" s="12">
        <f>VLOOKUP($B199&amp;"__wt",'SegEnds_Xtal_BW#'!$A:$Z,8,FALSE)</f>
        <v>67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7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26</v>
      </c>
      <c r="T199" s="1">
        <f t="array" ref="T199">INDEX(ICL3_classA!$G$2:$G$37,MATCH(MIN(ABS(AI199-ICL3_classA!$F$2:$F$37)),ABS(AI199-ICL3_classA!$F$2:$F$37),0))</f>
        <v>68</v>
      </c>
      <c r="U199" s="1">
        <f t="array" ref="U199">INDEX(ICL3_classA!$H$2:$H$37,MATCH(MIN(ABS(AI199-ICL3_classA!$F$2:$F$37)),ABS(AI199-ICL3_classA!$F$2:$F$37),0))</f>
        <v>30</v>
      </c>
      <c r="V199" s="1">
        <v>61</v>
      </c>
      <c r="W199" s="108">
        <v>27</v>
      </c>
      <c r="X199" s="125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64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27</v>
      </c>
      <c r="AC199" s="1" t="e">
        <f>VLOOKUP(A199,'SegEnds_NonXtal_Prot#'!A:AL,10,FALSE)-VLOOKUP(A199,'SegEnds_NonXtal_Prot#'!A:AL,7,FALSE)</f>
        <v>#VALUE!</v>
      </c>
      <c r="AD199" s="1">
        <f>VLOOKUP(A199,'SegEnds_NonXtal_Prot#'!A:AL,13,FALSE)-VLOOKUP(A199,'SegEnds_NonXtal_Prot#'!A:AL,10,FALSE)</f>
        <v>20</v>
      </c>
      <c r="AE199" s="1">
        <f>VLOOKUP(A199,'SegEnds_NonXtal_Prot#'!A:AL,16,FALSE)-VLOOKUP(A199,'SegEnds_NonXtal_Prot#'!A:AL,10,FALSE)</f>
        <v>52</v>
      </c>
      <c r="AF199" s="1">
        <f>VLOOKUP(A199,'SegEnds_NonXtal_Prot#'!A:AL,22,FALSE)-VLOOKUP(A199,'SegEnds_NonXtal_Prot#'!A:AL,19,FALSE)</f>
        <v>20</v>
      </c>
      <c r="AG199" s="1">
        <f>VLOOKUP(A199,'SegEnds_NonXtal_Prot#'!A:AL,28,FALSE)-VLOOKUP(A199,'SegEnds_NonXtal_Prot#'!A:AL,25,FALSE)</f>
        <v>36</v>
      </c>
      <c r="AH199" s="1">
        <f>VLOOKUP(A199,'SegEnds_NonXtal_Prot#'!A:AL,28,FALSE)-VLOOKUP(A199,'SegEnds_NonXtal_Prot#'!A:AL,22,FALSE)</f>
        <v>62</v>
      </c>
      <c r="AI199" s="1">
        <f>VLOOKUP(A199,'SegEnds_NonXtal_Prot#'!A:AL,31,FALSE)-VLOOKUP(A199,'SegEnds_NonXtal_Prot#'!A:AL,28,FALSE)</f>
        <v>43</v>
      </c>
      <c r="AJ199" s="1">
        <f>VLOOKUP(A199,'SegEnds_NonXtal_Prot#'!A:AL,34,FALSE)-VLOOKUP(A199,'SegEnds_NonXtal_Prot#'!A:AL,31,FALSE)</f>
        <v>40</v>
      </c>
      <c r="AK199" s="1">
        <f>VLOOKUP(A199,'SegEnds_NonXtal_Prot#'!A:AL,37,FALSE)-VLOOKUP(A199,'SegEnds_NonXtal_Prot#'!A:AL,34,FALSE)</f>
        <v>10</v>
      </c>
      <c r="AL199" s="1" t="str">
        <f>IF(ISERROR(MATCH(A199,'SegEnds_Xtal_Prot#'!B:B, 0)), "NoXtal", "Xtal")</f>
        <v>Xtal</v>
      </c>
    </row>
    <row r="200" spans="1:38" x14ac:dyDescent="0.2">
      <c r="A200" s="1" t="s">
        <v>367</v>
      </c>
      <c r="B200" s="1" t="str">
        <f>VLOOKUP(A200,Xtal_Templ!A:B,2,FALSE)</f>
        <v>npy1r_human</v>
      </c>
      <c r="C200" s="5">
        <f>VLOOKUP($B200&amp;"__wt",'SegEnds_Xtal_BW#'!$A:$Z,3,FALSE)</f>
        <v>28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68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 t="str">
        <f>VLOOKUP($B200&amp;"__wt",'SegEnds_Xtal_BW#'!$A:$Z,13,FALSE)</f>
        <v>-</v>
      </c>
      <c r="N200" s="108" t="s">
        <v>23</v>
      </c>
      <c r="O200" s="87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31</v>
      </c>
      <c r="T200" s="1">
        <f t="array" ref="T200">INDEX(ICL3_classA!$G$2:$G$37,MATCH(MIN(ABS(AI200-ICL3_classA!$F$2:$F$37)),ABS(AI200-ICL3_classA!$F$2:$F$37),0))</f>
        <v>73</v>
      </c>
      <c r="U200" s="1">
        <f t="array" ref="U200">INDEX(ICL3_classA!$H$2:$H$37,MATCH(MIN(ABS(AI200-ICL3_classA!$F$2:$F$37)),ABS(AI200-ICL3_classA!$F$2:$F$37),0))</f>
        <v>22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58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22</v>
      </c>
      <c r="AE200" s="1">
        <f>VLOOKUP(A200,'SegEnds_NonXtal_Prot#'!A:AL,16,FALSE)-VLOOKUP(A200,'SegEnds_NonXtal_Prot#'!A:AL,10,FALSE)</f>
        <v>54</v>
      </c>
      <c r="AF200" s="1" t="e">
        <f>VLOOKUP(A200,'SegEnds_NonXtal_Prot#'!A:AL,22,FALSE)-VLOOKUP(A200,'SegEnds_NonXtal_Prot#'!A:AL,19,FALSE)</f>
        <v>#VALUE!</v>
      </c>
      <c r="AG200" s="1">
        <f>VLOOKUP(A200,'SegEnds_NonXtal_Prot#'!A:AL,28,FALSE)-VLOOKUP(A200,'SegEnds_NonXtal_Prot#'!A:AL,25,FALSE)</f>
        <v>27</v>
      </c>
      <c r="AH200" s="1">
        <f>VLOOKUP(A200,'SegEnds_NonXtal_Prot#'!A:AL,28,FALSE)-VLOOKUP(A200,'SegEnds_NonXtal_Prot#'!A:AL,22,FALSE)</f>
        <v>57</v>
      </c>
      <c r="AI200" s="1">
        <f>VLOOKUP(A200,'SegEnds_NonXtal_Prot#'!A:AL,31,FALSE)-VLOOKUP(A200,'SegEnds_NonXtal_Prot#'!A:AL,28,FALSE)</f>
        <v>55</v>
      </c>
      <c r="AJ200" s="1">
        <f>VLOOKUP(A200,'SegEnds_NonXtal_Prot#'!A:AL,34,FALSE)-VLOOKUP(A200,'SegEnds_NonXtal_Prot#'!A:AL,31,FALSE)</f>
        <v>40</v>
      </c>
      <c r="AK200" s="1">
        <f>VLOOKUP(A200,'SegEnds_NonXtal_Prot#'!A:AL,37,FALSE)-VLOOKUP(A200,'SegEnds_NonXtal_Prot#'!A:AL,34,FALSE)</f>
        <v>11</v>
      </c>
      <c r="AL200" s="1" t="str">
        <f>IF(ISERROR(MATCH(A200,'SegEnds_Xtal_Prot#'!B:B, 0)), "NoXtal", "Xtal")</f>
        <v>NoXtal</v>
      </c>
    </row>
    <row r="201" spans="1:38" x14ac:dyDescent="0.2">
      <c r="A201" s="1" t="s">
        <v>368</v>
      </c>
      <c r="B201" s="1" t="str">
        <f>VLOOKUP(A201,Xtal_Templ!A:B,2,FALSE)</f>
        <v>npy1r_human</v>
      </c>
      <c r="C201" s="5">
        <f>VLOOKUP($B201&amp;"__wt",'SegEnds_Xtal_BW#'!$A:$Z,3,FALSE)</f>
        <v>28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68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 t="str">
        <f>VLOOKUP($B201&amp;"__wt",'SegEnds_Xtal_BW#'!$A:$Z,13,FALSE)</f>
        <v>-</v>
      </c>
      <c r="N201" s="108" t="s">
        <v>23</v>
      </c>
      <c r="O201" s="87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31</v>
      </c>
      <c r="T201" s="1">
        <f t="array" ref="T201">INDEX(ICL3_classA!$G$2:$G$37,MATCH(MIN(ABS(AI201-ICL3_classA!$F$2:$F$37)),ABS(AI201-ICL3_classA!$F$2:$F$37),0))</f>
        <v>73</v>
      </c>
      <c r="U201" s="1">
        <f t="array" ref="U201">INDEX(ICL3_classA!$H$2:$H$37,MATCH(MIN(ABS(AI201-ICL3_classA!$F$2:$F$37)),ABS(AI201-ICL3_classA!$F$2:$F$37),0))</f>
        <v>22</v>
      </c>
      <c r="V201" s="1">
        <v>61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58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1">
        <f>VLOOKUP(A201,'SegEnds_NonXtal_Prot#'!A:AL,10,FALSE)-VLOOKUP(A201,'SegEnds_NonXtal_Prot#'!A:AL,7,FALSE)</f>
        <v>15</v>
      </c>
      <c r="AD201" s="1">
        <f>VLOOKUP(A201,'SegEnds_NonXtal_Prot#'!A:AL,13,FALSE)-VLOOKUP(A201,'SegEnds_NonXtal_Prot#'!A:AL,10,FALSE)</f>
        <v>22</v>
      </c>
      <c r="AE201" s="1">
        <f>VLOOKUP(A201,'SegEnds_NonXtal_Prot#'!A:AL,16,FALSE)-VLOOKUP(A201,'SegEnds_NonXtal_Prot#'!A:AL,10,FALSE)</f>
        <v>54</v>
      </c>
      <c r="AF201" s="1" t="e">
        <f>VLOOKUP(A201,'SegEnds_NonXtal_Prot#'!A:AL,22,FALSE)-VLOOKUP(A201,'SegEnds_NonXtal_Prot#'!A:AL,19,FALSE)</f>
        <v>#VALUE!</v>
      </c>
      <c r="AG201" s="1">
        <f>VLOOKUP(A201,'SegEnds_NonXtal_Prot#'!A:AL,28,FALSE)-VLOOKUP(A201,'SegEnds_NonXtal_Prot#'!A:AL,25,FALSE)</f>
        <v>27</v>
      </c>
      <c r="AH201" s="1">
        <f>VLOOKUP(A201,'SegEnds_NonXtal_Prot#'!A:AL,28,FALSE)-VLOOKUP(A201,'SegEnds_NonXtal_Prot#'!A:AL,22,FALSE)</f>
        <v>57</v>
      </c>
      <c r="AI201" s="1">
        <f>VLOOKUP(A201,'SegEnds_NonXtal_Prot#'!A:AL,31,FALSE)-VLOOKUP(A201,'SegEnds_NonXtal_Prot#'!A:AL,28,FALSE)</f>
        <v>55</v>
      </c>
      <c r="AJ201" s="1">
        <f>VLOOKUP(A201,'SegEnds_NonXtal_Prot#'!A:AL,34,FALSE)-VLOOKUP(A201,'SegEnds_NonXtal_Prot#'!A:AL,31,FALSE)</f>
        <v>40</v>
      </c>
      <c r="AK201" s="1">
        <f>VLOOKUP(A201,'SegEnds_NonXtal_Prot#'!A:AL,37,FALSE)-VLOOKUP(A201,'SegEnds_NonXtal_Prot#'!A:AL,34,FALSE)</f>
        <v>11</v>
      </c>
      <c r="AL201" s="1" t="str">
        <f>IF(ISERROR(MATCH(A201,'SegEnds_Xtal_Prot#'!B:B, 0)), "NoXtal", "Xtal")</f>
        <v>NoXtal</v>
      </c>
    </row>
    <row r="202" spans="1:38" x14ac:dyDescent="0.2">
      <c r="A202" s="1" t="s">
        <v>163</v>
      </c>
      <c r="B202" s="1" t="str">
        <f>VLOOKUP(A202,Xtal_Templ!A:B,2,FALSE)</f>
        <v>ednrb_human</v>
      </c>
      <c r="C202" s="5">
        <f>VLOOKUP($B202&amp;"__wt",'SegEnds_Xtal_BW#'!$A:$Z,3,FALSE)</f>
        <v>22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52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7"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28</v>
      </c>
      <c r="T202" s="1">
        <f t="array" ref="T202">INDEX(ICL3_classA!$G$2:$G$37,MATCH(MIN(ABS(AI202-ICL3_classA!$F$2:$F$37)),ABS(AI202-ICL3_classA!$F$2:$F$37),0))</f>
        <v>73</v>
      </c>
      <c r="U202" s="1">
        <f t="array" ref="U202">INDEX(ICL3_classA!$H$2:$H$37,MATCH(MIN(ABS(AI202-ICL3_classA!$F$2:$F$37)),ABS(AI202-ICL3_classA!$F$2:$F$37),0))</f>
        <v>22</v>
      </c>
      <c r="V202" s="1">
        <v>61</v>
      </c>
      <c r="W202" s="1">
        <v>28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60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20</v>
      </c>
      <c r="AE202" s="1">
        <f>VLOOKUP(A202,'SegEnds_NonXtal_Prot#'!A:AL,16,FALSE)-VLOOKUP(A202,'SegEnds_NonXtal_Prot#'!A:AL,10,FALSE)</f>
        <v>52</v>
      </c>
      <c r="AF202" s="1">
        <f>VLOOKUP(A202,'SegEnds_NonXtal_Prot#'!A:AL,22,FALSE)-VLOOKUP(A202,'SegEnds_NonXtal_Prot#'!A:AL,19,FALSE)</f>
        <v>20</v>
      </c>
      <c r="AG202" s="1">
        <f>VLOOKUP(A202,'SegEnds_NonXtal_Prot#'!A:AL,28,FALSE)-VLOOKUP(A202,'SegEnds_NonXtal_Prot#'!A:AL,25,FALSE)</f>
        <v>26</v>
      </c>
      <c r="AH202" s="1">
        <f>VLOOKUP(A202,'SegEnds_NonXtal_Prot#'!A:AL,28,FALSE)-VLOOKUP(A202,'SegEnds_NonXtal_Prot#'!A:AL,22,FALSE)</f>
        <v>57</v>
      </c>
      <c r="AI202" s="1">
        <f>VLOOKUP(A202,'SegEnds_NonXtal_Prot#'!A:AL,31,FALSE)-VLOOKUP(A202,'SegEnds_NonXtal_Prot#'!A:AL,28,FALSE)</f>
        <v>57</v>
      </c>
      <c r="AJ202" s="1">
        <f>VLOOKUP(A202,'SegEnds_NonXtal_Prot#'!A:AL,34,FALSE)-VLOOKUP(A202,'SegEnds_NonXtal_Prot#'!A:AL,31,FALSE)</f>
        <v>41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NoXtal</v>
      </c>
    </row>
    <row r="203" spans="1:38" x14ac:dyDescent="0.2">
      <c r="A203" s="1" t="s">
        <v>190</v>
      </c>
      <c r="B203" s="1" t="str">
        <f>VLOOKUP(A203,Xtal_Templ!A:B,2,FALSE)</f>
        <v>adrb2_human</v>
      </c>
      <c r="C203" s="5">
        <f>VLOOKUP($B203&amp;"__wt",'SegEnds_Xtal_BW#'!$A:$Z,3,FALSE)</f>
        <v>25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21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7"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v>35</v>
      </c>
      <c r="T203" s="1">
        <f t="array" ref="T203">INDEX(ICL3_classA!$G$2:$G$37,MATCH(MIN(ABS(AI203-ICL3_classA!$F$2:$F$37)),ABS(AI203-ICL3_classA!$F$2:$F$37),0))</f>
        <v>76</v>
      </c>
      <c r="U203" s="1">
        <f t="array" ref="U203">INDEX(ICL3_classA!$H$2:$H$37,MATCH(MIN(ABS(AI203-ICL3_classA!$F$2:$F$37)),ABS(AI203-ICL3_classA!$F$2:$F$37),0))</f>
        <v>24</v>
      </c>
      <c r="V203" s="1">
        <v>61</v>
      </c>
      <c r="W203" s="1">
        <v>28</v>
      </c>
      <c r="X203" s="1">
        <f>VLOOKUP($B203&amp;"__wt",'SegEnds_Xtal_BW#'!$A:$Z,24,FALSE)</f>
        <v>55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29</v>
      </c>
      <c r="AC203" s="1">
        <f>VLOOKUP(A203,'SegEnds_NonXtal_Prot#'!A:AL,10,FALSE)-VLOOKUP(A203,'SegEnds_NonXtal_Prot#'!A:AL,7,FALSE)</f>
        <v>16</v>
      </c>
      <c r="AD203" s="1">
        <f>VLOOKUP(A203,'SegEnds_NonXtal_Prot#'!A:AL,13,FALSE)-VLOOKUP(A203,'SegEnds_NonXtal_Prot#'!A:AL,10,FALSE)</f>
        <v>20</v>
      </c>
      <c r="AE203" s="1">
        <f>VLOOKUP(A203,'SegEnds_NonXtal_Prot#'!A:AL,16,FALSE)-VLOOKUP(A203,'SegEnds_NonXtal_Prot#'!A:AL,10,FALSE)</f>
        <v>51</v>
      </c>
      <c r="AF203" s="1">
        <f>VLOOKUP(A203,'SegEnds_NonXtal_Prot#'!A:AL,22,FALSE)-VLOOKUP(A203,'SegEnds_NonXtal_Prot#'!A:AL,19,FALSE)</f>
        <v>20</v>
      </c>
      <c r="AG203" s="1">
        <f>VLOOKUP(A203,'SegEnds_NonXtal_Prot#'!A:AL,28,FALSE)-VLOOKUP(A203,'SegEnds_NonXtal_Prot#'!A:AL,25,FALSE)</f>
        <v>20</v>
      </c>
      <c r="AH203" s="1">
        <f>VLOOKUP(A203,'SegEnds_NonXtal_Prot#'!A:AL,28,FALSE)-VLOOKUP(A203,'SegEnds_NonXtal_Prot#'!A:AL,22,FALSE)</f>
        <v>58</v>
      </c>
      <c r="AI203" s="1">
        <f>VLOOKUP(A203,'SegEnds_NonXtal_Prot#'!A:AL,31,FALSE)-VLOOKUP(A203,'SegEnds_NonXtal_Prot#'!A:AL,28,FALSE)</f>
        <v>81</v>
      </c>
      <c r="AJ203" s="1">
        <f>VLOOKUP(A203,'SegEnds_NonXtal_Prot#'!A:AL,34,FALSE)-VLOOKUP(A203,'SegEnds_NonXtal_Prot#'!A:AL,31,FALSE)</f>
        <v>41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NoXtal</v>
      </c>
    </row>
    <row r="204" spans="1:38" x14ac:dyDescent="0.2">
      <c r="A204" s="1" t="s">
        <v>254</v>
      </c>
      <c r="B204" s="1" t="str">
        <f>VLOOKUP(A204,Xtal_Templ!A:B,2,FALSE)</f>
        <v>ccr2_human</v>
      </c>
      <c r="C204" s="5">
        <f>VLOOKUP($B204&amp;"__wt",'SegEnds_Xtal_BW#'!$A:$Z,3,FALSE)</f>
        <v>27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24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57</v>
      </c>
      <c r="O204" s="87"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v>35</v>
      </c>
      <c r="T204" s="1">
        <f t="array" ref="T204">INDEX(ICL3_classA!$G$2:$G$37,MATCH(MIN(ABS(AI204-ICL3_classA!$F$2:$F$37)),ABS(AI204-ICL3_classA!$F$2:$F$37),0))</f>
        <v>68</v>
      </c>
      <c r="U204" s="1">
        <f t="array" ref="U204">INDEX(ICL3_classA!$H$2:$H$37,MATCH(MIN(ABS(AI204-ICL3_classA!$F$2:$F$37)),ABS(AI204-ICL3_classA!$F$2:$F$37),0))</f>
        <v>24</v>
      </c>
      <c r="V204" s="1">
        <v>61</v>
      </c>
      <c r="W204" s="1">
        <v>28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58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28</v>
      </c>
      <c r="AC204" s="1">
        <f>VLOOKUP(A204,'SegEnds_NonXtal_Prot#'!A:AL,10,FALSE)-VLOOKUP(A204,'SegEnds_NonXtal_Prot#'!A:AL,7,FALSE)</f>
        <v>15</v>
      </c>
      <c r="AD204" s="1" t="e">
        <f>VLOOKUP(A204,'SegEnds_NonXtal_Prot#'!A:AL,13,FALSE)-VLOOKUP(A204,'SegEnds_NonXtal_Prot#'!A:AL,10,FALSE)</f>
        <v>#VALUE!</v>
      </c>
      <c r="AE204" s="1">
        <f>VLOOKUP(A204,'SegEnds_NonXtal_Prot#'!A:AL,16,FALSE)-VLOOKUP(A204,'SegEnds_NonXtal_Prot#'!A:AL,10,FALSE)</f>
        <v>48</v>
      </c>
      <c r="AF204" s="1">
        <f>VLOOKUP(A204,'SegEnds_NonXtal_Prot#'!A:AL,22,FALSE)-VLOOKUP(A204,'SegEnds_NonXtal_Prot#'!A:AL,19,FALSE)</f>
        <v>20</v>
      </c>
      <c r="AG204" s="1">
        <f>VLOOKUP(A204,'SegEnds_NonXtal_Prot#'!A:AL,28,FALSE)-VLOOKUP(A204,'SegEnds_NonXtal_Prot#'!A:AL,25,FALSE)</f>
        <v>21</v>
      </c>
      <c r="AH204" s="1">
        <f>VLOOKUP(A204,'SegEnds_NonXtal_Prot#'!A:AL,28,FALSE)-VLOOKUP(A204,'SegEnds_NonXtal_Prot#'!A:AL,22,FALSE)</f>
        <v>42</v>
      </c>
      <c r="AI204" s="1">
        <f>VLOOKUP(A204,'SegEnds_NonXtal_Prot#'!A:AL,31,FALSE)-VLOOKUP(A204,'SegEnds_NonXtal_Prot#'!A:AL,28,FALSE)</f>
        <v>49</v>
      </c>
      <c r="AJ204" s="1">
        <f>VLOOKUP(A204,'SegEnds_NonXtal_Prot#'!A:AL,34,FALSE)-VLOOKUP(A204,'SegEnds_NonXtal_Prot#'!A:AL,31,FALSE)</f>
        <v>41</v>
      </c>
      <c r="AK204" s="1">
        <f>VLOOKUP(A204,'SegEnds_NonXtal_Prot#'!A:AL,37,FALSE)-VLOOKUP(A204,'SegEnds_NonXtal_Prot#'!A:AL,34,FALSE)</f>
        <v>10</v>
      </c>
      <c r="AL204" s="1" t="str">
        <f>IF(ISERROR(MATCH(A204,'SegEnds_Xtal_Prot#'!B:B, 0)), "NoXtal", "Xtal")</f>
        <v>NoXtal</v>
      </c>
    </row>
    <row r="205" spans="1:38" x14ac:dyDescent="0.2">
      <c r="A205" s="4" t="s">
        <v>318</v>
      </c>
      <c r="B205" s="4" t="str">
        <f>VLOOKUP(A205,Xtal_Templ!A:B,2,FALSE)</f>
        <v>ntr1_rat</v>
      </c>
      <c r="C205" s="5">
        <f>VLOOKUP($B205&amp;"__wt",'SegEnds_Xtal_BW#'!$A:$Z,3,FALSE)</f>
        <v>29</v>
      </c>
      <c r="D205" s="4">
        <f>VLOOKUP($B205&amp;"__wt",'SegEnds_Xtal_BW#'!$A:$Z,4,FALSE)</f>
        <v>60</v>
      </c>
      <c r="E205" s="4">
        <f>VLOOKUP($B205&amp;"__wt",'SegEnds_Xtal_BW#'!$A:$Z,5,FALSE)</f>
        <v>48</v>
      </c>
      <c r="F205" s="4">
        <f>VLOOKUP($B205&amp;"__wt",'SegEnds_Xtal_BW#'!$A:$Z,6,FALSE)</f>
        <v>51</v>
      </c>
      <c r="G205" s="4">
        <v>37</v>
      </c>
      <c r="H205" s="11">
        <v>66</v>
      </c>
      <c r="I205" s="4">
        <f>VLOOKUP($B205&amp;"__wt",'SegEnds_Xtal_BW#'!$A:$Z,9,FALSE)</f>
        <v>49</v>
      </c>
      <c r="J205" s="4">
        <f>VLOOKUP($B205&amp;"__wt",'SegEnds_Xtal_BW#'!$A:$Z,10,FALSE)</f>
        <v>52</v>
      </c>
      <c r="K205" s="11">
        <v>18</v>
      </c>
      <c r="L205" s="4">
        <f>VLOOKUP($B205&amp;"__wt",'SegEnds_Xtal_BW#'!$A:$Z,12,FALSE)</f>
        <v>56</v>
      </c>
      <c r="M205" s="4">
        <f>VLOOKUP($B205&amp;"__wt",'SegEnds_Xtal_BW#'!$A:$Z,13,FALSE)</f>
        <v>50</v>
      </c>
      <c r="N205" s="11">
        <v>57</v>
      </c>
      <c r="O205" s="87">
        <f>VLOOKUP($B205&amp;"__wt",'SegEnds_Xtal_BW#'!$A:$Z,15,FALSE)</f>
        <v>38</v>
      </c>
      <c r="P205" s="4">
        <f>VLOOKUP($B205&amp;"__wt",'SegEnds_Xtal_BW#'!$A:$Z,16,FALSE)</f>
        <v>64</v>
      </c>
      <c r="Q205" s="4">
        <f>VLOOKUP($B205&amp;"__wt",'SegEnds_Xtal_BW#'!$A:$Z,17,FALSE)</f>
        <v>50</v>
      </c>
      <c r="R205" s="4">
        <f>VLOOKUP($B205&amp;"__wt",'SegEnds_Xtal_BW#'!$A:$Z,18,FALSE)</f>
        <v>52</v>
      </c>
      <c r="S205" s="4">
        <f>VLOOKUP($B205&amp;"__wt",'SegEnds_Xtal_BW#'!$A:$Z,19,FALSE)</f>
        <v>32</v>
      </c>
      <c r="T205" s="4">
        <f t="array" ref="T205">INDEX(ICL3_classA!$G$2:$G$37,MATCH(MIN(ABS(AI205-ICL3_classA!$F$2:$F$37)),ABS(AI205-ICL3_classA!$F$2:$F$37),0))</f>
        <v>76</v>
      </c>
      <c r="U205" s="4">
        <f t="array" ref="U205">INDEX(ICL3_classA!$H$2:$H$37,MATCH(MIN(ABS(AI205-ICL3_classA!$F$2:$F$37)),ABS(AI205-ICL3_classA!$F$2:$F$37),0))</f>
        <v>24</v>
      </c>
      <c r="V205" s="4">
        <v>61</v>
      </c>
      <c r="W205" s="4">
        <v>28</v>
      </c>
      <c r="X205" s="4">
        <f>VLOOKUP($B205&amp;"__wt",'SegEnds_Xtal_BW#'!$A:$Z,24,FALSE)</f>
        <v>56</v>
      </c>
      <c r="Y205" s="4">
        <f>VLOOKUP($B205&amp;"__wt",'SegEnds_Xtal_BW#'!$A:$Z,25,FALSE)</f>
        <v>47</v>
      </c>
      <c r="Z205" s="4">
        <f>VLOOKUP($B205&amp;"__wt",'SegEnds_Xtal_BW#'!$A:$Z,26,FALSE)</f>
        <v>58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4">
        <f>VLOOKUP(A205,'SegEnds_NonXtal_Prot#'!A:AL,10,FALSE)-VLOOKUP(A205,'SegEnds_NonXtal_Prot#'!A:AL,7,FALSE)</f>
        <v>15</v>
      </c>
      <c r="AD205" s="4">
        <f>VLOOKUP(A205,'SegEnds_NonXtal_Prot#'!A:AL,13,FALSE)-VLOOKUP(A205,'SegEnds_NonXtal_Prot#'!A:AL,10,FALSE)</f>
        <v>19</v>
      </c>
      <c r="AE205" s="4">
        <f>VLOOKUP(A205,'SegEnds_NonXtal_Prot#'!A:AL,16,FALSE)-VLOOKUP(A205,'SegEnds_NonXtal_Prot#'!A:AL,10,FALSE)</f>
        <v>53</v>
      </c>
      <c r="AF205" s="1">
        <f>VLOOKUP(A205,'SegEnds_NonXtal_Prot#'!A:AL,22,FALSE)-VLOOKUP(A205,'SegEnds_NonXtal_Prot#'!A:AL,19,FALSE)</f>
        <v>20</v>
      </c>
      <c r="AG205" s="4">
        <f>VLOOKUP(A205,'SegEnds_NonXtal_Prot#'!A:AL,28,FALSE)-VLOOKUP(A205,'SegEnds_NonXtal_Prot#'!A:AL,25,FALSE)</f>
        <v>24</v>
      </c>
      <c r="AH205" s="1">
        <f>VLOOKUP(A205,'SegEnds_NonXtal_Prot#'!A:AL,28,FALSE)-VLOOKUP(A205,'SegEnds_NonXtal_Prot#'!A:AL,22,FALSE)</f>
        <v>57</v>
      </c>
      <c r="AI205" s="4">
        <f>VLOOKUP(A205,'SegEnds_NonXtal_Prot#'!A:AL,31,FALSE)-VLOOKUP(A205,'SegEnds_NonXtal_Prot#'!A:AL,28,FALSE)</f>
        <v>69</v>
      </c>
      <c r="AJ205" s="4">
        <f>VLOOKUP(A205,'SegEnds_NonXtal_Prot#'!A:AL,34,FALSE)-VLOOKUP(A205,'SegEnds_NonXtal_Prot#'!A:AL,31,FALSE)</f>
        <v>41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319</v>
      </c>
      <c r="B206" s="1" t="str">
        <f>VLOOKUP(A206,Xtal_Templ!A:B,2,FALSE)</f>
        <v>ntr1_rat</v>
      </c>
      <c r="C206" s="5">
        <f>VLOOKUP($B206&amp;"__wt",'SegEnds_Xtal_BW#'!$A:$Z,3,FALSE)</f>
        <v>29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v>66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7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32</v>
      </c>
      <c r="T206" s="1">
        <f t="array" ref="T206">INDEX(ICL3_classA!$G$2:$G$37,MATCH(MIN(ABS(AI206-ICL3_classA!$F$2:$F$37)),ABS(AI206-ICL3_classA!$F$2:$F$37),0))</f>
        <v>73</v>
      </c>
      <c r="U206" s="1">
        <f t="array" ref="U206">INDEX(ICL3_classA!$H$2:$H$37,MATCH(MIN(ABS(AI206-ICL3_classA!$F$2:$F$37)),ABS(AI206-ICL3_classA!$F$2:$F$37),0))</f>
        <v>22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58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19</v>
      </c>
      <c r="AE206" s="1">
        <f>VLOOKUP(A206,'SegEnds_NonXtal_Prot#'!A:AL,16,FALSE)-VLOOKUP(A206,'SegEnds_NonXtal_Prot#'!A:AL,10,FALSE)</f>
        <v>53</v>
      </c>
      <c r="AF206" s="1">
        <f>VLOOKUP(A206,'SegEnds_NonXtal_Prot#'!A:AL,22,FALSE)-VLOOKUP(A206,'SegEnds_NonXtal_Prot#'!A:AL,19,FALSE)</f>
        <v>20</v>
      </c>
      <c r="AG206" s="1">
        <f>VLOOKUP(A206,'SegEnds_NonXtal_Prot#'!A:AL,28,FALSE)-VLOOKUP(A206,'SegEnds_NonXtal_Prot#'!A:AL,25,FALSE)</f>
        <v>24</v>
      </c>
      <c r="AH206" s="1">
        <f>VLOOKUP(A206,'SegEnds_NonXtal_Prot#'!A:AL,28,FALSE)-VLOOKUP(A206,'SegEnds_NonXtal_Prot#'!A:AL,22,FALSE)</f>
        <v>57</v>
      </c>
      <c r="AI206" s="1">
        <f>VLOOKUP(A206,'SegEnds_NonXtal_Prot#'!A:AL,31,FALSE)-VLOOKUP(A206,'SegEnds_NonXtal_Prot#'!A:AL,28,FALSE)</f>
        <v>55</v>
      </c>
      <c r="AJ206" s="1">
        <f>VLOOKUP(A206,'SegEnds_NonXtal_Prot#'!A:AL,34,FALSE)-VLOOKUP(A206,'SegEnds_NonXtal_Prot#'!A:AL,31,FALSE)</f>
        <v>41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NoXtal</v>
      </c>
    </row>
    <row r="207" spans="1:38" x14ac:dyDescent="0.2">
      <c r="A207" s="1" t="s">
        <v>322</v>
      </c>
      <c r="B207" s="1" t="str">
        <f>VLOOKUP(A207,Xtal_Templ!A:B,2,FALSE)</f>
        <v>ox1r_human</v>
      </c>
      <c r="C207" s="5">
        <f>VLOOKUP($B207&amp;"__wt",'SegEnds_Xtal_BW#'!$A:$Z,3,FALSE)</f>
        <v>32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56</v>
      </c>
      <c r="O207" s="87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32</v>
      </c>
      <c r="T207" s="1">
        <f t="array" ref="T207">INDEX(ICL3_classA!$G$2:$G$37,MATCH(MIN(ABS(AI207-ICL3_classA!$F$2:$F$37)),ABS(AI207-ICL3_classA!$F$2:$F$37),0))</f>
        <v>73</v>
      </c>
      <c r="U207" s="1">
        <f t="array" ref="U207">INDEX(ICL3_classA!$H$2:$H$37,MATCH(MIN(ABS(AI207-ICL3_classA!$F$2:$F$37)),ABS(AI207-ICL3_classA!$F$2:$F$37),0))</f>
        <v>22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 t="e">
        <f>VLOOKUP(A207,'SegEnds_NonXtal_Prot#'!A:AL,22,FALSE)-VLOOKUP(A207,'SegEnds_NonXtal_Prot#'!A:AL,19,FALSE)</f>
        <v>#VALUE!</v>
      </c>
      <c r="AG207" s="1">
        <f>VLOOKUP(A207,'SegEnds_NonXtal_Prot#'!A:AL,28,FALSE)-VLOOKUP(A207,'SegEnds_NonXtal_Prot#'!A:AL,25,FALSE)</f>
        <v>25</v>
      </c>
      <c r="AH207" s="1">
        <f>VLOOKUP(A207,'SegEnds_NonXtal_Prot#'!A:AL,28,FALSE)-VLOOKUP(A207,'SegEnds_NonXtal_Prot#'!A:AL,22,FALSE)</f>
        <v>62</v>
      </c>
      <c r="AI207" s="1">
        <f>VLOOKUP(A207,'SegEnds_NonXtal_Prot#'!A:AL,31,FALSE)-VLOOKUP(A207,'SegEnds_NonXtal_Prot#'!A:AL,28,FALSE)</f>
        <v>57</v>
      </c>
      <c r="AJ207" s="1">
        <f>VLOOKUP(A207,'SegEnds_NonXtal_Prot#'!A:AL,34,FALSE)-VLOOKUP(A207,'SegEnds_NonXtal_Prot#'!A:AL,31,FALSE)</f>
        <v>41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NoXtal</v>
      </c>
    </row>
    <row r="208" spans="1:38" x14ac:dyDescent="0.2">
      <c r="A208" s="1" t="s">
        <v>323</v>
      </c>
      <c r="B208" s="1" t="str">
        <f>VLOOKUP(A208,Xtal_Templ!A:B,2,FALSE)</f>
        <v>ox2r_human</v>
      </c>
      <c r="C208" s="5">
        <f>VLOOKUP($B208&amp;"__wt",'SegEnds_Xtal_BW#'!$A:$Z,3,FALSE)</f>
        <v>31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68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56</v>
      </c>
      <c r="O208" s="87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33</v>
      </c>
      <c r="T208" s="1">
        <f t="array" ref="T208">INDEX(ICL3_classA!$G$2:$G$37,MATCH(MIN(ABS(AI208-ICL3_classA!$F$2:$F$37)),ABS(AI208-ICL3_classA!$F$2:$F$37),0))</f>
        <v>73</v>
      </c>
      <c r="U208" s="1">
        <f t="array" ref="U208">INDEX(ICL3_classA!$H$2:$H$37,MATCH(MIN(ABS(AI208-ICL3_classA!$F$2:$F$37)),ABS(AI208-ICL3_classA!$F$2:$F$37),0))</f>
        <v>24</v>
      </c>
      <c r="V208" s="1">
        <v>61</v>
      </c>
      <c r="W208" s="1">
        <v>28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1">
        <f>VLOOKUP(A208,'SegEnds_NonXtal_Prot#'!A:AL,10,FALSE)-VLOOKUP(A208,'SegEnds_NonXtal_Prot#'!A:AL,7,FALSE)</f>
        <v>15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 t="e">
        <f>VLOOKUP(A208,'SegEnds_NonXtal_Prot#'!A:AL,22,FALSE)-VLOOKUP(A208,'SegEnds_NonXtal_Prot#'!A:AL,19,FALSE)</f>
        <v>#VALUE!</v>
      </c>
      <c r="AG208" s="1">
        <f>VLOOKUP(A208,'SegEnds_NonXtal_Prot#'!A:AL,28,FALSE)-VLOOKUP(A208,'SegEnds_NonXtal_Prot#'!A:AL,25,FALSE)</f>
        <v>25</v>
      </c>
      <c r="AH208" s="1">
        <f>VLOOKUP(A208,'SegEnds_NonXtal_Prot#'!A:AL,28,FALSE)-VLOOKUP(A208,'SegEnds_NonXtal_Prot#'!A:AL,22,FALSE)</f>
        <v>63</v>
      </c>
      <c r="AI208" s="1">
        <f>VLOOKUP(A208,'SegEnds_NonXtal_Prot#'!A:AL,31,FALSE)-VLOOKUP(A208,'SegEnds_NonXtal_Prot#'!A:AL,28,FALSE)</f>
        <v>58</v>
      </c>
      <c r="AJ208" s="1">
        <f>VLOOKUP(A208,'SegEnds_NonXtal_Prot#'!A:AL,34,FALSE)-VLOOKUP(A208,'SegEnds_NonXtal_Prot#'!A:AL,31,FALSE)</f>
        <v>41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" t="s">
        <v>372</v>
      </c>
      <c r="B209" s="1" t="str">
        <f>VLOOKUP(A209,Xtal_Templ!A:B,2,FALSE)</f>
        <v>ox2r_human</v>
      </c>
      <c r="C209" s="5">
        <f>VLOOKUP($B209&amp;"__wt",'SegEnds_Xtal_BW#'!$A:$Z,3,FALSE)</f>
        <v>31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68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v>57</v>
      </c>
      <c r="O209" s="87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33</v>
      </c>
      <c r="T209" s="1">
        <f t="array" ref="T209">INDEX(ICL3_classA!$G$2:$G$37,MATCH(MIN(ABS(AI209-ICL3_classA!$F$2:$F$37)),ABS(AI209-ICL3_classA!$F$2:$F$37),0))</f>
        <v>74</v>
      </c>
      <c r="U209" s="1">
        <f t="array" ref="U209">INDEX(ICL3_classA!$H$2:$H$37,MATCH(MIN(ABS(AI209-ICL3_classA!$F$2:$F$37)),ABS(AI209-ICL3_classA!$F$2:$F$37),0))</f>
        <v>21</v>
      </c>
      <c r="V209" s="1">
        <v>61</v>
      </c>
      <c r="W209" s="1">
        <v>28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58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">
        <f>VLOOKUP(A209,'SegEnds_NonXtal_Prot#'!A:AL,10,FALSE)-VLOOKUP(A209,'SegEnds_NonXtal_Prot#'!A:AL,7,FALSE)</f>
        <v>15</v>
      </c>
      <c r="AD209" s="1">
        <f>VLOOKUP(A209,'SegEnds_NonXtal_Prot#'!A:AL,13,FALSE)-VLOOKUP(A209,'SegEnds_NonXtal_Prot#'!A:AL,10,FALSE)</f>
        <v>20</v>
      </c>
      <c r="AE209" s="1">
        <f>VLOOKUP(A209,'SegEnds_NonXtal_Prot#'!A:AL,16,FALSE)-VLOOKUP(A209,'SegEnds_NonXtal_Prot#'!A:AL,10,FALSE)</f>
        <v>52</v>
      </c>
      <c r="AF209" s="1">
        <f>VLOOKUP(A209,'SegEnds_NonXtal_Prot#'!A:AL,22,FALSE)-VLOOKUP(A209,'SegEnds_NonXtal_Prot#'!A:AL,19,FALSE)</f>
        <v>20</v>
      </c>
      <c r="AG209" s="1">
        <f>VLOOKUP(A209,'SegEnds_NonXtal_Prot#'!A:AL,28,FALSE)-VLOOKUP(A209,'SegEnds_NonXtal_Prot#'!A:AL,25,FALSE)</f>
        <v>25</v>
      </c>
      <c r="AH209" s="1">
        <f>VLOOKUP(A209,'SegEnds_NonXtal_Prot#'!A:AL,28,FALSE)-VLOOKUP(A209,'SegEnds_NonXtal_Prot#'!A:AL,22,FALSE)</f>
        <v>56</v>
      </c>
      <c r="AI209" s="1">
        <f>VLOOKUP(A209,'SegEnds_NonXtal_Prot#'!A:AL,31,FALSE)-VLOOKUP(A209,'SegEnds_NonXtal_Prot#'!A:AL,28,FALSE)</f>
        <v>62</v>
      </c>
      <c r="AJ209" s="1">
        <f>VLOOKUP(A209,'SegEnds_NonXtal_Prot#'!A:AL,34,FALSE)-VLOOKUP(A209,'SegEnds_NonXtal_Prot#'!A:AL,31,FALSE)</f>
        <v>41</v>
      </c>
      <c r="AK209" s="1">
        <f>VLOOKUP(A209,'SegEnds_NonXtal_Prot#'!A:AL,37,FALSE)-VLOOKUP(A209,'SegEnds_NonXtal_Prot#'!A:AL,34,FALSE)</f>
        <v>10</v>
      </c>
      <c r="AL209" s="1" t="str">
        <f>IF(ISERROR(MATCH(A209,'SegEnds_Xtal_Prot#'!B:B, 0)), "NoXtal", "Xtal")</f>
        <v>NoXtal</v>
      </c>
    </row>
    <row r="210" spans="1:38" x14ac:dyDescent="0.2">
      <c r="A210" s="1" t="s">
        <v>201</v>
      </c>
      <c r="B210" s="1" t="str">
        <f>VLOOKUP(A210,Xtal_Templ!A:B,2,FALSE)</f>
        <v>pd2r2_human</v>
      </c>
      <c r="C210" s="5">
        <f>VLOOKUP($B210&amp;"__wt",'SegEnds_Xtal_BW#'!$A:$Z,3,FALSE)</f>
        <v>32</v>
      </c>
      <c r="D210" s="1">
        <f>VLOOKUP($B210&amp;"__wt",'SegEnds_Xtal_BW#'!$A:$Z,4,FALSE)</f>
        <v>60</v>
      </c>
      <c r="E210" s="1" t="str">
        <f>VLOOKUP($B210&amp;"__wt",'SegEnds_Xtal_BW#'!$A:$Z,5,FALSE)</f>
        <v>-</v>
      </c>
      <c r="F210" s="1" t="str">
        <f>VLOOKUP($B210&amp;"__wt",'SegEnds_Xtal_BW#'!$A:$Z,6,FALSE)</f>
        <v>-</v>
      </c>
      <c r="G210" s="1">
        <v>37</v>
      </c>
      <c r="H210" s="12">
        <f>VLOOKUP($B210&amp;"__wt",'SegEnds_Xtal_BW#'!$A:$Z,8,FALSE)</f>
        <v>67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7"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26</v>
      </c>
      <c r="T210" s="1">
        <f t="array" ref="T210">INDEX(ICL3_classA!$G$2:$G$37,MATCH(MIN(ABS(AI210-ICL3_classA!$F$2:$F$37)),ABS(AI210-ICL3_classA!$F$2:$F$37),0))</f>
        <v>68</v>
      </c>
      <c r="U210" s="1">
        <f t="array" ref="U210">INDEX(ICL3_classA!$H$2:$H$37,MATCH(MIN(ABS(AI210-ICL3_classA!$F$2:$F$37)),ABS(AI210-ICL3_classA!$F$2:$F$37),0))</f>
        <v>30</v>
      </c>
      <c r="V210" s="1">
        <v>61</v>
      </c>
      <c r="W210" s="1">
        <v>28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64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27</v>
      </c>
      <c r="AC210" s="1" t="e">
        <f>VLOOKUP(A210,'SegEnds_NonXtal_Prot#'!A:AL,10,FALSE)-VLOOKUP(A210,'SegEnds_NonXtal_Prot#'!A:AL,7,FALSE)</f>
        <v>#VALUE!</v>
      </c>
      <c r="AD210" s="1">
        <f>VLOOKUP(A210,'SegEnds_NonXtal_Prot#'!A:AL,13,FALSE)-VLOOKUP(A210,'SegEnds_NonXtal_Prot#'!A:AL,10,FALSE)</f>
        <v>20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20</v>
      </c>
      <c r="AG210" s="1">
        <f>VLOOKUP(A210,'SegEnds_NonXtal_Prot#'!A:AL,28,FALSE)-VLOOKUP(A210,'SegEnds_NonXtal_Prot#'!A:AL,25,FALSE)</f>
        <v>37</v>
      </c>
      <c r="AH210" s="1">
        <f>VLOOKUP(A210,'SegEnds_NonXtal_Prot#'!A:AL,28,FALSE)-VLOOKUP(A210,'SegEnds_NonXtal_Prot#'!A:AL,22,FALSE)</f>
        <v>63</v>
      </c>
      <c r="AI210" s="1">
        <f>VLOOKUP(A210,'SegEnds_NonXtal_Prot#'!A:AL,31,FALSE)-VLOOKUP(A210,'SegEnds_NonXtal_Prot#'!A:AL,28,FALSE)</f>
        <v>43</v>
      </c>
      <c r="AJ210" s="1">
        <f>VLOOKUP(A210,'SegEnds_NonXtal_Prot#'!A:AL,34,FALSE)-VLOOKUP(A210,'SegEnds_NonXtal_Prot#'!A:AL,31,FALSE)</f>
        <v>42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1" t="s">
        <v>209</v>
      </c>
      <c r="B211" s="1" t="str">
        <f>VLOOKUP(A211,Xtal_Templ!A:B,2,FALSE)</f>
        <v>ntr1_rat</v>
      </c>
      <c r="C211" s="5">
        <f>VLOOKUP($B211&amp;"__wt",'SegEnds_Xtal_BW#'!$A:$Z,3,FALSE)</f>
        <v>29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v>67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v>57</v>
      </c>
      <c r="O211" s="87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32</v>
      </c>
      <c r="T211" s="1">
        <f t="array" ref="T211">INDEX(ICL3_classA!$G$2:$G$37,MATCH(MIN(ABS(AI211-ICL3_classA!$F$2:$F$37)),ABS(AI211-ICL3_classA!$F$2:$F$37),0))</f>
        <v>72</v>
      </c>
      <c r="U211" s="1">
        <f t="array" ref="U211">INDEX(ICL3_classA!$H$2:$H$37,MATCH(MIN(ABS(AI211-ICL3_classA!$F$2:$F$37)),ABS(AI211-ICL3_classA!$F$2:$F$37),0))</f>
        <v>24</v>
      </c>
      <c r="V211" s="1">
        <v>61</v>
      </c>
      <c r="W211" s="1">
        <v>28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>
        <f>VLOOKUP(A211,'SegEnds_NonXtal_Prot#'!A:AL,10,FALSE)-VLOOKUP(A211,'SegEnds_NonXtal_Prot#'!A:AL,7,FALSE)</f>
        <v>15</v>
      </c>
      <c r="AD211" s="1">
        <f>VLOOKUP(A211,'SegEnds_NonXtal_Prot#'!A:AL,13,FALSE)-VLOOKUP(A211,'SegEnds_NonXtal_Prot#'!A:AL,10,FALSE)</f>
        <v>20</v>
      </c>
      <c r="AE211" s="1">
        <f>VLOOKUP(A211,'SegEnds_NonXtal_Prot#'!A:AL,16,FALSE)-VLOOKUP(A211,'SegEnds_NonXtal_Prot#'!A:AL,10,FALSE)</f>
        <v>52</v>
      </c>
      <c r="AF211" s="1">
        <f>VLOOKUP(A211,'SegEnds_NonXtal_Prot#'!A:AL,22,FALSE)-VLOOKUP(A211,'SegEnds_NonXtal_Prot#'!A:AL,19,FALSE)</f>
        <v>20</v>
      </c>
      <c r="AG211" s="1">
        <f>VLOOKUP(A211,'SegEnds_NonXtal_Prot#'!A:AL,28,FALSE)-VLOOKUP(A211,'SegEnds_NonXtal_Prot#'!A:AL,25,FALSE)</f>
        <v>26</v>
      </c>
      <c r="AH211" s="1">
        <f>VLOOKUP(A211,'SegEnds_NonXtal_Prot#'!A:AL,28,FALSE)-VLOOKUP(A211,'SegEnds_NonXtal_Prot#'!A:AL,22,FALSE)</f>
        <v>56</v>
      </c>
      <c r="AI211" s="1">
        <f>VLOOKUP(A211,'SegEnds_NonXtal_Prot#'!A:AL,31,FALSE)-VLOOKUP(A211,'SegEnds_NonXtal_Prot#'!A:AL,28,FALSE)</f>
        <v>54</v>
      </c>
      <c r="AJ211" s="1">
        <f>VLOOKUP(A211,'SegEnds_NonXtal_Prot#'!A:AL,34,FALSE)-VLOOKUP(A211,'SegEnds_NonXtal_Prot#'!A:AL,31,FALSE)</f>
        <v>42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250</v>
      </c>
      <c r="B212" s="1" t="str">
        <f>VLOOKUP(A212,Xtal_Templ!A:B,2,FALSE)</f>
        <v>oprd_mouse</v>
      </c>
      <c r="C212" s="5">
        <f>VLOOKUP($B212&amp;"__wt",'SegEnds_Xtal_BW#'!$A:$Z,3,FALSE)</f>
        <v>24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7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31</v>
      </c>
      <c r="T212" s="1">
        <f t="array" ref="T212">INDEX(ICL3_classA!$G$2:$G$37,MATCH(MIN(ABS(AI212-ICL3_classA!$F$2:$F$37)),ABS(AI212-ICL3_classA!$F$2:$F$37),0))</f>
        <v>68</v>
      </c>
      <c r="U212" s="1">
        <f t="array" ref="U212">INDEX(ICL3_classA!$H$2:$H$37,MATCH(MIN(ABS(AI212-ICL3_classA!$F$2:$F$37)),ABS(AI212-ICL3_classA!$F$2:$F$37),0))</f>
        <v>24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60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28</v>
      </c>
      <c r="AC212" s="1">
        <f>VLOOKUP(A212,'SegEnds_NonXtal_Prot#'!A:AL,10,FALSE)-VLOOKUP(A212,'SegEnds_NonXtal_Prot#'!A:AL,7,FALSE)</f>
        <v>15</v>
      </c>
      <c r="AD212" s="1">
        <f>VLOOKUP(A212,'SegEnds_NonXtal_Prot#'!A:AL,13,FALSE)-VLOOKUP(A212,'SegEnds_NonXtal_Prot#'!A:AL,10,FALSE)</f>
        <v>20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20</v>
      </c>
      <c r="AG212" s="1">
        <f>VLOOKUP(A212,'SegEnds_NonXtal_Prot#'!A:AL,28,FALSE)-VLOOKUP(A212,'SegEnds_NonXtal_Prot#'!A:AL,25,FALSE)</f>
        <v>27</v>
      </c>
      <c r="AH212" s="1">
        <f>VLOOKUP(A212,'SegEnds_NonXtal_Prot#'!A:AL,28,FALSE)-VLOOKUP(A212,'SegEnds_NonXtal_Prot#'!A:AL,22,FALSE)</f>
        <v>50</v>
      </c>
      <c r="AI212" s="1">
        <f>VLOOKUP(A212,'SegEnds_NonXtal_Prot#'!A:AL,31,FALSE)-VLOOKUP(A212,'SegEnds_NonXtal_Prot#'!A:AL,28,FALSE)</f>
        <v>48</v>
      </c>
      <c r="AJ212" s="1">
        <f>VLOOKUP(A212,'SegEnds_NonXtal_Prot#'!A:AL,34,FALSE)-VLOOKUP(A212,'SegEnds_NonXtal_Prot#'!A:AL,31,FALSE)</f>
        <v>42</v>
      </c>
      <c r="AK212" s="1">
        <f>VLOOKUP(A212,'SegEnds_NonXtal_Prot#'!A:AL,37,FALSE)-VLOOKUP(A212,'SegEnds_NonXtal_Prot#'!A:AL,34,FALSE)</f>
        <v>10</v>
      </c>
      <c r="AL212" s="1" t="str">
        <f>IF(ISERROR(MATCH(A212,'SegEnds_Xtal_Prot#'!B:B, 0)), "NoXtal", "Xtal")</f>
        <v>NoXtal</v>
      </c>
    </row>
    <row r="213" spans="1:38" x14ac:dyDescent="0.2">
      <c r="A213" s="1" t="s">
        <v>251</v>
      </c>
      <c r="B213" s="1" t="str">
        <f>VLOOKUP(A213,Xtal_Templ!A:B,2,FALSE)</f>
        <v>oprk_human</v>
      </c>
      <c r="C213" s="5">
        <f>VLOOKUP($B213&amp;"__wt",'SegEnds_Xtal_BW#'!$A:$Z,3,FALSE)</f>
        <v>30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v>66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21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57</v>
      </c>
      <c r="O213" s="87"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30</v>
      </c>
      <c r="T213" s="1">
        <f t="array" ref="T213">INDEX(ICL3_classA!$G$2:$G$37,MATCH(MIN(ABS(AI213-ICL3_classA!$F$2:$F$37)),ABS(AI213-ICL3_classA!$F$2:$F$37),0))</f>
        <v>68</v>
      </c>
      <c r="U213" s="1">
        <f t="array" ref="U213">INDEX(ICL3_classA!$H$2:$H$37,MATCH(MIN(ABS(AI213-ICL3_classA!$F$2:$F$37)),ABS(AI213-ICL3_classA!$F$2:$F$37),0))</f>
        <v>30</v>
      </c>
      <c r="V213" s="1">
        <v>61</v>
      </c>
      <c r="W213" s="1">
        <v>28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27</v>
      </c>
      <c r="AC213" s="1" t="e">
        <f>VLOOKUP(A213,'SegEnds_NonXtal_Prot#'!A:AL,10,FALSE)-VLOOKUP(A213,'SegEnds_NonXtal_Prot#'!A:AL,7,FALSE)</f>
        <v>#VALUE!</v>
      </c>
      <c r="AD213" s="1">
        <f>VLOOKUP(A213,'SegEnds_NonXtal_Prot#'!A:AL,13,FALSE)-VLOOKUP(A213,'SegEnds_NonXtal_Prot#'!A:AL,10,FALSE)</f>
        <v>19</v>
      </c>
      <c r="AE213" s="1">
        <f>VLOOKUP(A213,'SegEnds_NonXtal_Prot#'!A:AL,16,FALSE)-VLOOKUP(A213,'SegEnds_NonXtal_Prot#'!A:AL,10,FALSE)</f>
        <v>51</v>
      </c>
      <c r="AF213" s="1">
        <f>VLOOKUP(A213,'SegEnds_NonXtal_Prot#'!A:AL,22,FALSE)-VLOOKUP(A213,'SegEnds_NonXtal_Prot#'!A:AL,19,FALSE)</f>
        <v>20</v>
      </c>
      <c r="AG213" s="1">
        <f>VLOOKUP(A213,'SegEnds_NonXtal_Prot#'!A:AL,28,FALSE)-VLOOKUP(A213,'SegEnds_NonXtal_Prot#'!A:AL,25,FALSE)</f>
        <v>37</v>
      </c>
      <c r="AH213" s="1">
        <f>VLOOKUP(A213,'SegEnds_NonXtal_Prot#'!A:AL,28,FALSE)-VLOOKUP(A213,'SegEnds_NonXtal_Prot#'!A:AL,22,FALSE)</f>
        <v>62</v>
      </c>
      <c r="AI213" s="1">
        <f>VLOOKUP(A213,'SegEnds_NonXtal_Prot#'!A:AL,31,FALSE)-VLOOKUP(A213,'SegEnds_NonXtal_Prot#'!A:AL,28,FALSE)</f>
        <v>43</v>
      </c>
      <c r="AJ213" s="1">
        <f>VLOOKUP(A213,'SegEnds_NonXtal_Prot#'!A:AL,34,FALSE)-VLOOKUP(A213,'SegEnds_NonXtal_Prot#'!A:AL,31,FALSE)</f>
        <v>42</v>
      </c>
      <c r="AK213" s="1">
        <f>VLOOKUP(A213,'SegEnds_NonXtal_Prot#'!A:AL,37,FALSE)-VLOOKUP(A213,'SegEnds_NonXtal_Prot#'!A:AL,34,FALSE)</f>
        <v>10</v>
      </c>
      <c r="AL213" s="1" t="str">
        <f>IF(ISERROR(MATCH(A213,'SegEnds_Xtal_Prot#'!B:B, 0)), "NoXtal", "Xtal")</f>
        <v>NoXtal</v>
      </c>
    </row>
    <row r="214" spans="1:38" x14ac:dyDescent="0.2">
      <c r="A214" s="1" t="s">
        <v>268</v>
      </c>
      <c r="B214" s="1" t="str">
        <f>VLOOKUP(A214,Xtal_Templ!A:B,2,FALSE)</f>
        <v>oprd_human</v>
      </c>
      <c r="C214" s="5">
        <f>VLOOKUP($B214&amp;"__wt",'SegEnds_Xtal_BW#'!$A:$Z,3,FALSE)</f>
        <v>22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7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31</v>
      </c>
      <c r="T214" s="1">
        <f t="array" ref="T214">INDEX(ICL3_classA!$G$2:$G$37,MATCH(MIN(ABS(AI214-ICL3_classA!$F$2:$F$37)),ABS(AI214-ICL3_classA!$F$2:$F$37),0))</f>
        <v>68</v>
      </c>
      <c r="U214" s="1">
        <f t="array" ref="U214">INDEX(ICL3_classA!$H$2:$H$37,MATCH(MIN(ABS(AI214-ICL3_classA!$F$2:$F$37)),ABS(AI214-ICL3_classA!$F$2:$F$37),0))</f>
        <v>23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60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 t="e">
        <f>VLOOKUP(A214,'SegEnds_NonXtal_Prot#'!A:AL,10,FALSE)-VLOOKUP(A214,'SegEnds_NonXtal_Prot#'!A:AL,7,FALSE)</f>
        <v>#VALUE!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56</v>
      </c>
      <c r="AF214" s="1">
        <f>VLOOKUP(A214,'SegEnds_NonXtal_Prot#'!A:AL,22,FALSE)-VLOOKUP(A214,'SegEnds_NonXtal_Prot#'!A:AL,19,FALSE)</f>
        <v>20</v>
      </c>
      <c r="AG214" s="1" t="e">
        <f>VLOOKUP(A214,'SegEnds_NonXtal_Prot#'!A:AL,28,FALSE)-VLOOKUP(A214,'SegEnds_NonXtal_Prot#'!A:AL,25,FALSE)</f>
        <v>#VALUE!</v>
      </c>
      <c r="AH214" s="1">
        <f>VLOOKUP(A214,'SegEnds_NonXtal_Prot#'!A:AL,28,FALSE)-VLOOKUP(A214,'SegEnds_NonXtal_Prot#'!A:AL,22,FALSE)</f>
        <v>53</v>
      </c>
      <c r="AI214" s="1">
        <f>VLOOKUP(A214,'SegEnds_NonXtal_Prot#'!A:AL,31,FALSE)-VLOOKUP(A214,'SegEnds_NonXtal_Prot#'!A:AL,28,FALSE)</f>
        <v>51</v>
      </c>
      <c r="AJ214" s="1">
        <f>VLOOKUP(A214,'SegEnds_NonXtal_Prot#'!A:AL,34,FALSE)-VLOOKUP(A214,'SegEnds_NonXtal_Prot#'!A:AL,31,FALSE)</f>
        <v>42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282</v>
      </c>
      <c r="B215" s="1" t="str">
        <f>VLOOKUP(A215,Xtal_Templ!A:B,2,FALSE)</f>
        <v>oprk_human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67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57</v>
      </c>
      <c r="O215" s="87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30</v>
      </c>
      <c r="T215" s="1">
        <f t="array" ref="T215">INDEX(ICL3_classA!$G$2:$G$37,MATCH(MIN(ABS(AI215-ICL3_classA!$F$2:$F$37)),ABS(AI215-ICL3_classA!$F$2:$F$37),0))</f>
        <v>74</v>
      </c>
      <c r="U215" s="1">
        <f t="array" ref="U215">INDEX(ICL3_classA!$H$2:$H$37,MATCH(MIN(ABS(AI215-ICL3_classA!$F$2:$F$37)),ABS(AI215-ICL3_classA!$F$2:$F$37),0))</f>
        <v>21</v>
      </c>
      <c r="V215" s="1">
        <v>61</v>
      </c>
      <c r="W215" s="1">
        <v>28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>
        <f>VLOOKUP(A215,'SegEnds_NonXtal_Prot#'!A:AL,10,FALSE)-VLOOKUP(A215,'SegEnds_NonXtal_Prot#'!A:AL,7,FALSE)</f>
        <v>15</v>
      </c>
      <c r="AD215" s="1">
        <f>VLOOKUP(A215,'SegEnds_NonXtal_Prot#'!A:AL,13,FALSE)-VLOOKUP(A215,'SegEnds_NonXtal_Prot#'!A:AL,10,FALSE)</f>
        <v>20</v>
      </c>
      <c r="AE215" s="1">
        <f>VLOOKUP(A215,'SegEnds_NonXtal_Prot#'!A:AL,16,FALSE)-VLOOKUP(A215,'SegEnds_NonXtal_Prot#'!A:AL,10,FALSE)</f>
        <v>52</v>
      </c>
      <c r="AF215" s="1">
        <f>VLOOKUP(A215,'SegEnds_NonXtal_Prot#'!A:AL,22,FALSE)-VLOOKUP(A215,'SegEnds_NonXtal_Prot#'!A:AL,19,FALSE)</f>
        <v>20</v>
      </c>
      <c r="AG215" s="1">
        <f>VLOOKUP(A215,'SegEnds_NonXtal_Prot#'!A:AL,28,FALSE)-VLOOKUP(A215,'SegEnds_NonXtal_Prot#'!A:AL,25,FALSE)</f>
        <v>25</v>
      </c>
      <c r="AH215" s="1">
        <f>VLOOKUP(A215,'SegEnds_NonXtal_Prot#'!A:AL,28,FALSE)-VLOOKUP(A215,'SegEnds_NonXtal_Prot#'!A:AL,22,FALSE)</f>
        <v>49</v>
      </c>
      <c r="AI215" s="1">
        <f>VLOOKUP(A215,'SegEnds_NonXtal_Prot#'!A:AL,31,FALSE)-VLOOKUP(A215,'SegEnds_NonXtal_Prot#'!A:AL,28,FALSE)</f>
        <v>62</v>
      </c>
      <c r="AJ215" s="1">
        <f>VLOOKUP(A215,'SegEnds_NonXtal_Prot#'!A:AL,34,FALSE)-VLOOKUP(A215,'SegEnds_NonXtal_Prot#'!A:AL,31,FALSE)</f>
        <v>42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NoXtal</v>
      </c>
    </row>
    <row r="216" spans="1:38" x14ac:dyDescent="0.2">
      <c r="A216" s="1" t="s">
        <v>1175</v>
      </c>
      <c r="B216" s="1" t="str">
        <f>VLOOKUP(A216,Xtal_Templ!A:B,2,FALSE)</f>
        <v>ox1r_human</v>
      </c>
      <c r="C216" s="5">
        <f>VLOOKUP($B216&amp;"__wt",'SegEnds_Xtal_BW#'!$A:$Z,3,FALSE)</f>
        <v>32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67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f>VLOOKUP($B216&amp;"__wt",'SegEnds_Xtal_BW#'!$A:$Z,14,FALSE)</f>
        <v>53</v>
      </c>
      <c r="O216" s="87">
        <f>VLOOKUP($B216&amp;"__wt",'SegEnds_Xtal_BW#'!$A:$Z,15,FALSE)</f>
        <v>38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32</v>
      </c>
      <c r="T216" s="1">
        <f t="array" ref="T216">INDEX(ICL3_classA!$G$2:$G$37,MATCH(MIN(ABS(AI216-ICL3_classA!$F$2:$F$37)),ABS(AI216-ICL3_classA!$F$2:$F$37),0))</f>
        <v>76</v>
      </c>
      <c r="U216" s="1">
        <v>20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58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1">
        <f>VLOOKUP(A216,'SegEnds_NonXtal_Prot#'!A:AL,10,FALSE)-VLOOKUP(A216,'SegEnds_NonXtal_Prot#'!A:AL,7,FALSE)</f>
        <v>15</v>
      </c>
      <c r="AD216" s="1">
        <f>VLOOKUP(A216,'SegEnds_NonXtal_Prot#'!A:AL,13,FALSE)-VLOOKUP(A216,'SegEnds_NonXtal_Prot#'!A:AL,10,FALSE)</f>
        <v>20</v>
      </c>
      <c r="AE216" s="1">
        <f>VLOOKUP(A216,'SegEnds_NonXtal_Prot#'!A:AL,16,FALSE)-VLOOKUP(A216,'SegEnds_NonXtal_Prot#'!A:AL,10,FALSE)</f>
        <v>52</v>
      </c>
      <c r="AF216" s="1">
        <f>VLOOKUP(A216,'SegEnds_NonXtal_Prot#'!A:AL,22,FALSE)-VLOOKUP(A216,'SegEnds_NonXtal_Prot#'!A:AL,19,FALSE)</f>
        <v>18</v>
      </c>
      <c r="AG216" s="1">
        <f>VLOOKUP(A216,'SegEnds_NonXtal_Prot#'!A:AL,28,FALSE)-VLOOKUP(A216,'SegEnds_NonXtal_Prot#'!A:AL,25,FALSE)</f>
        <v>25</v>
      </c>
      <c r="AH216" s="1">
        <f>VLOOKUP(A216,'SegEnds_NonXtal_Prot#'!A:AL,28,FALSE)-VLOOKUP(A216,'SegEnds_NonXtal_Prot#'!A:AL,22,FALSE)</f>
        <v>58</v>
      </c>
      <c r="AI216" s="12">
        <f>VLOOKUP(A216,'SegEnds_NonXtal_Prot#'!A:AL,31,FALSE)-VLOOKUP(A216,'SegEnds_NonXtal_Prot#'!A:AL,28,FALSE)</f>
        <v>86</v>
      </c>
      <c r="AJ216" s="1">
        <f>VLOOKUP(A216,'SegEnds_NonXtal_Prot#'!A:AL,34,FALSE)-VLOOKUP(A216,'SegEnds_NonXtal_Prot#'!A:AL,31,FALSE)</f>
        <v>42</v>
      </c>
      <c r="AK216" s="1">
        <f>VLOOKUP(A216,'SegEnds_NonXtal_Prot#'!A:AL,37,FALSE)-VLOOKUP(A216,'SegEnds_NonXtal_Prot#'!A:AL,34,FALSE)</f>
        <v>10</v>
      </c>
      <c r="AL216" s="12" t="str">
        <f>IF(ISERROR(MATCH(A216,'SegEnds_Xtal_Prot#'!B:B, 0)), "NoXtal", "Xtal")</f>
        <v>Xtal</v>
      </c>
    </row>
    <row r="217" spans="1:38" x14ac:dyDescent="0.2">
      <c r="A217" s="1" t="s">
        <v>1176</v>
      </c>
      <c r="B217" s="1" t="str">
        <f>VLOOKUP(A217,Xtal_Templ!A:B,2,FALSE)</f>
        <v>ox2r_human</v>
      </c>
      <c r="C217" s="5">
        <f>VLOOKUP($B217&amp;"__wt",'SegEnds_Xtal_BW#'!$A:$Z,3,FALSE)</f>
        <v>31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68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53</v>
      </c>
      <c r="O217" s="87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33</v>
      </c>
      <c r="T217" s="1">
        <f t="array" ref="T217">INDEX(ICL3_classA!$G$2:$G$37,MATCH(MIN(ABS(AI217-ICL3_classA!$F$2:$F$37)),ABS(AI217-ICL3_classA!$F$2:$F$37),0))</f>
        <v>76</v>
      </c>
      <c r="U217" s="1">
        <v>20</v>
      </c>
      <c r="V217" s="1">
        <v>61</v>
      </c>
      <c r="W217" s="108">
        <v>27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58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28</v>
      </c>
      <c r="AC217" s="1">
        <f>VLOOKUP(A217,'SegEnds_NonXtal_Prot#'!A:AL,10,FALSE)-VLOOKUP(A217,'SegEnds_NonXtal_Prot#'!A:AL,7,FALSE)</f>
        <v>15</v>
      </c>
      <c r="AD217" s="1">
        <f>VLOOKUP(A217,'SegEnds_NonXtal_Prot#'!A:AL,13,FALSE)-VLOOKUP(A217,'SegEnds_NonXtal_Prot#'!A:AL,10,FALSE)</f>
        <v>20</v>
      </c>
      <c r="AE217" s="1">
        <f>VLOOKUP(A217,'SegEnds_NonXtal_Prot#'!A:AL,16,FALSE)-VLOOKUP(A217,'SegEnds_NonXtal_Prot#'!A:AL,10,FALSE)</f>
        <v>52</v>
      </c>
      <c r="AF217" s="1">
        <f>VLOOKUP(A217,'SegEnds_NonXtal_Prot#'!A:AL,22,FALSE)-VLOOKUP(A217,'SegEnds_NonXtal_Prot#'!A:AL,19,FALSE)</f>
        <v>18</v>
      </c>
      <c r="AG217" s="1">
        <f>VLOOKUP(A217,'SegEnds_NonXtal_Prot#'!A:AL,28,FALSE)-VLOOKUP(A217,'SegEnds_NonXtal_Prot#'!A:AL,25,FALSE)</f>
        <v>25</v>
      </c>
      <c r="AH217" s="1">
        <f>VLOOKUP(A217,'SegEnds_NonXtal_Prot#'!A:AL,28,FALSE)-VLOOKUP(A217,'SegEnds_NonXtal_Prot#'!A:AL,22,FALSE)</f>
        <v>58</v>
      </c>
      <c r="AI217" s="12">
        <f>VLOOKUP(A217,'SegEnds_NonXtal_Prot#'!A:AL,31,FALSE)-VLOOKUP(A217,'SegEnds_NonXtal_Prot#'!A:AL,28,FALSE)</f>
        <v>84</v>
      </c>
      <c r="AJ217" s="1">
        <f>VLOOKUP(A217,'SegEnds_NonXtal_Prot#'!A:AL,34,FALSE)-VLOOKUP(A217,'SegEnds_NonXtal_Prot#'!A:AL,31,FALSE)</f>
        <v>42</v>
      </c>
      <c r="AK217" s="1">
        <f>VLOOKUP(A217,'SegEnds_NonXtal_Prot#'!A:AL,37,FALSE)-VLOOKUP(A217,'SegEnds_NonXtal_Prot#'!A:AL,34,FALSE)</f>
        <v>10</v>
      </c>
      <c r="AL217" s="12" t="str">
        <f>IF(ISERROR(MATCH(A217,'SegEnds_Xtal_Prot#'!B:B, 0)), "NoXtal", "Xtal")</f>
        <v>Xtal</v>
      </c>
    </row>
    <row r="218" spans="1:38" x14ac:dyDescent="0.2">
      <c r="A218" s="1" t="s">
        <v>342</v>
      </c>
      <c r="B218" s="1" t="str">
        <f>VLOOKUP(A218,Xtal_Templ!A:B,2,FALSE)</f>
        <v>pd2r2_human</v>
      </c>
      <c r="C218" s="5">
        <f>VLOOKUP($B218&amp;"__wt",'SegEnds_Xtal_BW#'!$A:$Z,3,FALSE)</f>
        <v>32</v>
      </c>
      <c r="D218" s="1">
        <f>VLOOKUP($B218&amp;"__wt",'SegEnds_Xtal_BW#'!$A:$Z,4,FALSE)</f>
        <v>60</v>
      </c>
      <c r="E218" s="1" t="str">
        <f>VLOOKUP($B218&amp;"__wt",'SegEnds_Xtal_BW#'!$A:$Z,5,FALSE)</f>
        <v>-</v>
      </c>
      <c r="F218" s="1" t="str">
        <f>VLOOKUP($B218&amp;"__wt",'SegEnds_Xtal_BW#'!$A:$Z,6,FALSE)</f>
        <v>-</v>
      </c>
      <c r="G218" s="1">
        <v>37</v>
      </c>
      <c r="H218" s="12">
        <f>VLOOKUP($B218&amp;"__wt",'SegEnds_Xtal_BW#'!$A:$Z,8,FALSE)</f>
        <v>67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f>VLOOKUP($B218&amp;"__wt",'SegEnds_Xtal_BW#'!$A:$Z,14,FALSE)</f>
        <v>57</v>
      </c>
      <c r="O218" s="87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26</v>
      </c>
      <c r="T218" s="1">
        <f t="array" ref="T218">INDEX(ICL3_classA!$G$2:$G$37,MATCH(MIN(ABS(AI218-ICL3_classA!$F$2:$F$37)),ABS(AI218-ICL3_classA!$F$2:$F$37),0))</f>
        <v>67</v>
      </c>
      <c r="U218" s="1">
        <f t="array" ref="U218">INDEX(ICL3_classA!$H$2:$H$37,MATCH(MIN(ABS(AI218-ICL3_classA!$F$2:$F$37)),ABS(AI218-ICL3_classA!$F$2:$F$37),0))</f>
        <v>26</v>
      </c>
      <c r="V218" s="1">
        <v>61</v>
      </c>
      <c r="W218" s="1">
        <v>28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64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>
        <f>VLOOKUP(A218,'SegEnds_NonXtal_Prot#'!A:AL,10,FALSE)-VLOOKUP(A218,'SegEnds_NonXtal_Prot#'!A:AL,7,FALSE)</f>
        <v>15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27</v>
      </c>
      <c r="AH218" s="1">
        <f>VLOOKUP(A218,'SegEnds_NonXtal_Prot#'!A:AL,28,FALSE)-VLOOKUP(A218,'SegEnds_NonXtal_Prot#'!A:AL,22,FALSE)</f>
        <v>47</v>
      </c>
      <c r="AI218" s="1">
        <f>VLOOKUP(A218,'SegEnds_NonXtal_Prot#'!A:AL,31,FALSE)-VLOOKUP(A218,'SegEnds_NonXtal_Prot#'!A:AL,28,FALSE)</f>
        <v>46</v>
      </c>
      <c r="AJ218" s="1">
        <f>VLOOKUP(A218,'SegEnds_NonXtal_Prot#'!A:AL,34,FALSE)-VLOOKUP(A218,'SegEnds_NonXtal_Prot#'!A:AL,31,FALSE)</f>
        <v>42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160</v>
      </c>
      <c r="B219" s="1" t="str">
        <f>VLOOKUP(A219,Xtal_Templ!A:B,2,FALSE)</f>
        <v>apj_human</v>
      </c>
      <c r="C219" s="5">
        <f>VLOOKUP($B219&amp;"__wt",'SegEnds_Xtal_BW#'!$A:$Z,3,FALSE)</f>
        <v>33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52</v>
      </c>
      <c r="G219" s="1">
        <v>37</v>
      </c>
      <c r="H219" s="12">
        <f>VLOOKUP($B219&amp;"__wt",'SegEnds_Xtal_BW#'!$A:$Z,8,FALSE)</f>
        <v>67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f>VLOOKUP($B219&amp;"__wt",'SegEnds_Xtal_BW#'!$A:$Z,14,FALSE)</f>
        <v>57</v>
      </c>
      <c r="O219" s="87"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30</v>
      </c>
      <c r="T219" s="1">
        <f t="array" ref="T219">INDEX(ICL3_classA!$G$2:$G$37,MATCH(MIN(ABS(AI219-ICL3_classA!$F$2:$F$37)),ABS(AI219-ICL3_classA!$F$2:$F$37),0))</f>
        <v>72</v>
      </c>
      <c r="U219" s="1">
        <f t="array" ref="U219">INDEX(ICL3_classA!$H$2:$H$37,MATCH(MIN(ABS(AI219-ICL3_classA!$F$2:$F$37)),ABS(AI219-ICL3_classA!$F$2:$F$37),0))</f>
        <v>29</v>
      </c>
      <c r="V219" s="108">
        <v>63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61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29</v>
      </c>
      <c r="AC219" s="1">
        <f>VLOOKUP(A219,'SegEnds_NonXtal_Prot#'!A:AL,10,FALSE)-VLOOKUP(A219,'SegEnds_NonXtal_Prot#'!A:AL,7,FALSE)</f>
        <v>16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>
        <f>VLOOKUP(A219,'SegEnds_NonXtal_Prot#'!A:AL,22,FALSE)-VLOOKUP(A219,'SegEnds_NonXtal_Prot#'!A:AL,19,FALSE)</f>
        <v>20</v>
      </c>
      <c r="AG219" s="1">
        <f>VLOOKUP(A219,'SegEnds_NonXtal_Prot#'!A:AL,28,FALSE)-VLOOKUP(A219,'SegEnds_NonXtal_Prot#'!A:AL,25,FALSE)</f>
        <v>32</v>
      </c>
      <c r="AH219" s="1">
        <f>VLOOKUP(A219,'SegEnds_NonXtal_Prot#'!A:AL,28,FALSE)-VLOOKUP(A219,'SegEnds_NonXtal_Prot#'!A:AL,22,FALSE)</f>
        <v>59</v>
      </c>
      <c r="AI219" s="1">
        <f>VLOOKUP(A219,'SegEnds_NonXtal_Prot#'!A:AL,31,FALSE)-VLOOKUP(A219,'SegEnds_NonXtal_Prot#'!A:AL,28,FALSE)</f>
        <v>50</v>
      </c>
      <c r="AJ219" s="1">
        <f>VLOOKUP(A219,'SegEnds_NonXtal_Prot#'!A:AL,34,FALSE)-VLOOKUP(A219,'SegEnds_NonXtal_Prot#'!A:AL,31,FALSE)</f>
        <v>43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Xtal</v>
      </c>
    </row>
    <row r="220" spans="1:38" x14ac:dyDescent="0.2">
      <c r="A220" s="1" t="s">
        <v>202</v>
      </c>
      <c r="B220" s="1" t="str">
        <f>VLOOKUP(A220,Xtal_Templ!A:B,2,FALSE)</f>
        <v>pd2r2_human</v>
      </c>
      <c r="C220" s="5">
        <f>VLOOKUP($B220&amp;"__wt",'SegEnds_Xtal_BW#'!$A:$Z,3,FALSE)</f>
        <v>32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">
        <v>37</v>
      </c>
      <c r="H220" s="12">
        <f>VLOOKUP($B220&amp;"__wt",'SegEnds_Xtal_BW#'!$A:$Z,8,FALSE)</f>
        <v>67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f>VLOOKUP($B220&amp;"__wt",'SegEnds_Xtal_BW#'!$A:$Z,14,FALSE)</f>
        <v>57</v>
      </c>
      <c r="O220" s="87"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26</v>
      </c>
      <c r="T220" s="1">
        <f t="array" ref="T220">INDEX(ICL3_classA!$G$2:$G$37,MATCH(MIN(ABS(AI220-ICL3_classA!$F$2:$F$37)),ABS(AI220-ICL3_classA!$F$2:$F$37),0))</f>
        <v>68</v>
      </c>
      <c r="U220" s="1">
        <f t="array" ref="U220">INDEX(ICL3_classA!$H$2:$H$37,MATCH(MIN(ABS(AI220-ICL3_classA!$F$2:$F$37)),ABS(AI220-ICL3_classA!$F$2:$F$37),0))</f>
        <v>30</v>
      </c>
      <c r="V220" s="1">
        <v>61</v>
      </c>
      <c r="W220" s="1">
        <v>24</v>
      </c>
      <c r="X220" s="108">
        <v>56</v>
      </c>
      <c r="Y220" s="1">
        <f>VLOOKUP($B220&amp;"__wt",'SegEnds_Xtal_BW#'!$A:$Z,25,FALSE)</f>
        <v>47</v>
      </c>
      <c r="Z220" s="1">
        <f>VLOOKUP($B220&amp;"__wt",'SegEnds_Xtal_BW#'!$A:$Z,26,FALSE)</f>
        <v>64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27</v>
      </c>
      <c r="AC220" s="1" t="e">
        <f>VLOOKUP(A220,'SegEnds_NonXtal_Prot#'!A:AL,10,FALSE)-VLOOKUP(A220,'SegEnds_NonXtal_Prot#'!A:AL,7,FALSE)</f>
        <v>#VALUE!</v>
      </c>
      <c r="AD220" s="1">
        <f>VLOOKUP(A220,'SegEnds_NonXtal_Prot#'!A:AL,13,FALSE)-VLOOKUP(A220,'SegEnds_NonXtal_Prot#'!A:AL,10,FALSE)</f>
        <v>20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20</v>
      </c>
      <c r="AG220" s="1">
        <f>VLOOKUP(A220,'SegEnds_NonXtal_Prot#'!A:AL,28,FALSE)-VLOOKUP(A220,'SegEnds_NonXtal_Prot#'!A:AL,25,FALSE)</f>
        <v>37</v>
      </c>
      <c r="AH220" s="1">
        <f>VLOOKUP(A220,'SegEnds_NonXtal_Prot#'!A:AL,28,FALSE)-VLOOKUP(A220,'SegEnds_NonXtal_Prot#'!A:AL,22,FALSE)</f>
        <v>63</v>
      </c>
      <c r="AI220" s="1">
        <f>VLOOKUP(A220,'SegEnds_NonXtal_Prot#'!A:AL,31,FALSE)-VLOOKUP(A220,'SegEnds_NonXtal_Prot#'!A:AL,28,FALSE)</f>
        <v>43</v>
      </c>
      <c r="AJ220" s="1">
        <f>VLOOKUP(A220,'SegEnds_NonXtal_Prot#'!A:AL,34,FALSE)-VLOOKUP(A220,'SegEnds_NonXtal_Prot#'!A:AL,31,FALSE)</f>
        <v>43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NoXtal</v>
      </c>
    </row>
    <row r="221" spans="1:38" x14ac:dyDescent="0.2">
      <c r="A221" s="1" t="s">
        <v>203</v>
      </c>
      <c r="B221" s="1" t="str">
        <f>VLOOKUP(A221,Xtal_Templ!A:B,2,FALSE)</f>
        <v>pd2r2_human</v>
      </c>
      <c r="C221" s="5">
        <f>VLOOKUP($B221&amp;"__wt",'SegEnds_Xtal_BW#'!$A:$Z,3,FALSE)</f>
        <v>32</v>
      </c>
      <c r="D221" s="1">
        <f>VLOOKUP($B221&amp;"__wt",'SegEnds_Xtal_BW#'!$A:$Z,4,FALSE)</f>
        <v>60</v>
      </c>
      <c r="E221" s="1" t="str">
        <f>VLOOKUP($B221&amp;"__wt",'SegEnds_Xtal_BW#'!$A:$Z,5,FALSE)</f>
        <v>-</v>
      </c>
      <c r="F221" s="1" t="str">
        <f>VLOOKUP($B221&amp;"__wt",'SegEnds_Xtal_BW#'!$A:$Z,6,FALSE)</f>
        <v>-</v>
      </c>
      <c r="G221" s="1">
        <v>37</v>
      </c>
      <c r="H221" s="12">
        <f>VLOOKUP($B221&amp;"__wt",'SegEnds_Xtal_BW#'!$A:$Z,8,FALSE)</f>
        <v>67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57</v>
      </c>
      <c r="O221" s="87"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26</v>
      </c>
      <c r="T221" s="1">
        <f t="array" ref="T221">INDEX(ICL3_classA!$G$2:$G$37,MATCH(MIN(ABS(AI221-ICL3_classA!$F$2:$F$37)),ABS(AI221-ICL3_classA!$F$2:$F$37),0))</f>
        <v>68</v>
      </c>
      <c r="U221" s="1">
        <f t="array" ref="U221">INDEX(ICL3_classA!$H$2:$H$37,MATCH(MIN(ABS(AI221-ICL3_classA!$F$2:$F$37)),ABS(AI221-ICL3_classA!$F$2:$F$37),0))</f>
        <v>30</v>
      </c>
      <c r="V221" s="1">
        <v>61</v>
      </c>
      <c r="W221" s="1">
        <v>24</v>
      </c>
      <c r="X221" s="108">
        <v>56</v>
      </c>
      <c r="Y221" s="1">
        <f>VLOOKUP($B221&amp;"__wt",'SegEnds_Xtal_BW#'!$A:$Z,25,FALSE)</f>
        <v>47</v>
      </c>
      <c r="Z221" s="1">
        <f>VLOOKUP($B221&amp;"__wt",'SegEnds_Xtal_BW#'!$A:$Z,26,FALSE)</f>
        <v>64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27</v>
      </c>
      <c r="AC221" s="1" t="e">
        <f>VLOOKUP(A221,'SegEnds_NonXtal_Prot#'!A:AL,10,FALSE)-VLOOKUP(A221,'SegEnds_NonXtal_Prot#'!A:AL,7,FALSE)</f>
        <v>#VALUE!</v>
      </c>
      <c r="AD221" s="1">
        <f>VLOOKUP(A221,'SegEnds_NonXtal_Prot#'!A:AL,13,FALSE)-VLOOKUP(A221,'SegEnds_NonXtal_Prot#'!A:AL,10,FALSE)</f>
        <v>20</v>
      </c>
      <c r="AE221" s="1">
        <f>VLOOKUP(A221,'SegEnds_NonXtal_Prot#'!A:AL,16,FALSE)-VLOOKUP(A221,'SegEnds_NonXtal_Prot#'!A:AL,10,FALSE)</f>
        <v>52</v>
      </c>
      <c r="AF221" s="1">
        <f>VLOOKUP(A221,'SegEnds_NonXtal_Prot#'!A:AL,22,FALSE)-VLOOKUP(A221,'SegEnds_NonXtal_Prot#'!A:AL,19,FALSE)</f>
        <v>20</v>
      </c>
      <c r="AG221" s="1">
        <f>VLOOKUP(A221,'SegEnds_NonXtal_Prot#'!A:AL,28,FALSE)-VLOOKUP(A221,'SegEnds_NonXtal_Prot#'!A:AL,25,FALSE)</f>
        <v>37</v>
      </c>
      <c r="AH221" s="1">
        <f>VLOOKUP(A221,'SegEnds_NonXtal_Prot#'!A:AL,28,FALSE)-VLOOKUP(A221,'SegEnds_NonXtal_Prot#'!A:AL,22,FALSE)</f>
        <v>63</v>
      </c>
      <c r="AI221" s="1">
        <f>VLOOKUP(A221,'SegEnds_NonXtal_Prot#'!A:AL,31,FALSE)-VLOOKUP(A221,'SegEnds_NonXtal_Prot#'!A:AL,28,FALSE)</f>
        <v>43</v>
      </c>
      <c r="AJ221" s="1">
        <f>VLOOKUP(A221,'SegEnds_NonXtal_Prot#'!A:AL,34,FALSE)-VLOOKUP(A221,'SegEnds_NonXtal_Prot#'!A:AL,31,FALSE)</f>
        <v>43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239</v>
      </c>
      <c r="B222" s="1" t="str">
        <f>VLOOKUP(A222,Xtal_Templ!A:B,2,FALSE)</f>
        <v>apj_human</v>
      </c>
      <c r="C222" s="5">
        <f>VLOOKUP($B222&amp;"__wt",'SegEnds_Xtal_BW#'!$A:$Z,3,FALSE)</f>
        <v>33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52</v>
      </c>
      <c r="G222" s="1">
        <v>37</v>
      </c>
      <c r="H222" s="12">
        <f>VLOOKUP($B222&amp;"__wt",'SegEnds_Xtal_BW#'!$A:$Z,8,FALSE)</f>
        <v>67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f>VLOOKUP($B222&amp;"__wt",'SegEnds_Xtal_BW#'!$A:$Z,14,FALSE)</f>
        <v>57</v>
      </c>
      <c r="O222" s="87"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30</v>
      </c>
      <c r="T222" s="1">
        <f t="array" ref="T222">INDEX(ICL3_classA!$G$2:$G$37,MATCH(MIN(ABS(AI222-ICL3_classA!$F$2:$F$37)),ABS(AI222-ICL3_classA!$F$2:$F$37),0))</f>
        <v>68</v>
      </c>
      <c r="U222" s="1">
        <f t="array" ref="U222">INDEX(ICL3_classA!$H$2:$H$37,MATCH(MIN(ABS(AI222-ICL3_classA!$F$2:$F$37)),ABS(AI222-ICL3_classA!$F$2:$F$37),0))</f>
        <v>24</v>
      </c>
      <c r="V222" s="1">
        <v>61</v>
      </c>
      <c r="W222" s="1">
        <v>24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61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28</v>
      </c>
      <c r="AC222" s="1" t="e">
        <f>VLOOKUP(A222,'SegEnds_NonXtal_Prot#'!A:AL,10,FALSE)-VLOOKUP(A222,'SegEnds_NonXtal_Prot#'!A:AL,7,FALSE)</f>
        <v>#VALUE!</v>
      </c>
      <c r="AD222" s="1">
        <f>VLOOKUP(A222,'SegEnds_NonXtal_Prot#'!A:AL,13,FALSE)-VLOOKUP(A222,'SegEnds_NonXtal_Prot#'!A:AL,10,FALSE)</f>
        <v>20</v>
      </c>
      <c r="AE222" s="1">
        <f>VLOOKUP(A222,'SegEnds_NonXtal_Prot#'!A:AL,16,FALSE)-VLOOKUP(A222,'SegEnds_NonXtal_Prot#'!A:AL,10,FALSE)</f>
        <v>52</v>
      </c>
      <c r="AF222" s="1">
        <f>VLOOKUP(A222,'SegEnds_NonXtal_Prot#'!A:AL,22,FALSE)-VLOOKUP(A222,'SegEnds_NonXtal_Prot#'!A:AL,19,FALSE)</f>
        <v>20</v>
      </c>
      <c r="AG222" s="1">
        <f>VLOOKUP(A222,'SegEnds_NonXtal_Prot#'!A:AL,28,FALSE)-VLOOKUP(A222,'SegEnds_NonXtal_Prot#'!A:AL,25,FALSE)</f>
        <v>24</v>
      </c>
      <c r="AH222" s="1">
        <f>VLOOKUP(A222,'SegEnds_NonXtal_Prot#'!A:AL,28,FALSE)-VLOOKUP(A222,'SegEnds_NonXtal_Prot#'!A:AL,22,FALSE)</f>
        <v>49</v>
      </c>
      <c r="AI222" s="1">
        <f>VLOOKUP(A222,'SegEnds_NonXtal_Prot#'!A:AL,31,FALSE)-VLOOKUP(A222,'SegEnds_NonXtal_Prot#'!A:AL,28,FALSE)</f>
        <v>49</v>
      </c>
      <c r="AJ222" s="1">
        <f>VLOOKUP(A222,'SegEnds_NonXtal_Prot#'!A:AL,34,FALSE)-VLOOKUP(A222,'SegEnds_NonXtal_Prot#'!A:AL,31,FALSE)</f>
        <v>43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253</v>
      </c>
      <c r="B223" s="1" t="str">
        <f>VLOOKUP(A223,Xtal_Templ!A:B,2,FALSE)</f>
        <v>ptafr_human</v>
      </c>
      <c r="C223" s="5">
        <f>VLOOKUP($B223&amp;"__wt",'SegEnds_Xtal_BW#'!$A:$Z,3,FALSE)</f>
        <v>27</v>
      </c>
      <c r="D223" s="1">
        <f>VLOOKUP($B223&amp;"__wt",'SegEnds_Xtal_BW#'!$A:$Z,4,FALSE)</f>
        <v>61</v>
      </c>
      <c r="E223" s="1" t="str">
        <f>VLOOKUP($B223&amp;"__wt",'SegEnds_Xtal_BW#'!$A:$Z,5,FALSE)</f>
        <v>-</v>
      </c>
      <c r="F223" s="1" t="str">
        <f>VLOOKUP($B223&amp;"__wt",'SegEnds_Xtal_BW#'!$A:$Z,6,FALSE)</f>
        <v>-</v>
      </c>
      <c r="G223" s="1">
        <v>37</v>
      </c>
      <c r="H223" s="12">
        <f>VLOOKUP($B223&amp;"__wt",'SegEnds_Xtal_BW#'!$A:$Z,8,FALSE)</f>
        <v>67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f>VLOOKUP($B223&amp;"__wt",'SegEnds_Xtal_BW#'!$A:$Z,14,FALSE)</f>
        <v>57</v>
      </c>
      <c r="O223" s="87">
        <f>VLOOKUP($B223&amp;"__wt",'SegEnds_Xtal_BW#'!$A:$Z,15,FALSE)</f>
        <v>38</v>
      </c>
      <c r="P223" s="1">
        <f>VLOOKUP($B223&amp;"__wt",'SegEnds_Xtal_BW#'!$A:$Z,16,FALSE)</f>
        <v>63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33</v>
      </c>
      <c r="T223" s="1">
        <f t="array" ref="T223">INDEX(ICL3_classA!$G$2:$G$37,MATCH(MIN(ABS(AI223-ICL3_classA!$F$2:$F$37)),ABS(AI223-ICL3_classA!$F$2:$F$37),0))</f>
        <v>68</v>
      </c>
      <c r="U223" s="1">
        <f t="array" ref="U223">INDEX(ICL3_classA!$H$2:$H$37,MATCH(MIN(ABS(AI223-ICL3_classA!$F$2:$F$37)),ABS(AI223-ICL3_classA!$F$2:$F$37),0))</f>
        <v>23</v>
      </c>
      <c r="V223" s="1">
        <v>61</v>
      </c>
      <c r="W223" s="1">
        <v>24</v>
      </c>
      <c r="X223" s="1">
        <f>VLOOKUP($B223&amp;"__wt",'SegEnds_Xtal_BW#'!$A:$Z,24,FALSE)</f>
        <v>59</v>
      </c>
      <c r="Y223" s="1">
        <f>VLOOKUP($B223&amp;"__wt",'SegEnds_Xtal_BW#'!$A:$Z,25,FALSE)</f>
        <v>50</v>
      </c>
      <c r="Z223" s="1">
        <f>VLOOKUP($B223&amp;"__wt",'SegEnds_Xtal_BW#'!$A:$Z,26,FALSE)</f>
        <v>63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28</v>
      </c>
      <c r="AC223" s="1" t="e">
        <f>VLOOKUP(A223,'SegEnds_NonXtal_Prot#'!A:AL,10,FALSE)-VLOOKUP(A223,'SegEnds_NonXtal_Prot#'!A:AL,7,FALSE)</f>
        <v>#VALUE!</v>
      </c>
      <c r="AD223" s="1">
        <f>VLOOKUP(A223,'SegEnds_NonXtal_Prot#'!A:AL,13,FALSE)-VLOOKUP(A223,'SegEnds_NonXtal_Prot#'!A:AL,10,FALSE)</f>
        <v>20</v>
      </c>
      <c r="AE223" s="1">
        <f>VLOOKUP(A223,'SegEnds_NonXtal_Prot#'!A:AL,16,FALSE)-VLOOKUP(A223,'SegEnds_NonXtal_Prot#'!A:AL,10,FALSE)</f>
        <v>52</v>
      </c>
      <c r="AF223" s="1">
        <f>VLOOKUP(A223,'SegEnds_NonXtal_Prot#'!A:AL,22,FALSE)-VLOOKUP(A223,'SegEnds_NonXtal_Prot#'!A:AL,19,FALSE)</f>
        <v>20</v>
      </c>
      <c r="AG223" s="1">
        <f>VLOOKUP(A223,'SegEnds_NonXtal_Prot#'!A:AL,28,FALSE)-VLOOKUP(A223,'SegEnds_NonXtal_Prot#'!A:AL,25,FALSE)</f>
        <v>26</v>
      </c>
      <c r="AH223" s="1">
        <f>VLOOKUP(A223,'SegEnds_NonXtal_Prot#'!A:AL,28,FALSE)-VLOOKUP(A223,'SegEnds_NonXtal_Prot#'!A:AL,22,FALSE)</f>
        <v>51</v>
      </c>
      <c r="AI223" s="1">
        <f>VLOOKUP(A223,'SegEnds_NonXtal_Prot#'!A:AL,31,FALSE)-VLOOKUP(A223,'SegEnds_NonXtal_Prot#'!A:AL,28,FALSE)</f>
        <v>51</v>
      </c>
      <c r="AJ223" s="1">
        <f>VLOOKUP(A223,'SegEnds_NonXtal_Prot#'!A:AL,34,FALSE)-VLOOKUP(A223,'SegEnds_NonXtal_Prot#'!A:AL,31,FALSE)</f>
        <v>43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NoXtal</v>
      </c>
    </row>
    <row r="224" spans="1:38" x14ac:dyDescent="0.2">
      <c r="A224" s="1" t="s">
        <v>256</v>
      </c>
      <c r="B224" s="1" t="str">
        <f>VLOOKUP(A224,Xtal_Templ!A:B,2,FALSE)</f>
        <v>ntr1_rat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f>VLOOKUP($B224&amp;"__wt",'SegEnds_Xtal_BW#'!$A:$Z,8,FALSE)</f>
        <v>68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f>VLOOKUP($B224&amp;"__wt",'SegEnds_Xtal_BW#'!$A:$Z,14,FALSE)</f>
        <v>57</v>
      </c>
      <c r="O224" s="87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v>35</v>
      </c>
      <c r="T224" s="1">
        <f t="array" ref="T224">INDEX(ICL3_classA!$G$2:$G$37,MATCH(MIN(ABS(AI224-ICL3_classA!$F$2:$F$37)),ABS(AI224-ICL3_classA!$F$2:$F$37),0))</f>
        <v>76</v>
      </c>
      <c r="U224" s="1">
        <f t="array" ref="U224">INDEX(ICL3_classA!$H$2:$H$37,MATCH(MIN(ABS(AI224-ICL3_classA!$F$2:$F$37)),ABS(AI224-ICL3_classA!$F$2:$F$37),0))</f>
        <v>24</v>
      </c>
      <c r="V224" s="1">
        <v>61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58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31</v>
      </c>
      <c r="AC224" s="1" t="e">
        <f>VLOOKUP(A224,'SegEnds_NonXtal_Prot#'!A:AL,10,FALSE)-VLOOKUP(A224,'SegEnds_NonXtal_Prot#'!A:AL,7,FALSE)</f>
        <v>#VALUE!</v>
      </c>
      <c r="AD224" s="1" t="e">
        <f>VLOOKUP(A224,'SegEnds_NonXtal_Prot#'!A:AL,13,FALSE)-VLOOKUP(A224,'SegEnds_NonXtal_Prot#'!A:AL,10,FALSE)</f>
        <v>#VALUE!</v>
      </c>
      <c r="AE224" s="1">
        <f>VLOOKUP(A224,'SegEnds_NonXtal_Prot#'!A:AL,16,FALSE)-VLOOKUP(A224,'SegEnds_NonXtal_Prot#'!A:AL,10,FALSE)</f>
        <v>54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21</v>
      </c>
      <c r="AH224" s="1">
        <f>VLOOKUP(A224,'SegEnds_NonXtal_Prot#'!A:AL,28,FALSE)-VLOOKUP(A224,'SegEnds_NonXtal_Prot#'!A:AL,22,FALSE)</f>
        <v>71</v>
      </c>
      <c r="AI224" s="1">
        <f>VLOOKUP(A224,'SegEnds_NonXtal_Prot#'!A:AL,31,FALSE)-VLOOKUP(A224,'SegEnds_NonXtal_Prot#'!A:AL,28,FALSE)</f>
        <v>67</v>
      </c>
      <c r="AJ224" s="1">
        <f>VLOOKUP(A224,'SegEnds_NonXtal_Prot#'!A:AL,34,FALSE)-VLOOKUP(A224,'SegEnds_NonXtal_Prot#'!A:AL,31,FALSE)</f>
        <v>43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NoXtal</v>
      </c>
    </row>
    <row r="225" spans="1:38" x14ac:dyDescent="0.2">
      <c r="A225" s="1" t="s">
        <v>127</v>
      </c>
      <c r="B225" s="1" t="str">
        <f>VLOOKUP(A225,Xtal_Templ!A:B,2,FALSE)</f>
        <v>ntr1_rat</v>
      </c>
      <c r="C225" s="5">
        <f>VLOOKUP($B225&amp;"__wt",'SegEnds_Xtal_BW#'!$A:$Z,3,FALSE)</f>
        <v>29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68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f>VLOOKUP($B225&amp;"__wt",'SegEnds_Xtal_BW#'!$A:$Z,14,FALSE)</f>
        <v>57</v>
      </c>
      <c r="O225" s="87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32</v>
      </c>
      <c r="T225" s="1">
        <f t="array" ref="T225">INDEX(ICL3_classA!$G$2:$G$37,MATCH(MIN(ABS(AI225-ICL3_classA!$F$2:$F$37)),ABS(AI225-ICL3_classA!$F$2:$F$37),0))</f>
        <v>76</v>
      </c>
      <c r="U225" s="1">
        <f t="array" ref="U225">INDEX(ICL3_classA!$H$2:$H$37,MATCH(MIN(ABS(AI225-ICL3_classA!$F$2:$F$37)),ABS(AI225-ICL3_classA!$F$2:$F$37),0))</f>
        <v>24</v>
      </c>
      <c r="V225" s="1">
        <v>61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58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31</v>
      </c>
      <c r="AC225" s="1">
        <f>VLOOKUP(A225,'SegEnds_NonXtal_Prot#'!A:AL,10,FALSE)-VLOOKUP(A225,'SegEnds_NonXtal_Prot#'!A:AL,7,FALSE)</f>
        <v>18</v>
      </c>
      <c r="AD225" s="1">
        <f>VLOOKUP(A225,'SegEnds_NonXtal_Prot#'!A:AL,13,FALSE)-VLOOKUP(A225,'SegEnds_NonXtal_Prot#'!A:AL,10,FALSE)</f>
        <v>22</v>
      </c>
      <c r="AE225" s="1">
        <f>VLOOKUP(A225,'SegEnds_NonXtal_Prot#'!A:AL,16,FALSE)-VLOOKUP(A225,'SegEnds_NonXtal_Prot#'!A:AL,10,FALSE)</f>
        <v>54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24</v>
      </c>
      <c r="AH225" s="1">
        <f>VLOOKUP(A225,'SegEnds_NonXtal_Prot#'!A:AL,28,FALSE)-VLOOKUP(A225,'SegEnds_NonXtal_Prot#'!A:AL,22,FALSE)</f>
        <v>55</v>
      </c>
      <c r="AI225" s="1">
        <f>VLOOKUP(A225,'SegEnds_NonXtal_Prot#'!A:AL,31,FALSE)-VLOOKUP(A225,'SegEnds_NonXtal_Prot#'!A:AL,28,FALSE)</f>
        <v>70</v>
      </c>
      <c r="AJ225" s="1">
        <f>VLOOKUP(A225,'SegEnds_NonXtal_Prot#'!A:AL,34,FALSE)-VLOOKUP(A225,'SegEnds_NonXtal_Prot#'!A:AL,31,FALSE)</f>
        <v>43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NoXtal</v>
      </c>
    </row>
    <row r="226" spans="1:38" x14ac:dyDescent="0.2">
      <c r="A226" s="1" t="s">
        <v>914</v>
      </c>
      <c r="B226" s="1" t="str">
        <f>VLOOKUP(A226,Xtal_Templ!A:B,2,FALSE)</f>
        <v>ntr1_rat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7">
        <f>VLOOKUP($B226&amp;"__wt",'SegEnds_Xtal_BW#'!$A:$Z,15,FALSE)</f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INDEX(ICL3_classA!$G$2:$G$37,MATCH(MIN(ABS(AI226-ICL3_classA!$F$2:$F$37)),ABS(AI226-ICL3_classA!$F$2:$F$37),0))</f>
        <v>76</v>
      </c>
      <c r="U226" s="1">
        <f t="array" ref="U226">INDEX(ICL3_classA!$H$2:$H$37,MATCH(MIN(ABS(AI226-ICL3_classA!$F$2:$F$37)),ABS(AI226-ICL3_classA!$F$2:$F$37),0))</f>
        <v>24</v>
      </c>
      <c r="V226" s="1">
        <v>61</v>
      </c>
      <c r="W226" s="1">
        <v>24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58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31</v>
      </c>
      <c r="AC226" s="1">
        <f>VLOOKUP(A226,'SegEnds_NonXtal_Prot#'!A:AL,10,FALSE)-VLOOKUP(A226,'SegEnds_NonXtal_Prot#'!A:AL,7,FALSE)</f>
        <v>18</v>
      </c>
      <c r="AD226" s="1">
        <f>VLOOKUP(A226,'SegEnds_NonXtal_Prot#'!A:AL,13,FALSE)-VLOOKUP(A226,'SegEnds_NonXtal_Prot#'!A:AL,10,FALSE)</f>
        <v>22</v>
      </c>
      <c r="AE226" s="1">
        <f>VLOOKUP(A226,'SegEnds_NonXtal_Prot#'!A:AL,16,FALSE)-VLOOKUP(A226,'SegEnds_NonXtal_Prot#'!A:AL,10,FALSE)</f>
        <v>54</v>
      </c>
      <c r="AF226" s="1">
        <f>VLOOKUP(A226,'SegEnds_NonXtal_Prot#'!A:AL,22,FALSE)-VLOOKUP(A226,'SegEnds_NonXtal_Prot#'!A:AL,19,FALSE)</f>
        <v>20</v>
      </c>
      <c r="AG226" s="1">
        <f>VLOOKUP(A226,'SegEnds_NonXtal_Prot#'!A:AL,28,FALSE)-VLOOKUP(A226,'SegEnds_NonXtal_Prot#'!A:AL,25,FALSE)</f>
        <v>24</v>
      </c>
      <c r="AH226" s="1">
        <f>VLOOKUP(A226,'SegEnds_NonXtal_Prot#'!A:AL,28,FALSE)-VLOOKUP(A226,'SegEnds_NonXtal_Prot#'!A:AL,22,FALSE)</f>
        <v>55</v>
      </c>
      <c r="AI226" s="1">
        <f>VLOOKUP(A226,'SegEnds_NonXtal_Prot#'!A:AL,31,FALSE)-VLOOKUP(A226,'SegEnds_NonXtal_Prot#'!A:AL,28,FALSE)</f>
        <v>74</v>
      </c>
      <c r="AJ226" s="1">
        <f>VLOOKUP(A226,'SegEnds_NonXtal_Prot#'!A:AL,34,FALSE)-VLOOKUP(A226,'SegEnds_NonXtal_Prot#'!A:AL,31,FALSE)</f>
        <v>43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Xtal</v>
      </c>
    </row>
    <row r="227" spans="1:38" x14ac:dyDescent="0.2">
      <c r="A227" s="1" t="s">
        <v>330</v>
      </c>
      <c r="B227" s="1" t="str">
        <f>VLOOKUP(A227,Xtal_Templ!A:B,2,FALSE)</f>
        <v>ntr1_rat</v>
      </c>
      <c r="C227" s="5">
        <f>VLOOKUP($B227&amp;"__wt",'SegEnds_Xtal_BW#'!$A:$Z,3,FALSE)</f>
        <v>29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f>VLOOKUP($B227&amp;"__wt",'SegEnds_Xtal_BW#'!$A:$Z,8,FALSE)</f>
        <v>68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57</v>
      </c>
      <c r="O227" s="87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INDEX(ICL3_classA!$G$2:$G$37,MATCH(MIN(ABS(AI227-ICL3_classA!$F$2:$F$37)),ABS(AI227-ICL3_classA!$F$2:$F$37),0))</f>
        <v>74</v>
      </c>
      <c r="U227" s="1">
        <f t="array" ref="U227">INDEX(ICL3_classA!$H$2:$H$37,MATCH(MIN(ABS(AI227-ICL3_classA!$F$2:$F$37)),ABS(AI227-ICL3_classA!$F$2:$F$37),0))</f>
        <v>24</v>
      </c>
      <c r="V227" s="1">
        <v>61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58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29</v>
      </c>
      <c r="AC227" s="1" t="e">
        <f>VLOOKUP(A227,'SegEnds_NonXtal_Prot#'!A:AL,10,FALSE)-VLOOKUP(A227,'SegEnds_NonXtal_Prot#'!A:AL,7,FALSE)</f>
        <v>#VALUE!</v>
      </c>
      <c r="AD227" s="1">
        <f>VLOOKUP(A227,'SegEnds_NonXtal_Prot#'!A:AL,13,FALSE)-VLOOKUP(A227,'SegEnds_NonXtal_Prot#'!A:AL,10,FALSE)</f>
        <v>22</v>
      </c>
      <c r="AE227" s="1">
        <f>VLOOKUP(A227,'SegEnds_NonXtal_Prot#'!A:AL,16,FALSE)-VLOOKUP(A227,'SegEnds_NonXtal_Prot#'!A:AL,10,FALSE)</f>
        <v>54</v>
      </c>
      <c r="AF227" s="1">
        <f>VLOOKUP(A227,'SegEnds_NonXtal_Prot#'!A:AL,22,FALSE)-VLOOKUP(A227,'SegEnds_NonXtal_Prot#'!A:AL,19,FALSE)</f>
        <v>20</v>
      </c>
      <c r="AG227" s="1">
        <f>VLOOKUP(A227,'SegEnds_NonXtal_Prot#'!A:AL,28,FALSE)-VLOOKUP(A227,'SegEnds_NonXtal_Prot#'!A:AL,25,FALSE)</f>
        <v>24</v>
      </c>
      <c r="AH227" s="1">
        <f>VLOOKUP(A227,'SegEnds_NonXtal_Prot#'!A:AL,28,FALSE)-VLOOKUP(A227,'SegEnds_NonXtal_Prot#'!A:AL,22,FALSE)</f>
        <v>58</v>
      </c>
      <c r="AI227" s="1">
        <f>VLOOKUP(A227,'SegEnds_NonXtal_Prot#'!A:AL,31,FALSE)-VLOOKUP(A227,'SegEnds_NonXtal_Prot#'!A:AL,28,FALSE)</f>
        <v>94</v>
      </c>
      <c r="AJ227" s="1">
        <f>VLOOKUP(A227,'SegEnds_NonXtal_Prot#'!A:AL,34,FALSE)-VLOOKUP(A227,'SegEnds_NonXtal_Prot#'!A:AL,31,FALSE)</f>
        <v>43</v>
      </c>
      <c r="AK227" s="1">
        <f>VLOOKUP(A227,'SegEnds_NonXtal_Prot#'!A:AL,37,FALSE)-VLOOKUP(A227,'SegEnds_NonXtal_Prot#'!A:AL,34,FALSE)</f>
        <v>10</v>
      </c>
      <c r="AL227" s="1" t="str">
        <f>IF(ISERROR(MATCH(A227,'SegEnds_Xtal_Prot#'!B:B, 0)), "NoXtal", "Xtal")</f>
        <v>NoXtal</v>
      </c>
    </row>
    <row r="228" spans="1:38" x14ac:dyDescent="0.2">
      <c r="A228" s="1" t="s">
        <v>343</v>
      </c>
      <c r="B228" s="1" t="str">
        <f>VLOOKUP(A228,Xtal_Templ!A:B,2,FALSE)</f>
        <v>p2ry1_human</v>
      </c>
      <c r="C228" s="5">
        <f>VLOOKUP($B228&amp;"__wt",'SegEnds_Xtal_BW#'!$A:$Z,3,FALSE)</f>
        <v>30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f>VLOOKUP($B228&amp;"__wt",'SegEnds_Xtal_BW#'!$A:$Z,14,FALSE)</f>
        <v>57</v>
      </c>
      <c r="O228" s="87">
        <f>VLOOKUP($B228&amp;"__wt",'SegEnds_Xtal_BW#'!$A:$Z,15,FALSE)</f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32</v>
      </c>
      <c r="T228" s="1">
        <f t="array" ref="T228">INDEX(ICL3_classA!$G$2:$G$37,MATCH(MIN(ABS(AI228-ICL3_classA!$F$2:$F$37)),ABS(AI228-ICL3_classA!$F$2:$F$37),0))</f>
        <v>67</v>
      </c>
      <c r="U228" s="1">
        <f t="array" ref="U228">INDEX(ICL3_classA!$H$2:$H$37,MATCH(MIN(ABS(AI228-ICL3_classA!$F$2:$F$37)),ABS(AI228-ICL3_classA!$F$2:$F$37),0))</f>
        <v>26</v>
      </c>
      <c r="V228" s="1">
        <v>61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59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28</v>
      </c>
      <c r="AC228" s="1" t="e">
        <f>VLOOKUP(A228,'SegEnds_NonXtal_Prot#'!A:AL,10,FALSE)-VLOOKUP(A228,'SegEnds_NonXtal_Prot#'!A:AL,7,FALSE)</f>
        <v>#VALUE!</v>
      </c>
      <c r="AD228" s="1">
        <f>VLOOKUP(A228,'SegEnds_NonXtal_Prot#'!A:AL,13,FALSE)-VLOOKUP(A228,'SegEnds_NonXtal_Prot#'!A:AL,10,FALSE)</f>
        <v>20</v>
      </c>
      <c r="AE228" s="1">
        <f>VLOOKUP(A228,'SegEnds_NonXtal_Prot#'!A:AL,16,FALSE)-VLOOKUP(A228,'SegEnds_NonXtal_Prot#'!A:AL,10,FALSE)</f>
        <v>52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27</v>
      </c>
      <c r="AH228" s="1">
        <f>VLOOKUP(A228,'SegEnds_NonXtal_Prot#'!A:AL,28,FALSE)-VLOOKUP(A228,'SegEnds_NonXtal_Prot#'!A:AL,22,FALSE)</f>
        <v>52</v>
      </c>
      <c r="AI228" s="1">
        <f>VLOOKUP(A228,'SegEnds_NonXtal_Prot#'!A:AL,31,FALSE)-VLOOKUP(A228,'SegEnds_NonXtal_Prot#'!A:AL,28,FALSE)</f>
        <v>46</v>
      </c>
      <c r="AJ228" s="1">
        <f>VLOOKUP(A228,'SegEnds_NonXtal_Prot#'!A:AL,34,FALSE)-VLOOKUP(A228,'SegEnds_NonXtal_Prot#'!A:AL,31,FALSE)</f>
        <v>43</v>
      </c>
      <c r="AK228" s="1">
        <f>VLOOKUP(A228,'SegEnds_NonXtal_Prot#'!A:AL,37,FALSE)-VLOOKUP(A228,'SegEnds_NonXtal_Prot#'!A:AL,34,FALSE)</f>
        <v>10</v>
      </c>
      <c r="AL228" s="1" t="str">
        <f>IF(ISERROR(MATCH(A228,'SegEnds_Xtal_Prot#'!B:B, 0)), "NoXtal", "Xtal")</f>
        <v>NoXtal</v>
      </c>
    </row>
    <row r="229" spans="1:38" x14ac:dyDescent="0.2">
      <c r="A229" s="1" t="s">
        <v>346</v>
      </c>
      <c r="B229" s="1" t="str">
        <f>VLOOKUP(A229,Xtal_Templ!A:B,2,FALSE)</f>
        <v>p2ry1_human</v>
      </c>
      <c r="C229" s="5">
        <f>VLOOKUP($B229&amp;"__wt",'SegEnds_Xtal_BW#'!$A:$Z,3,FALSE)</f>
        <v>30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f>VLOOKUP($B229&amp;"__wt",'SegEnds_Xtal_BW#'!$A:$Z,14,FALSE)</f>
        <v>57</v>
      </c>
      <c r="O229" s="87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32</v>
      </c>
      <c r="T229" s="1">
        <f t="array" ref="T229">INDEX(ICL3_classA!$G$2:$G$37,MATCH(MIN(ABS(AI229-ICL3_classA!$F$2:$F$37)),ABS(AI229-ICL3_classA!$F$2:$F$37),0))</f>
        <v>72</v>
      </c>
      <c r="U229" s="1">
        <f t="array" ref="U229">INDEX(ICL3_classA!$H$2:$H$37,MATCH(MIN(ABS(AI229-ICL3_classA!$F$2:$F$37)),ABS(AI229-ICL3_classA!$F$2:$F$37),0))</f>
        <v>29</v>
      </c>
      <c r="V229" s="1">
        <v>61</v>
      </c>
      <c r="W229" s="1">
        <v>24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59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28</v>
      </c>
      <c r="AC229" s="1" t="e">
        <f>VLOOKUP(A229,'SegEnds_NonXtal_Prot#'!A:AL,10,FALSE)-VLOOKUP(A229,'SegEnds_NonXtal_Prot#'!A:AL,7,FALSE)</f>
        <v>#VALUE!</v>
      </c>
      <c r="AD229" s="1">
        <f>VLOOKUP(A229,'SegEnds_NonXtal_Prot#'!A:AL,13,FALSE)-VLOOKUP(A229,'SegEnds_NonXtal_Prot#'!A:AL,10,FALSE)</f>
        <v>20</v>
      </c>
      <c r="AE229" s="1">
        <f>VLOOKUP(A229,'SegEnds_NonXtal_Prot#'!A:AL,16,FALSE)-VLOOKUP(A229,'SegEnds_NonXtal_Prot#'!A:AL,10,FALSE)</f>
        <v>52</v>
      </c>
      <c r="AF229" s="1">
        <f>VLOOKUP(A229,'SegEnds_NonXtal_Prot#'!A:AL,22,FALSE)-VLOOKUP(A229,'SegEnds_NonXtal_Prot#'!A:AL,19,FALSE)</f>
        <v>20</v>
      </c>
      <c r="AG229" s="1">
        <f>VLOOKUP(A229,'SegEnds_NonXtal_Prot#'!A:AL,28,FALSE)-VLOOKUP(A229,'SegEnds_NonXtal_Prot#'!A:AL,25,FALSE)</f>
        <v>27</v>
      </c>
      <c r="AH229" s="1">
        <f>VLOOKUP(A229,'SegEnds_NonXtal_Prot#'!A:AL,28,FALSE)-VLOOKUP(A229,'SegEnds_NonXtal_Prot#'!A:AL,22,FALSE)</f>
        <v>52</v>
      </c>
      <c r="AI229" s="1">
        <f>VLOOKUP(A229,'SegEnds_NonXtal_Prot#'!A:AL,31,FALSE)-VLOOKUP(A229,'SegEnds_NonXtal_Prot#'!A:AL,28,FALSE)</f>
        <v>50</v>
      </c>
      <c r="AJ229" s="1">
        <f>VLOOKUP(A229,'SegEnds_NonXtal_Prot#'!A:AL,34,FALSE)-VLOOKUP(A229,'SegEnds_NonXtal_Prot#'!A:AL,31,FALSE)</f>
        <v>43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NoXtal</v>
      </c>
    </row>
    <row r="230" spans="1:38" x14ac:dyDescent="0.2">
      <c r="A230" s="1" t="s">
        <v>347</v>
      </c>
      <c r="B230" s="1" t="str">
        <f>VLOOKUP(A230,Xtal_Templ!A:B,2,FALSE)</f>
        <v>p2ry1_human</v>
      </c>
      <c r="C230" s="5">
        <f>VLOOKUP($B230&amp;"__wt",'SegEnds_Xtal_BW#'!$A:$Z,3,FALSE)</f>
        <v>30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f>VLOOKUP($B230&amp;"__wt",'SegEnds_Xtal_BW#'!$A:$Z,14,FALSE)</f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32</v>
      </c>
      <c r="T230" s="1">
        <f t="array" ref="T230">INDEX(ICL3_classA!$G$2:$G$37,MATCH(MIN(ABS(AI230-ICL3_classA!$F$2:$F$37)),ABS(AI230-ICL3_classA!$F$2:$F$37),0))</f>
        <v>68</v>
      </c>
      <c r="U230" s="1">
        <f t="array" ref="U230">INDEX(ICL3_classA!$H$2:$H$37,MATCH(MIN(ABS(AI230-ICL3_classA!$F$2:$F$37)),ABS(AI230-ICL3_classA!$F$2:$F$37),0))</f>
        <v>24</v>
      </c>
      <c r="V230" s="1">
        <v>61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59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28</v>
      </c>
      <c r="AC230" s="1" t="e">
        <f>VLOOKUP(A230,'SegEnds_NonXtal_Prot#'!A:AL,10,FALSE)-VLOOKUP(A230,'SegEnds_NonXtal_Prot#'!A:AL,7,FALSE)</f>
        <v>#VALUE!</v>
      </c>
      <c r="AD230" s="1">
        <f>VLOOKUP(A230,'SegEnds_NonXtal_Prot#'!A:AL,13,FALSE)-VLOOKUP(A230,'SegEnds_NonXtal_Prot#'!A:AL,10,FALSE)</f>
        <v>20</v>
      </c>
      <c r="AE230" s="1">
        <f>VLOOKUP(A230,'SegEnds_NonXtal_Prot#'!A:AL,16,FALSE)-VLOOKUP(A230,'SegEnds_NonXtal_Prot#'!A:AL,10,FALSE)</f>
        <v>52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27</v>
      </c>
      <c r="AH230" s="1">
        <f>VLOOKUP(A230,'SegEnds_NonXtal_Prot#'!A:AL,28,FALSE)-VLOOKUP(A230,'SegEnds_NonXtal_Prot#'!A:AL,22,FALSE)</f>
        <v>52</v>
      </c>
      <c r="AI230" s="1">
        <f>VLOOKUP(A230,'SegEnds_NonXtal_Prot#'!A:AL,31,FALSE)-VLOOKUP(A230,'SegEnds_NonXtal_Prot#'!A:AL,28,FALSE)</f>
        <v>48</v>
      </c>
      <c r="AJ230" s="1">
        <f>VLOOKUP(A230,'SegEnds_NonXtal_Prot#'!A:AL,34,FALSE)-VLOOKUP(A230,'SegEnds_NonXtal_Prot#'!A:AL,31,FALSE)</f>
        <v>43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NoXtal</v>
      </c>
    </row>
    <row r="231" spans="1:38" x14ac:dyDescent="0.2">
      <c r="A231" s="1" t="s">
        <v>371</v>
      </c>
      <c r="B231" s="1" t="str">
        <f>VLOOKUP(A231,Xtal_Templ!A:B,2,FALSE)</f>
        <v>ptafr_human</v>
      </c>
      <c r="C231" s="5">
        <f>VLOOKUP($B231&amp;"__wt",'SegEnds_Xtal_BW#'!$A:$Z,3,FALSE)</f>
        <v>27</v>
      </c>
      <c r="D231" s="1">
        <f>VLOOKUP($B231&amp;"__wt",'SegEnds_Xtal_BW#'!$A:$Z,4,FALSE)</f>
        <v>61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08">
        <v>36</v>
      </c>
      <c r="H231" s="12">
        <f>VLOOKUP($B231&amp;"__wt",'SegEnds_Xtal_BW#'!$A:$Z,8,FALSE)</f>
        <v>67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f>VLOOKUP($B231&amp;"__wt",'SegEnds_Xtal_BW#'!$A:$Z,14,FALSE)</f>
        <v>57</v>
      </c>
      <c r="O231" s="87">
        <v>38</v>
      </c>
      <c r="P231" s="1">
        <f>VLOOKUP($B231&amp;"__wt",'SegEnds_Xtal_BW#'!$A:$Z,16,FALSE)</f>
        <v>63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33</v>
      </c>
      <c r="T231" s="1">
        <f t="array" ref="T231">INDEX(ICL3_classA!$G$2:$G$37,MATCH(MIN(ABS(AI231-ICL3_classA!$F$2:$F$37)),ABS(AI231-ICL3_classA!$F$2:$F$37),0))</f>
        <v>68</v>
      </c>
      <c r="U231" s="1">
        <f t="array" ref="U231">INDEX(ICL3_classA!$H$2:$H$37,MATCH(MIN(ABS(AI231-ICL3_classA!$F$2:$F$37)),ABS(AI231-ICL3_classA!$F$2:$F$37),0))</f>
        <v>24</v>
      </c>
      <c r="V231" s="108">
        <v>64</v>
      </c>
      <c r="W231" s="1">
        <v>24</v>
      </c>
      <c r="X231" s="1">
        <f>VLOOKUP($B231&amp;"__wt",'SegEnds_Xtal_BW#'!$A:$Z,24,FALSE)</f>
        <v>59</v>
      </c>
      <c r="Y231" s="1">
        <f>VLOOKUP($B231&amp;"__wt",'SegEnds_Xtal_BW#'!$A:$Z,25,FALSE)</f>
        <v>50</v>
      </c>
      <c r="Z231" s="1">
        <f>VLOOKUP($B231&amp;"__wt",'SegEnds_Xtal_BW#'!$A:$Z,26,FALSE)</f>
        <v>63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30</v>
      </c>
      <c r="AC231" s="1" t="e">
        <f>VLOOKUP(A231,'SegEnds_NonXtal_Prot#'!A:AL,10,FALSE)-VLOOKUP(A231,'SegEnds_NonXtal_Prot#'!A:AL,7,FALSE)</f>
        <v>#VALUE!</v>
      </c>
      <c r="AD231" s="1">
        <f>VLOOKUP(A231,'SegEnds_NonXtal_Prot#'!A:AL,13,FALSE)-VLOOKUP(A231,'SegEnds_NonXtal_Prot#'!A:AL,10,FALSE)</f>
        <v>20</v>
      </c>
      <c r="AE231" s="1">
        <f>VLOOKUP(A231,'SegEnds_NonXtal_Prot#'!A:AL,16,FALSE)-VLOOKUP(A231,'SegEnds_NonXtal_Prot#'!A:AL,10,FALSE)</f>
        <v>52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25</v>
      </c>
      <c r="AH231" s="1">
        <f>VLOOKUP(A231,'SegEnds_NonXtal_Prot#'!A:AL,28,FALSE)-VLOOKUP(A231,'SegEnds_NonXtal_Prot#'!A:AL,22,FALSE)</f>
        <v>56</v>
      </c>
      <c r="AI231" s="1">
        <f>VLOOKUP(A231,'SegEnds_NonXtal_Prot#'!A:AL,31,FALSE)-VLOOKUP(A231,'SegEnds_NonXtal_Prot#'!A:AL,28,FALSE)</f>
        <v>49</v>
      </c>
      <c r="AJ231" s="1">
        <f>VLOOKUP(A231,'SegEnds_NonXtal_Prot#'!A:AL,34,FALSE)-VLOOKUP(A231,'SegEnds_NonXtal_Prot#'!A:AL,31,FALSE)</f>
        <v>43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Xtal</v>
      </c>
    </row>
    <row r="232" spans="1:38" x14ac:dyDescent="0.2">
      <c r="A232" s="1" t="s">
        <v>1452</v>
      </c>
      <c r="B232" s="1" t="s">
        <v>1452</v>
      </c>
      <c r="C232" s="5">
        <f>VLOOKUP($B232&amp;"__wt",'SegEnds_Xtal_BW#'!$A:$Z,3,FALSE)</f>
        <v>29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67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f>VLOOKUP($B232&amp;"__wt",'SegEnds_Xtal_BW#'!$A:$Z,11,FALSE)</f>
        <v>21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f>VLOOKUP($B232&amp;"__wt",'SegEnds_Xtal_BW#'!$A:$Z,14,FALSE)</f>
        <v>57</v>
      </c>
      <c r="O232" s="87">
        <f>VLOOKUP($B232&amp;"__wt",'SegEnds_Xtal_BW#'!$A:$Z,15,FALSE)</f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31</v>
      </c>
      <c r="T232" s="1">
        <f t="array" ref="T232">INDEX(ICL3_classA!$G$2:$G$37,MATCH(MIN(ABS(AI232-ICL3_classA!$F$2:$F$37)),ABS(AI232-ICL3_classA!$F$2:$F$37),0))</f>
        <v>68</v>
      </c>
      <c r="U232" s="1">
        <f t="array" ref="U232">INDEX(ICL3_classA!$H$2:$H$37,MATCH(MIN(ABS(AI232-ICL3_classA!$F$2:$F$37)),ABS(AI232-ICL3_classA!$F$2:$F$37),0))</f>
        <v>30</v>
      </c>
      <c r="V232" s="1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61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28</v>
      </c>
      <c r="AC232" s="1">
        <f>VLOOKUP(A232,'SegEnds_NonXtal_Prot#'!A:AL,10,FALSE)-VLOOKUP(A232,'SegEnds_NonXtal_Prot#'!A:AL,7,FALSE)</f>
        <v>15</v>
      </c>
      <c r="AD232" s="1">
        <f>VLOOKUP(A232,'SegEnds_NonXtal_Prot#'!A:AL,13,FALSE)-VLOOKUP(A232,'SegEnds_NonXtal_Prot#'!A:AL,10,FALSE)</f>
        <v>19</v>
      </c>
      <c r="AE232" s="1">
        <f>VLOOKUP(A232,'SegEnds_NonXtal_Prot#'!A:AL,16,FALSE)-VLOOKUP(A232,'SegEnds_NonXtal_Prot#'!A:AL,10,FALSE)</f>
        <v>51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25</v>
      </c>
      <c r="AH232" s="1">
        <f>VLOOKUP(A232,'SegEnds_NonXtal_Prot#'!A:AL,28,FALSE)-VLOOKUP(A232,'SegEnds_NonXtal_Prot#'!A:AL,22,FALSE)</f>
        <v>51</v>
      </c>
      <c r="AI232" s="1">
        <f>VLOOKUP(A232,'SegEnds_NonXtal_Prot#'!A:AL,31,FALSE)-VLOOKUP(A232,'SegEnds_NonXtal_Prot#'!A:AL,28,FALSE)</f>
        <v>43</v>
      </c>
      <c r="AJ232" s="1">
        <f>VLOOKUP(A232,'SegEnds_NonXtal_Prot#'!A:AL,34,FALSE)-VLOOKUP(A232,'SegEnds_NonXtal_Prot#'!A:AL,31,FALSE)</f>
        <v>43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Xtal</v>
      </c>
    </row>
    <row r="233" spans="1:38" x14ac:dyDescent="0.2">
      <c r="A233" s="1" t="s">
        <v>143</v>
      </c>
      <c r="B233" s="1" t="str">
        <f>VLOOKUP(A233,Xtal_Templ!A:B,2,FALSE)</f>
        <v>ccr2_human</v>
      </c>
      <c r="C233" s="5">
        <f>VLOOKUP($B233&amp;"__wt",'SegEnds_Xtal_BW#'!$A:$Z,3,FALSE)</f>
        <v>27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08">
        <v>21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7">
        <f>VLOOKUP($B233&amp;"__wt",'SegEnds_Xtal_BW#'!$A:$Z,15,FALSE)</f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31</v>
      </c>
      <c r="T233" s="1">
        <f t="array" ref="T233">INDEX(ICL3_classA!$G$2:$G$37,MATCH(MIN(ABS(AI233-ICL3_classA!$F$2:$F$37)),ABS(AI233-ICL3_classA!$F$2:$F$37),0))</f>
        <v>68</v>
      </c>
      <c r="U233" s="1">
        <f t="array" ref="U233">INDEX(ICL3_classA!$H$2:$H$37,MATCH(MIN(ABS(AI233-ICL3_classA!$F$2:$F$37)),ABS(AI233-ICL3_classA!$F$2:$F$37),0))</f>
        <v>30</v>
      </c>
      <c r="V233" s="1">
        <v>64</v>
      </c>
      <c r="W233" s="1">
        <v>24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58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28</v>
      </c>
      <c r="AC233" s="1">
        <f>VLOOKUP(A233,'SegEnds_NonXtal_Prot#'!A:AL,10,FALSE)-VLOOKUP(A233,'SegEnds_NonXtal_Prot#'!A:AL,7,FALSE)</f>
        <v>15</v>
      </c>
      <c r="AD233" s="1">
        <f>VLOOKUP(A233,'SegEnds_NonXtal_Prot#'!A:AL,13,FALSE)-VLOOKUP(A233,'SegEnds_NonXtal_Prot#'!A:AL,10,FALSE)</f>
        <v>18</v>
      </c>
      <c r="AE233" s="1">
        <f>VLOOKUP(A233,'SegEnds_NonXtal_Prot#'!A:AL,16,FALSE)-VLOOKUP(A233,'SegEnds_NonXtal_Prot#'!A:AL,10,FALSE)</f>
        <v>50</v>
      </c>
      <c r="AF233" s="1">
        <f>VLOOKUP(A233,'SegEnds_NonXtal_Prot#'!A:AL,22,FALSE)-VLOOKUP(A233,'SegEnds_NonXtal_Prot#'!A:AL,19,FALSE)</f>
        <v>20</v>
      </c>
      <c r="AG233" s="1">
        <f>VLOOKUP(A233,'SegEnds_NonXtal_Prot#'!A:AL,28,FALSE)-VLOOKUP(A233,'SegEnds_NonXtal_Prot#'!A:AL,25,FALSE)</f>
        <v>27</v>
      </c>
      <c r="AH233" s="1">
        <f>VLOOKUP(A233,'SegEnds_NonXtal_Prot#'!A:AL,28,FALSE)-VLOOKUP(A233,'SegEnds_NonXtal_Prot#'!A:AL,22,FALSE)</f>
        <v>53</v>
      </c>
      <c r="AI233" s="1">
        <f>VLOOKUP(A233,'SegEnds_NonXtal_Prot#'!A:AL,31,FALSE)-VLOOKUP(A233,'SegEnds_NonXtal_Prot#'!A:AL,28,FALSE)</f>
        <v>43</v>
      </c>
      <c r="AJ233" s="1">
        <f>VLOOKUP(A233,'SegEnds_NonXtal_Prot#'!A:AL,34,FALSE)-VLOOKUP(A233,'SegEnds_NonXtal_Prot#'!A:AL,31,FALSE)</f>
        <v>44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NoXtal</v>
      </c>
    </row>
    <row r="234" spans="1:38" x14ac:dyDescent="0.2">
      <c r="A234" s="1" t="s">
        <v>158</v>
      </c>
      <c r="B234" s="1" t="str">
        <f>VLOOKUP(A234,Xtal_Templ!A:B,2,FALSE)</f>
        <v>agtr1_human</v>
      </c>
      <c r="C234" s="5">
        <f>VLOOKUP($B234&amp;"__wt",'SegEnds_Xtal_BW#'!$A:$Z,3,FALSE)</f>
        <v>28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66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f>VLOOKUP($B234&amp;"__wt",'SegEnds_Xtal_BW#'!$A:$Z,14,FALSE)</f>
        <v>57</v>
      </c>
      <c r="O234" s="87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34</v>
      </c>
      <c r="T234" s="1">
        <f t="array" ref="T234">INDEX(ICL3_classA!$G$2:$G$37,MATCH(MIN(ABS(AI234-ICL3_classA!$F$2:$F$37)),ABS(AI234-ICL3_classA!$F$2:$F$37),0))</f>
        <v>68</v>
      </c>
      <c r="U234" s="1">
        <f t="array" ref="U234">INDEX(ICL3_classA!$H$2:$H$37,MATCH(MIN(ABS(AI234-ICL3_classA!$F$2:$F$37)),ABS(AI234-ICL3_classA!$F$2:$F$37),0))</f>
        <v>24</v>
      </c>
      <c r="V234" s="1">
        <v>64</v>
      </c>
      <c r="W234" s="1">
        <v>24</v>
      </c>
      <c r="X234" s="125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61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>
        <f>VLOOKUP(A234,'SegEnds_NonXtal_Prot#'!A:AL,10,FALSE)-VLOOKUP(A234,'SegEnds_NonXtal_Prot#'!A:AL,7,FALSE)</f>
        <v>15</v>
      </c>
      <c r="AD234" s="1">
        <f>VLOOKUP(A234,'SegEnds_NonXtal_Prot#'!A:AL,13,FALSE)-VLOOKUP(A234,'SegEnds_NonXtal_Prot#'!A:AL,10,FALSE)</f>
        <v>20</v>
      </c>
      <c r="AE234" s="1">
        <f>VLOOKUP(A234,'SegEnds_NonXtal_Prot#'!A:AL,16,FALSE)-VLOOKUP(A234,'SegEnds_NonXtal_Prot#'!A:AL,10,FALSE)</f>
        <v>52</v>
      </c>
      <c r="AF234" s="1">
        <f>VLOOKUP(A234,'SegEnds_NonXtal_Prot#'!A:AL,22,FALSE)-VLOOKUP(A234,'SegEnds_NonXtal_Prot#'!A:AL,19,FALSE)</f>
        <v>20</v>
      </c>
      <c r="AG234" s="1">
        <f>VLOOKUP(A234,'SegEnds_NonXtal_Prot#'!A:AL,28,FALSE)-VLOOKUP(A234,'SegEnds_NonXtal_Prot#'!A:AL,25,FALSE)</f>
        <v>27</v>
      </c>
      <c r="AH234" s="1">
        <f>VLOOKUP(A234,'SegEnds_NonXtal_Prot#'!A:AL,28,FALSE)-VLOOKUP(A234,'SegEnds_NonXtal_Prot#'!A:AL,22,FALSE)</f>
        <v>54</v>
      </c>
      <c r="AI234" s="1">
        <f>VLOOKUP(A234,'SegEnds_NonXtal_Prot#'!A:AL,31,FALSE)-VLOOKUP(A234,'SegEnds_NonXtal_Prot#'!A:AL,28,FALSE)</f>
        <v>48</v>
      </c>
      <c r="AJ234" s="1">
        <f>VLOOKUP(A234,'SegEnds_NonXtal_Prot#'!A:AL,34,FALSE)-VLOOKUP(A234,'SegEnds_NonXtal_Prot#'!A:AL,31,FALSE)</f>
        <v>44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Xtal</v>
      </c>
    </row>
    <row r="235" spans="1:38" x14ac:dyDescent="0.2">
      <c r="A235" s="1" t="s">
        <v>159</v>
      </c>
      <c r="B235" s="1" t="str">
        <f>VLOOKUP(A235,Xtal_Templ!A:B,2,FALSE)</f>
        <v>agtr2_human</v>
      </c>
      <c r="C235" s="5">
        <f>VLOOKUP($B235&amp;"__wt",'SegEnds_Xtal_BW#'!$A:$Z,3,FALSE)</f>
        <v>33</v>
      </c>
      <c r="D235" s="1">
        <f>VLOOKUP($B235&amp;"__wt",'SegEnds_Xtal_BW#'!$A:$Z,4,FALSE)</f>
        <v>60</v>
      </c>
      <c r="E235" s="1" t="str">
        <f>VLOOKUP($B235&amp;"__wt",'SegEnds_Xtal_BW#'!$A:$Z,5,FALSE)</f>
        <v>-</v>
      </c>
      <c r="F235" s="1" t="str">
        <f>VLOOKUP($B235&amp;"__wt",'SegEnds_Xtal_BW#'!$A:$Z,6,FALSE)</f>
        <v>-</v>
      </c>
      <c r="G235" s="108">
        <v>38</v>
      </c>
      <c r="H235" s="12">
        <f>VLOOKUP($B235&amp;"__wt",'SegEnds_Xtal_BW#'!$A:$Z,8,FALSE)</f>
        <v>66</v>
      </c>
      <c r="I235" s="1">
        <f>VLOOKUP($B235&amp;"__wt",'SegEnds_Xtal_BW#'!$A:$Z,9,FALSE)</f>
        <v>47</v>
      </c>
      <c r="J235" s="1">
        <f>VLOOKUP($B235&amp;"__wt",'SegEnds_Xtal_BW#'!$A:$Z,10,FALSE)</f>
        <v>52</v>
      </c>
      <c r="K235" s="12">
        <v>21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f>VLOOKUP($B235&amp;"__wt",'SegEnds_Xtal_BW#'!$A:$Z,14,FALSE)</f>
        <v>56</v>
      </c>
      <c r="O235" s="87">
        <f>VLOOKUP($B235&amp;"__wt",'SegEnds_Xtal_BW#'!$A:$Z,15,FALSE)</f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30</v>
      </c>
      <c r="T235" s="1">
        <f t="array" ref="T235">INDEX(ICL3_classA!$G$2:$G$37,MATCH(MIN(ABS(AI235-ICL3_classA!$F$2:$F$37)),ABS(AI235-ICL3_classA!$F$2:$F$37),0))</f>
        <v>68</v>
      </c>
      <c r="U235" s="1">
        <f t="array" ref="U235">INDEX(ICL3_classA!$H$2:$H$37,MATCH(MIN(ABS(AI235-ICL3_classA!$F$2:$F$37)),ABS(AI235-ICL3_classA!$F$2:$F$37),0))</f>
        <v>24</v>
      </c>
      <c r="V235" s="1">
        <v>64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61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28</v>
      </c>
      <c r="AC235" s="1" t="e">
        <f>VLOOKUP(A235,'SegEnds_NonXtal_Prot#'!A:AL,10,FALSE)-VLOOKUP(A235,'SegEnds_NonXtal_Prot#'!A:AL,7,FALSE)</f>
        <v>#VALUE!</v>
      </c>
      <c r="AD235" s="1">
        <f>VLOOKUP(A235,'SegEnds_NonXtal_Prot#'!A:AL,13,FALSE)-VLOOKUP(A235,'SegEnds_NonXtal_Prot#'!A:AL,10,FALSE)</f>
        <v>20</v>
      </c>
      <c r="AE235" s="1">
        <f>VLOOKUP(A235,'SegEnds_NonXtal_Prot#'!A:AL,16,FALSE)-VLOOKUP(A235,'SegEnds_NonXtal_Prot#'!A:AL,10,FALSE)</f>
        <v>52</v>
      </c>
      <c r="AF235" s="1">
        <f>VLOOKUP(A235,'SegEnds_NonXtal_Prot#'!A:AL,22,FALSE)-VLOOKUP(A235,'SegEnds_NonXtal_Prot#'!A:AL,19,FALSE)</f>
        <v>19</v>
      </c>
      <c r="AG235" s="1">
        <f>VLOOKUP(A235,'SegEnds_NonXtal_Prot#'!A:AL,28,FALSE)-VLOOKUP(A235,'SegEnds_NonXtal_Prot#'!A:AL,25,FALSE)</f>
        <v>28</v>
      </c>
      <c r="AH235" s="1">
        <f>VLOOKUP(A235,'SegEnds_NonXtal_Prot#'!A:AL,28,FALSE)-VLOOKUP(A235,'SegEnds_NonXtal_Prot#'!A:AL,22,FALSE)</f>
        <v>55</v>
      </c>
      <c r="AI235" s="1">
        <f>VLOOKUP(A235,'SegEnds_NonXtal_Prot#'!A:AL,31,FALSE)-VLOOKUP(A235,'SegEnds_NonXtal_Prot#'!A:AL,28,FALSE)</f>
        <v>48</v>
      </c>
      <c r="AJ235" s="1">
        <f>VLOOKUP(A235,'SegEnds_NonXtal_Prot#'!A:AL,34,FALSE)-VLOOKUP(A235,'SegEnds_NonXtal_Prot#'!A:AL,31,FALSE)</f>
        <v>44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Xtal</v>
      </c>
    </row>
    <row r="236" spans="1:38" x14ac:dyDescent="0.2">
      <c r="A236" s="1" t="s">
        <v>161</v>
      </c>
      <c r="B236" s="1" t="str">
        <f>VLOOKUP(A236,Xtal_Templ!A:B,2,FALSE)</f>
        <v>agtr1_human</v>
      </c>
      <c r="C236" s="5">
        <f>VLOOKUP($B236&amp;"__wt",'SegEnds_Xtal_BW#'!$A:$Z,3,FALSE)</f>
        <v>28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66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f>VLOOKUP($B236&amp;"__wt",'SegEnds_Xtal_BW#'!$A:$Z,14,FALSE)</f>
        <v>57</v>
      </c>
      <c r="O236" s="87"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34</v>
      </c>
      <c r="T236" s="1">
        <f t="array" ref="T236">INDEX(ICL3_classA!$G$2:$G$37,MATCH(MIN(ABS(AI236-ICL3_classA!$F$2:$F$37)),ABS(AI236-ICL3_classA!$F$2:$F$37),0))</f>
        <v>68</v>
      </c>
      <c r="U236" s="1">
        <f t="array" ref="U236">INDEX(ICL3_classA!$H$2:$H$37,MATCH(MIN(ABS(AI236-ICL3_classA!$F$2:$F$37)),ABS(AI236-ICL3_classA!$F$2:$F$37),0))</f>
        <v>23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61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28</v>
      </c>
      <c r="AC236" s="1">
        <f>VLOOKUP(A236,'SegEnds_NonXtal_Prot#'!A:AL,10,FALSE)-VLOOKUP(A236,'SegEnds_NonXtal_Prot#'!A:AL,7,FALSE)</f>
        <v>15</v>
      </c>
      <c r="AD236" s="1">
        <f>VLOOKUP(A236,'SegEnds_NonXtal_Prot#'!A:AL,13,FALSE)-VLOOKUP(A236,'SegEnds_NonXtal_Prot#'!A:AL,10,FALSE)</f>
        <v>20</v>
      </c>
      <c r="AE236" s="1">
        <f>VLOOKUP(A236,'SegEnds_NonXtal_Prot#'!A:AL,16,FALSE)-VLOOKUP(A236,'SegEnds_NonXtal_Prot#'!A:AL,10,FALSE)</f>
        <v>52</v>
      </c>
      <c r="AF236" s="1">
        <f>VLOOKUP(A236,'SegEnds_NonXtal_Prot#'!A:AL,22,FALSE)-VLOOKUP(A236,'SegEnds_NonXtal_Prot#'!A:AL,19,FALSE)</f>
        <v>20</v>
      </c>
      <c r="AG236" s="1">
        <f>VLOOKUP(A236,'SegEnds_NonXtal_Prot#'!A:AL,28,FALSE)-VLOOKUP(A236,'SegEnds_NonXtal_Prot#'!A:AL,25,FALSE)</f>
        <v>25</v>
      </c>
      <c r="AH236" s="1">
        <f>VLOOKUP(A236,'SegEnds_NonXtal_Prot#'!A:AL,28,FALSE)-VLOOKUP(A236,'SegEnds_NonXtal_Prot#'!A:AL,22,FALSE)</f>
        <v>52</v>
      </c>
      <c r="AI236" s="1">
        <f>VLOOKUP(A236,'SegEnds_NonXtal_Prot#'!A:AL,31,FALSE)-VLOOKUP(A236,'SegEnds_NonXtal_Prot#'!A:AL,28,FALSE)</f>
        <v>51</v>
      </c>
      <c r="AJ236" s="1">
        <f>VLOOKUP(A236,'SegEnds_NonXtal_Prot#'!A:AL,34,FALSE)-VLOOKUP(A236,'SegEnds_NonXtal_Prot#'!A:AL,31,FALSE)</f>
        <v>44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162</v>
      </c>
      <c r="B237" s="1" t="str">
        <f>VLOOKUP(A237,Xtal_Templ!A:B,2,FALSE)</f>
        <v>agtr2_human</v>
      </c>
      <c r="C237" s="5">
        <f>VLOOKUP($B237&amp;"__wt",'SegEnds_Xtal_BW#'!$A:$Z,3,FALSE)</f>
        <v>33</v>
      </c>
      <c r="D237" s="1">
        <f>VLOOKUP($B237&amp;"__wt",'SegEnds_Xtal_BW#'!$A:$Z,4,FALSE)</f>
        <v>60</v>
      </c>
      <c r="E237" s="1" t="str">
        <f>VLOOKUP($B237&amp;"__wt",'SegEnds_Xtal_BW#'!$A:$Z,5,FALSE)</f>
        <v>-</v>
      </c>
      <c r="F237" s="1" t="str">
        <f>VLOOKUP($B237&amp;"__wt",'SegEnds_Xtal_BW#'!$A:$Z,6,FALSE)</f>
        <v>-</v>
      </c>
      <c r="G237" s="1">
        <v>37</v>
      </c>
      <c r="H237" s="12">
        <f>VLOOKUP($B237&amp;"__wt",'SegEnds_Xtal_BW#'!$A:$Z,8,FALSE)</f>
        <v>66</v>
      </c>
      <c r="I237" s="1">
        <f>VLOOKUP($B237&amp;"__wt",'SegEnds_Xtal_BW#'!$A:$Z,9,FALSE)</f>
        <v>47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08">
        <v>57</v>
      </c>
      <c r="O237" s="87">
        <f>VLOOKUP($B237&amp;"__wt",'SegEnds_Xtal_BW#'!$A:$Z,15,FALSE)</f>
        <v>38</v>
      </c>
      <c r="P237" s="1">
        <f>VLOOKUP($B237&amp;"__wt",'SegEnds_Xtal_BW#'!$A:$Z,16,FALSE)</f>
        <v>64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30</v>
      </c>
      <c r="T237" s="1">
        <f t="array" ref="T237">INDEX(ICL3_classA!$G$2:$G$37,MATCH(MIN(ABS(AI237-ICL3_classA!$F$2:$F$37)),ABS(AI237-ICL3_classA!$F$2:$F$37),0))</f>
        <v>68</v>
      </c>
      <c r="U237" s="1">
        <f t="array" ref="U237">INDEX(ICL3_classA!$H$2:$H$37,MATCH(MIN(ABS(AI237-ICL3_classA!$F$2:$F$37)),ABS(AI237-ICL3_classA!$F$2:$F$37),0))</f>
        <v>24</v>
      </c>
      <c r="V237" s="1">
        <v>64</v>
      </c>
      <c r="W237" s="1">
        <v>24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61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28</v>
      </c>
      <c r="AC237" s="1">
        <f>VLOOKUP(A237,'SegEnds_NonXtal_Prot#'!A:AL,10,FALSE)-VLOOKUP(A237,'SegEnds_NonXtal_Prot#'!A:AL,7,FALSE)</f>
        <v>15</v>
      </c>
      <c r="AD237" s="1">
        <f>VLOOKUP(A237,'SegEnds_NonXtal_Prot#'!A:AL,13,FALSE)-VLOOKUP(A237,'SegEnds_NonXtal_Prot#'!A:AL,10,FALSE)</f>
        <v>20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25</v>
      </c>
      <c r="AH237" s="1">
        <f>VLOOKUP(A237,'SegEnds_NonXtal_Prot#'!A:AL,28,FALSE)-VLOOKUP(A237,'SegEnds_NonXtal_Prot#'!A:AL,22,FALSE)</f>
        <v>54</v>
      </c>
      <c r="AI237" s="1">
        <f>VLOOKUP(A237,'SegEnds_NonXtal_Prot#'!A:AL,31,FALSE)-VLOOKUP(A237,'SegEnds_NonXtal_Prot#'!A:AL,28,FALSE)</f>
        <v>49</v>
      </c>
      <c r="AJ237" s="1">
        <f>VLOOKUP(A237,'SegEnds_NonXtal_Prot#'!A:AL,34,FALSE)-VLOOKUP(A237,'SegEnds_NonXtal_Prot#'!A:AL,31,FALSE)</f>
        <v>44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1" t="s">
        <v>168</v>
      </c>
      <c r="B238" s="1" t="str">
        <f>VLOOKUP(A238,Xtal_Templ!A:B,2,FALSE)</f>
        <v>ccr5_human</v>
      </c>
      <c r="C238" s="5">
        <f>VLOOKUP($B238&amp;"__wt",'SegEnds_Xtal_BW#'!$A:$Z,3,FALSE)</f>
        <v>24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v>66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21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f>VLOOKUP($B238&amp;"__wt",'SegEnds_Xtal_BW#'!$A:$Z,14,FALSE)</f>
        <v>57</v>
      </c>
      <c r="O238" s="87">
        <f>VLOOKUP($B238&amp;"__wt",'SegEnds_Xtal_BW#'!$A:$Z,15,FALSE)</f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f>VLOOKUP($B238&amp;"__wt",'SegEnds_Xtal_BW#'!$A:$Z,19,FALSE)</f>
        <v>30</v>
      </c>
      <c r="T238" s="1">
        <f t="array" ref="T238">INDEX(ICL3_classA!$G$2:$G$37,MATCH(MIN(ABS(AI238-ICL3_classA!$F$2:$F$37)),ABS(AI238-ICL3_classA!$F$2:$F$37),0))</f>
        <v>68</v>
      </c>
      <c r="U238" s="1">
        <f t="array" ref="U238">INDEX(ICL3_classA!$H$2:$H$37,MATCH(MIN(ABS(AI238-ICL3_classA!$F$2:$F$37)),ABS(AI238-ICL3_classA!$F$2:$F$37),0))</f>
        <v>30</v>
      </c>
      <c r="V238" s="1">
        <v>65</v>
      </c>
      <c r="W238" s="1">
        <v>24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59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28</v>
      </c>
      <c r="AC238" s="1">
        <f>VLOOKUP(A238,'SegEnds_NonXtal_Prot#'!A:AL,10,FALSE)-VLOOKUP(A238,'SegEnds_NonXtal_Prot#'!A:AL,7,FALSE)</f>
        <v>15</v>
      </c>
      <c r="AD238" s="1">
        <f>VLOOKUP(A238,'SegEnds_NonXtal_Prot#'!A:AL,13,FALSE)-VLOOKUP(A238,'SegEnds_NonXtal_Prot#'!A:AL,10,FALSE)</f>
        <v>19</v>
      </c>
      <c r="AE238" s="1">
        <f>VLOOKUP(A238,'SegEnds_NonXtal_Prot#'!A:AL,16,FALSE)-VLOOKUP(A238,'SegEnds_NonXtal_Prot#'!A:AL,10,FALSE)</f>
        <v>51</v>
      </c>
      <c r="AF238" s="1">
        <f>VLOOKUP(A238,'SegEnds_NonXtal_Prot#'!A:AL,22,FALSE)-VLOOKUP(A238,'SegEnds_NonXtal_Prot#'!A:AL,19,FALSE)</f>
        <v>20</v>
      </c>
      <c r="AG238" s="1">
        <f>VLOOKUP(A238,'SegEnds_NonXtal_Prot#'!A:AL,28,FALSE)-VLOOKUP(A238,'SegEnds_NonXtal_Prot#'!A:AL,25,FALSE)</f>
        <v>28</v>
      </c>
      <c r="AH238" s="1">
        <f>VLOOKUP(A238,'SegEnds_NonXtal_Prot#'!A:AL,28,FALSE)-VLOOKUP(A238,'SegEnds_NonXtal_Prot#'!A:AL,22,FALSE)</f>
        <v>53</v>
      </c>
      <c r="AI238" s="1">
        <f>VLOOKUP(A238,'SegEnds_NonXtal_Prot#'!A:AL,31,FALSE)-VLOOKUP(A238,'SegEnds_NonXtal_Prot#'!A:AL,28,FALSE)</f>
        <v>43</v>
      </c>
      <c r="AJ238" s="1">
        <f>VLOOKUP(A238,'SegEnds_NonXtal_Prot#'!A:AL,34,FALSE)-VLOOKUP(A238,'SegEnds_NonXtal_Prot#'!A:AL,31,FALSE)</f>
        <v>44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170</v>
      </c>
      <c r="B239" s="1" t="str">
        <f>VLOOKUP(A239,Xtal_Templ!A:B,2,FALSE)</f>
        <v>ccr2_human</v>
      </c>
      <c r="C239" s="5">
        <f>VLOOKUP($B239&amp;"__wt",'SegEnds_Xtal_BW#'!$A:$Z,3,FALSE)</f>
        <v>27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24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f>VLOOKUP($B239&amp;"__wt",'SegEnds_Xtal_BW#'!$A:$Z,14,FALSE)</f>
        <v>57</v>
      </c>
      <c r="O239" s="87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31</v>
      </c>
      <c r="T239" s="1">
        <f t="array" ref="T239">INDEX(ICL3_classA!$G$2:$G$37,MATCH(MIN(ABS(AI239-ICL3_classA!$F$2:$F$37)),ABS(AI239-ICL3_classA!$F$2:$F$37),0))</f>
        <v>68</v>
      </c>
      <c r="U239" s="1">
        <f t="array" ref="U239">INDEX(ICL3_classA!$H$2:$H$37,MATCH(MIN(ABS(AI239-ICL3_classA!$F$2:$F$37)),ABS(AI239-ICL3_classA!$F$2:$F$37),0))</f>
        <v>28</v>
      </c>
      <c r="V239" s="1">
        <v>65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58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">
        <f>VLOOKUP(A239,'SegEnds_NonXtal_Prot#'!A:AL,10,FALSE)-VLOOKUP(A239,'SegEnds_NonXtal_Prot#'!A:AL,7,FALSE)</f>
        <v>15</v>
      </c>
      <c r="AD239" s="1">
        <f>VLOOKUP(A239,'SegEnds_NonXtal_Prot#'!A:AL,13,FALSE)-VLOOKUP(A239,'SegEnds_NonXtal_Prot#'!A:AL,10,FALSE)</f>
        <v>18</v>
      </c>
      <c r="AE239" s="1">
        <f>VLOOKUP(A239,'SegEnds_NonXtal_Prot#'!A:AL,16,FALSE)-VLOOKUP(A239,'SegEnds_NonXtal_Prot#'!A:AL,10,FALSE)</f>
        <v>50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24</v>
      </c>
      <c r="AH239" s="1">
        <f>VLOOKUP(A239,'SegEnds_NonXtal_Prot#'!A:AL,28,FALSE)-VLOOKUP(A239,'SegEnds_NonXtal_Prot#'!A:AL,22,FALSE)</f>
        <v>49</v>
      </c>
      <c r="AI239" s="1">
        <f>VLOOKUP(A239,'SegEnds_NonXtal_Prot#'!A:AL,31,FALSE)-VLOOKUP(A239,'SegEnds_NonXtal_Prot#'!A:AL,28,FALSE)</f>
        <v>44</v>
      </c>
      <c r="AJ239" s="1">
        <f>VLOOKUP(A239,'SegEnds_NonXtal_Prot#'!A:AL,34,FALSE)-VLOOKUP(A239,'SegEnds_NonXtal_Prot#'!A:AL,31,FALSE)</f>
        <v>44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Xtal</v>
      </c>
    </row>
    <row r="240" spans="1:38" x14ac:dyDescent="0.2">
      <c r="A240" s="1" t="s">
        <v>171</v>
      </c>
      <c r="B240" s="1" t="str">
        <f>VLOOKUP(A240,Xtal_Templ!A:B,2,FALSE)</f>
        <v>ccr5_human</v>
      </c>
      <c r="C240" s="5">
        <f>VLOOKUP($B240&amp;"__wt",'SegEnds_Xtal_BW#'!$A:$Z,3,FALSE)</f>
        <v>24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21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f>VLOOKUP($B240&amp;"__wt",'SegEnds_Xtal_BW#'!$A:$Z,14,FALSE)</f>
        <v>57</v>
      </c>
      <c r="O240" s="87">
        <f>VLOOKUP($B240&amp;"__wt",'SegEnds_Xtal_BW#'!$A:$Z,15,FALSE)</f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30</v>
      </c>
      <c r="T240" s="1">
        <f t="array" ref="T240">INDEX(ICL3_classA!$G$2:$G$37,MATCH(MIN(ABS(AI240-ICL3_classA!$F$2:$F$37)),ABS(AI240-ICL3_classA!$F$2:$F$37),0))</f>
        <v>68</v>
      </c>
      <c r="U240" s="1">
        <f t="array" ref="U240">INDEX(ICL3_classA!$H$2:$H$37,MATCH(MIN(ABS(AI240-ICL3_classA!$F$2:$F$37)),ABS(AI240-ICL3_classA!$F$2:$F$37),0))</f>
        <v>30</v>
      </c>
      <c r="V240" s="1">
        <v>65</v>
      </c>
      <c r="W240" s="1">
        <v>24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19</v>
      </c>
      <c r="AE240" s="1">
        <f>VLOOKUP(A240,'SegEnds_NonXtal_Prot#'!A:AL,16,FALSE)-VLOOKUP(A240,'SegEnds_NonXtal_Prot#'!A:AL,10,FALSE)</f>
        <v>51</v>
      </c>
      <c r="AF240" s="1">
        <f>VLOOKUP(A240,'SegEnds_NonXtal_Prot#'!A:AL,22,FALSE)-VLOOKUP(A240,'SegEnds_NonXtal_Prot#'!A:AL,19,FALSE)</f>
        <v>20</v>
      </c>
      <c r="AG240" s="1">
        <f>VLOOKUP(A240,'SegEnds_NonXtal_Prot#'!A:AL,28,FALSE)-VLOOKUP(A240,'SegEnds_NonXtal_Prot#'!A:AL,25,FALSE)</f>
        <v>28</v>
      </c>
      <c r="AH240" s="1">
        <f>VLOOKUP(A240,'SegEnds_NonXtal_Prot#'!A:AL,28,FALSE)-VLOOKUP(A240,'SegEnds_NonXtal_Prot#'!A:AL,22,FALSE)</f>
        <v>53</v>
      </c>
      <c r="AI240" s="1">
        <f>VLOOKUP(A240,'SegEnds_NonXtal_Prot#'!A:AL,31,FALSE)-VLOOKUP(A240,'SegEnds_NonXtal_Prot#'!A:AL,28,FALSE)</f>
        <v>43</v>
      </c>
      <c r="AJ240" s="1">
        <f>VLOOKUP(A240,'SegEnds_NonXtal_Prot#'!A:AL,34,FALSE)-VLOOKUP(A240,'SegEnds_NonXtal_Prot#'!A:AL,31,FALSE)</f>
        <v>44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NoXtal</v>
      </c>
    </row>
    <row r="241" spans="1:38" x14ac:dyDescent="0.2">
      <c r="A241" s="1" t="s">
        <v>172</v>
      </c>
      <c r="B241" s="1" t="str">
        <f>VLOOKUP(A241,Xtal_Templ!A:B,2,FALSE)</f>
        <v>ccr5_human</v>
      </c>
      <c r="C241" s="5">
        <f>VLOOKUP($B241&amp;"__wt",'SegEnds_Xtal_BW#'!$A:$Z,3,FALSE)</f>
        <v>24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24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f>VLOOKUP($B241&amp;"__wt",'SegEnds_Xtal_BW#'!$A:$Z,14,FALSE)</f>
        <v>57</v>
      </c>
      <c r="O241" s="87"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30</v>
      </c>
      <c r="T241" s="1">
        <f t="array" ref="T241">INDEX(ICL3_classA!$G$2:$G$37,MATCH(MIN(ABS(AI241-ICL3_classA!$F$2:$F$37)),ABS(AI241-ICL3_classA!$F$2:$F$37),0))</f>
        <v>68</v>
      </c>
      <c r="U241" s="1">
        <f t="array" ref="U241">INDEX(ICL3_classA!$H$2:$H$37,MATCH(MIN(ABS(AI241-ICL3_classA!$F$2:$F$37)),ABS(AI241-ICL3_classA!$F$2:$F$37),0))</f>
        <v>30</v>
      </c>
      <c r="V241" s="1">
        <v>65</v>
      </c>
      <c r="W241" s="1">
        <v>24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59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>
        <f>VLOOKUP(A241,'SegEnds_NonXtal_Prot#'!A:AL,13,FALSE)-VLOOKUP(A241,'SegEnds_NonXtal_Prot#'!A:AL,10,FALSE)</f>
        <v>18</v>
      </c>
      <c r="AE241" s="1">
        <f>VLOOKUP(A241,'SegEnds_NonXtal_Prot#'!A:AL,16,FALSE)-VLOOKUP(A241,'SegEnds_NonXtal_Prot#'!A:AL,10,FALSE)</f>
        <v>50</v>
      </c>
      <c r="AF241" s="1">
        <f>VLOOKUP(A241,'SegEnds_NonXtal_Prot#'!A:AL,22,FALSE)-VLOOKUP(A241,'SegEnds_NonXtal_Prot#'!A:AL,19,FALSE)</f>
        <v>20</v>
      </c>
      <c r="AG241" s="1">
        <f>VLOOKUP(A241,'SegEnds_NonXtal_Prot#'!A:AL,28,FALSE)-VLOOKUP(A241,'SegEnds_NonXtal_Prot#'!A:AL,25,FALSE)</f>
        <v>27</v>
      </c>
      <c r="AH241" s="1">
        <f>VLOOKUP(A241,'SegEnds_NonXtal_Prot#'!A:AL,28,FALSE)-VLOOKUP(A241,'SegEnds_NonXtal_Prot#'!A:AL,22,FALSE)</f>
        <v>52</v>
      </c>
      <c r="AI241" s="1">
        <f>VLOOKUP(A241,'SegEnds_NonXtal_Prot#'!A:AL,31,FALSE)-VLOOKUP(A241,'SegEnds_NonXtal_Prot#'!A:AL,28,FALSE)</f>
        <v>43</v>
      </c>
      <c r="AJ241" s="1">
        <f>VLOOKUP(A241,'SegEnds_NonXtal_Prot#'!A:AL,34,FALSE)-VLOOKUP(A241,'SegEnds_NonXtal_Prot#'!A:AL,31,FALSE)</f>
        <v>44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1" t="s">
        <v>173</v>
      </c>
      <c r="B242" s="1" t="str">
        <f>VLOOKUP(A242,Xtal_Templ!A:B,2,FALSE)</f>
        <v>ccr5_human</v>
      </c>
      <c r="C242" s="5">
        <f>VLOOKUP($B242&amp;"__wt",'SegEnds_Xtal_BW#'!$A:$Z,3,FALSE)</f>
        <v>24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v>66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24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f>VLOOKUP($B242&amp;"__wt",'SegEnds_Xtal_BW#'!$A:$Z,14,FALSE)</f>
        <v>57</v>
      </c>
      <c r="O242" s="87">
        <f>VLOOKUP($B242&amp;"__wt",'SegEnds_Xtal_BW#'!$A:$Z,15,FALSE)</f>
        <v>38</v>
      </c>
      <c r="P242" s="1">
        <f>VLOOKUP($B242&amp;"__wt",'SegEnds_Xtal_BW#'!$A:$Z,16,FALSE)</f>
        <v>64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30</v>
      </c>
      <c r="T242" s="1">
        <f t="array" ref="T242">INDEX(ICL3_classA!$G$2:$G$37,MATCH(MIN(ABS(AI242-ICL3_classA!$F$2:$F$37)),ABS(AI242-ICL3_classA!$F$2:$F$37),0))</f>
        <v>68</v>
      </c>
      <c r="U242" s="1">
        <f t="array" ref="U242">INDEX(ICL3_classA!$H$2:$H$37,MATCH(MIN(ABS(AI242-ICL3_classA!$F$2:$F$37)),ABS(AI242-ICL3_classA!$F$2:$F$37),0))</f>
        <v>28</v>
      </c>
      <c r="V242" s="1">
        <v>65</v>
      </c>
      <c r="W242" s="1">
        <v>24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59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28</v>
      </c>
      <c r="AC242" s="1">
        <f>VLOOKUP(A242,'SegEnds_NonXtal_Prot#'!A:AL,10,FALSE)-VLOOKUP(A242,'SegEnds_NonXtal_Prot#'!A:AL,7,FALSE)</f>
        <v>15</v>
      </c>
      <c r="AD242" s="1">
        <f>VLOOKUP(A242,'SegEnds_NonXtal_Prot#'!A:AL,13,FALSE)-VLOOKUP(A242,'SegEnds_NonXtal_Prot#'!A:AL,10,FALSE)</f>
        <v>18</v>
      </c>
      <c r="AE242" s="1">
        <f>VLOOKUP(A242,'SegEnds_NonXtal_Prot#'!A:AL,16,FALSE)-VLOOKUP(A242,'SegEnds_NonXtal_Prot#'!A:AL,10,FALSE)</f>
        <v>50</v>
      </c>
      <c r="AF242" s="1">
        <f>VLOOKUP(A242,'SegEnds_NonXtal_Prot#'!A:AL,22,FALSE)-VLOOKUP(A242,'SegEnds_NonXtal_Prot#'!A:AL,19,FALSE)</f>
        <v>20</v>
      </c>
      <c r="AG242" s="1">
        <f>VLOOKUP(A242,'SegEnds_NonXtal_Prot#'!A:AL,28,FALSE)-VLOOKUP(A242,'SegEnds_NonXtal_Prot#'!A:AL,25,FALSE)</f>
        <v>28</v>
      </c>
      <c r="AH242" s="1">
        <f>VLOOKUP(A242,'SegEnds_NonXtal_Prot#'!A:AL,28,FALSE)-VLOOKUP(A242,'SegEnds_NonXtal_Prot#'!A:AL,22,FALSE)</f>
        <v>53</v>
      </c>
      <c r="AI242" s="1">
        <f>VLOOKUP(A242,'SegEnds_NonXtal_Prot#'!A:AL,31,FALSE)-VLOOKUP(A242,'SegEnds_NonXtal_Prot#'!A:AL,28,FALSE)</f>
        <v>44</v>
      </c>
      <c r="AJ242" s="1">
        <f>VLOOKUP(A242,'SegEnds_NonXtal_Prot#'!A:AL,34,FALSE)-VLOOKUP(A242,'SegEnds_NonXtal_Prot#'!A:AL,31,FALSE)</f>
        <v>44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Xtal</v>
      </c>
    </row>
    <row r="243" spans="1:38" x14ac:dyDescent="0.2">
      <c r="A243" s="12" t="s">
        <v>174</v>
      </c>
      <c r="B243" s="12" t="str">
        <f>VLOOKUP(A243,Xtal_Templ!A:B,2,FALSE)</f>
        <v>ccr9_human</v>
      </c>
      <c r="C243" s="13">
        <f>VLOOKUP($B243&amp;"__wt",'SegEnds_Xtal_BW#'!$A:$Z,3,FALSE)</f>
        <v>27</v>
      </c>
      <c r="D243" s="12">
        <f>VLOOKUP($B243&amp;"__wt",'SegEnds_Xtal_BW#'!$A:$Z,4,FALSE)</f>
        <v>60</v>
      </c>
      <c r="E243" s="12">
        <f>VLOOKUP($B243&amp;"__wt",'SegEnds_Xtal_BW#'!$A:$Z,5,FALSE)</f>
        <v>48</v>
      </c>
      <c r="F243" s="12">
        <f>VLOOKUP($B243&amp;"__wt",'SegEnds_Xtal_BW#'!$A:$Z,6,FALSE)</f>
        <v>51</v>
      </c>
      <c r="G243" s="12">
        <v>37</v>
      </c>
      <c r="H243" s="12">
        <v>66</v>
      </c>
      <c r="I243" s="12">
        <f>VLOOKUP($B243&amp;"__wt",'SegEnds_Xtal_BW#'!$A:$Z,9,FALSE)</f>
        <v>49</v>
      </c>
      <c r="J243" s="12">
        <f>VLOOKUP($B243&amp;"__wt",'SegEnds_Xtal_BW#'!$A:$Z,10,FALSE)</f>
        <v>52</v>
      </c>
      <c r="K243" s="12">
        <v>21</v>
      </c>
      <c r="L243" s="12">
        <f>VLOOKUP($B243&amp;"__wt",'SegEnds_Xtal_BW#'!$A:$Z,12,FALSE)</f>
        <v>56</v>
      </c>
      <c r="M243" s="12">
        <f>VLOOKUP($B243&amp;"__wt",'SegEnds_Xtal_BW#'!$A:$Z,13,FALSE)</f>
        <v>50</v>
      </c>
      <c r="N243" s="12">
        <v>58</v>
      </c>
      <c r="O243" s="87">
        <v>38</v>
      </c>
      <c r="P243" s="12">
        <f>VLOOKUP($B243&amp;"__wt",'SegEnds_Xtal_BW#'!$A:$Z,16,FALSE)</f>
        <v>64</v>
      </c>
      <c r="Q243" s="12">
        <f>VLOOKUP($B243&amp;"__wt",'SegEnds_Xtal_BW#'!$A:$Z,17,FALSE)</f>
        <v>50</v>
      </c>
      <c r="R243" s="12">
        <f>VLOOKUP($B243&amp;"__wt",'SegEnds_Xtal_BW#'!$A:$Z,18,FALSE)</f>
        <v>52</v>
      </c>
      <c r="S243" s="12">
        <f>VLOOKUP($B243&amp;"__wt",'SegEnds_Xtal_BW#'!$A:$Z,19,FALSE)</f>
        <v>33</v>
      </c>
      <c r="T243" s="12">
        <f t="array" ref="T243">INDEX(ICL3_classA!$G$2:$G$37,MATCH(MIN(ABS(AI243-ICL3_classA!$F$2:$F$37)),ABS(AI243-ICL3_classA!$F$2:$F$37),0))</f>
        <v>68</v>
      </c>
      <c r="U243" s="12">
        <f t="array" ref="U243">INDEX(ICL3_classA!$H$2:$H$37,MATCH(MIN(ABS(AI243-ICL3_classA!$F$2:$F$37)),ABS(AI243-ICL3_classA!$F$2:$F$37),0))</f>
        <v>30</v>
      </c>
      <c r="V243" s="12">
        <v>65</v>
      </c>
      <c r="W243" s="12">
        <v>24</v>
      </c>
      <c r="X243" s="12">
        <f>VLOOKUP($B243&amp;"__wt",'SegEnds_Xtal_BW#'!$A:$Z,24,FALSE)</f>
        <v>56</v>
      </c>
      <c r="Y243" s="12">
        <f>VLOOKUP($B243&amp;"__wt",'SegEnds_Xtal_BW#'!$A:$Z,25,FALSE)</f>
        <v>47</v>
      </c>
      <c r="Z243" s="12">
        <f>VLOOKUP($B243&amp;"__wt",'SegEnds_Xtal_BW#'!$A:$Z,26,FALSE)</f>
        <v>67</v>
      </c>
      <c r="AA243" s="36" t="str">
        <f>VLOOKUP(A243,Classification!A:B,2,FALSE)</f>
        <v>A</v>
      </c>
      <c r="AB243" s="1">
        <f>VLOOKUP(A243,'SegEnds_NonXtal_Prot#'!A:AL,10,FALSE)-VLOOKUP(A243,'SegEnds_NonXtal_Prot#'!A:AL,4,FALSE)</f>
        <v>28</v>
      </c>
      <c r="AC243" s="12">
        <f>VLOOKUP(A243,'SegEnds_NonXtal_Prot#'!A:AL,10,FALSE)-VLOOKUP(A243,'SegEnds_NonXtal_Prot#'!A:AL,7,FALSE)</f>
        <v>15</v>
      </c>
      <c r="AD243" s="12">
        <f>VLOOKUP(A243,'SegEnds_NonXtal_Prot#'!A:AL,13,FALSE)-VLOOKUP(A243,'SegEnds_NonXtal_Prot#'!A:AL,10,FALSE)</f>
        <v>19</v>
      </c>
      <c r="AE243" s="12">
        <f>VLOOKUP(A243,'SegEnds_NonXtal_Prot#'!A:AL,16,FALSE)-VLOOKUP(A243,'SegEnds_NonXtal_Prot#'!A:AL,10,FALSE)</f>
        <v>51</v>
      </c>
      <c r="AF243" s="1">
        <f>VLOOKUP(A243,'SegEnds_NonXtal_Prot#'!A:AL,22,FALSE)-VLOOKUP(A243,'SegEnds_NonXtal_Prot#'!A:AL,19,FALSE)</f>
        <v>22</v>
      </c>
      <c r="AG243" s="12">
        <f>VLOOKUP(A243,'SegEnds_NonXtal_Prot#'!A:AL,28,FALSE)-VLOOKUP(A243,'SegEnds_NonXtal_Prot#'!A:AL,25,FALSE)</f>
        <v>29</v>
      </c>
      <c r="AH243" s="1">
        <f>VLOOKUP(A243,'SegEnds_NonXtal_Prot#'!A:AL,28,FALSE)-VLOOKUP(A243,'SegEnds_NonXtal_Prot#'!A:AL,22,FALSE)</f>
        <v>54</v>
      </c>
      <c r="AI243" s="12">
        <f>VLOOKUP(A243,'SegEnds_NonXtal_Prot#'!A:AL,31,FALSE)-VLOOKUP(A243,'SegEnds_NonXtal_Prot#'!A:AL,28,FALSE)</f>
        <v>43</v>
      </c>
      <c r="AJ243" s="12">
        <f>VLOOKUP(A243,'SegEnds_NonXtal_Prot#'!A:AL,34,FALSE)-VLOOKUP(A243,'SegEnds_NonXtal_Prot#'!A:AL,31,FALSE)</f>
        <v>44</v>
      </c>
      <c r="AK243" s="1">
        <f>VLOOKUP(A243,'SegEnds_NonXtal_Prot#'!A:AL,37,FALSE)-VLOOKUP(A243,'SegEnds_NonXtal_Prot#'!A:AL,34,FALSE)</f>
        <v>10</v>
      </c>
      <c r="AL243" s="12" t="str">
        <f>IF(ISERROR(MATCH(A243,'SegEnds_Xtal_Prot#'!B:B, 0)), "NoXtal", "Xtal")</f>
        <v>NoXtal</v>
      </c>
    </row>
    <row r="244" spans="1:38" x14ac:dyDescent="0.2">
      <c r="A244" s="1" t="s">
        <v>176</v>
      </c>
      <c r="B244" s="1" t="str">
        <f>VLOOKUP(A244,Xtal_Templ!A:B,2,FALSE)</f>
        <v>ccr5_human</v>
      </c>
      <c r="C244" s="5">
        <f>VLOOKUP($B244&amp;"__wt",'SegEnds_Xtal_BW#'!$A:$Z,3,FALSE)</f>
        <v>24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v>66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24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87"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30</v>
      </c>
      <c r="T244" s="1">
        <f t="array" ref="T244">INDEX(ICL3_classA!$G$2:$G$37,MATCH(MIN(ABS(AI244-ICL3_classA!$F$2:$F$37)),ABS(AI244-ICL3_classA!$F$2:$F$37),0))</f>
        <v>68</v>
      </c>
      <c r="U244" s="1">
        <f t="array" ref="U244">INDEX(ICL3_classA!$H$2:$H$37,MATCH(MIN(ABS(AI244-ICL3_classA!$F$2:$F$37)),ABS(AI244-ICL3_classA!$F$2:$F$37),0))</f>
        <v>30</v>
      </c>
      <c r="V244" s="1">
        <v>65</v>
      </c>
      <c r="W244" s="1">
        <v>24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>
        <f>VLOOKUP(A244,'SegEnds_NonXtal_Prot#'!A:AL,10,FALSE)-VLOOKUP(A244,'SegEnds_NonXtal_Prot#'!A:AL,7,FALSE)</f>
        <v>15</v>
      </c>
      <c r="AD244" s="1">
        <f>VLOOKUP(A244,'SegEnds_NonXtal_Prot#'!A:AL,13,FALSE)-VLOOKUP(A244,'SegEnds_NonXtal_Prot#'!A:AL,10,FALSE)</f>
        <v>18</v>
      </c>
      <c r="AE244" s="1">
        <f>VLOOKUP(A244,'SegEnds_NonXtal_Prot#'!A:AL,16,FALSE)-VLOOKUP(A244,'SegEnds_NonXtal_Prot#'!A:AL,10,FALSE)</f>
        <v>50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27</v>
      </c>
      <c r="AH244" s="1">
        <f>VLOOKUP(A244,'SegEnds_NonXtal_Prot#'!A:AL,28,FALSE)-VLOOKUP(A244,'SegEnds_NonXtal_Prot#'!A:AL,22,FALSE)</f>
        <v>52</v>
      </c>
      <c r="AI244" s="1">
        <f>VLOOKUP(A244,'SegEnds_NonXtal_Prot#'!A:AL,31,FALSE)-VLOOKUP(A244,'SegEnds_NonXtal_Prot#'!A:AL,28,FALSE)</f>
        <v>43</v>
      </c>
      <c r="AJ244" s="1">
        <f>VLOOKUP(A244,'SegEnds_NonXtal_Prot#'!A:AL,34,FALSE)-VLOOKUP(A244,'SegEnds_NonXtal_Prot#'!A:AL,31,FALSE)</f>
        <v>44</v>
      </c>
      <c r="AK244" s="1">
        <f>VLOOKUP(A244,'SegEnds_NonXtal_Prot#'!A:AL,37,FALSE)-VLOOKUP(A244,'SegEnds_NonXtal_Prot#'!A:AL,34,FALSE)</f>
        <v>10</v>
      </c>
      <c r="AL244" s="1" t="str">
        <f>IF(ISERROR(MATCH(A244,'SegEnds_Xtal_Prot#'!B:B, 0)), "NoXtal", "Xtal")</f>
        <v>NoXtal</v>
      </c>
    </row>
    <row r="245" spans="1:38" x14ac:dyDescent="0.2">
      <c r="A245" s="1" t="s">
        <v>178</v>
      </c>
      <c r="B245" s="1" t="str">
        <f>VLOOKUP(A245,Xtal_Templ!A:B,2,FALSE)</f>
        <v>ccr5_human</v>
      </c>
      <c r="C245" s="5">
        <f>VLOOKUP($B245&amp;"__wt",'SegEnds_Xtal_BW#'!$A:$Z,3,FALSE)</f>
        <v>24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2">
        <v>63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08">
        <v>24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58</v>
      </c>
      <c r="O245" s="87"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30</v>
      </c>
      <c r="T245" s="1">
        <f t="array" ref="T245">INDEX(ICL3_classA!$G$2:$G$37,MATCH(MIN(ABS(AI245-ICL3_classA!$F$2:$F$37)),ABS(AI245-ICL3_classA!$F$2:$F$37),0))</f>
        <v>67</v>
      </c>
      <c r="U245" s="1">
        <f t="array" ref="U245">INDEX(ICL3_classA!$H$2:$H$37,MATCH(MIN(ABS(AI245-ICL3_classA!$F$2:$F$37)),ABS(AI245-ICL3_classA!$F$2:$F$37),0))</f>
        <v>30</v>
      </c>
      <c r="V245" s="1">
        <v>64</v>
      </c>
      <c r="W245" s="1">
        <v>24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59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1">
        <f>VLOOKUP(A245,'SegEnds_NonXtal_Prot#'!A:AL,10,FALSE)-VLOOKUP(A245,'SegEnds_NonXtal_Prot#'!A:AL,7,FALSE)</f>
        <v>15</v>
      </c>
      <c r="AD245" s="1" t="e">
        <f>VLOOKUP(A245,'SegEnds_NonXtal_Prot#'!A:AL,13,FALSE)-VLOOKUP(A245,'SegEnds_NonXtal_Prot#'!A:AL,10,FALSE)</f>
        <v>#VALUE!</v>
      </c>
      <c r="AE245" s="1">
        <f>VLOOKUP(A245,'SegEnds_NonXtal_Prot#'!A:AL,16,FALSE)-VLOOKUP(A245,'SegEnds_NonXtal_Prot#'!A:AL,10,FALSE)</f>
        <v>44</v>
      </c>
      <c r="AF245" s="1">
        <f>VLOOKUP(A245,'SegEnds_NonXtal_Prot#'!A:AL,22,FALSE)-VLOOKUP(A245,'SegEnds_NonXtal_Prot#'!A:AL,19,FALSE)</f>
        <v>21</v>
      </c>
      <c r="AG245" s="1">
        <f>VLOOKUP(A245,'SegEnds_NonXtal_Prot#'!A:AL,28,FALSE)-VLOOKUP(A245,'SegEnds_NonXtal_Prot#'!A:AL,25,FALSE)</f>
        <v>31</v>
      </c>
      <c r="AH245" s="1">
        <f>VLOOKUP(A245,'SegEnds_NonXtal_Prot#'!A:AL,28,FALSE)-VLOOKUP(A245,'SegEnds_NonXtal_Prot#'!A:AL,22,FALSE)</f>
        <v>56</v>
      </c>
      <c r="AI245" s="1">
        <f>VLOOKUP(A245,'SegEnds_NonXtal_Prot#'!A:AL,31,FALSE)-VLOOKUP(A245,'SegEnds_NonXtal_Prot#'!A:AL,28,FALSE)</f>
        <v>41</v>
      </c>
      <c r="AJ245" s="1">
        <f>VLOOKUP(A245,'SegEnds_NonXtal_Prot#'!A:AL,34,FALSE)-VLOOKUP(A245,'SegEnds_NonXtal_Prot#'!A:AL,31,FALSE)</f>
        <v>44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179</v>
      </c>
      <c r="B246" s="1" t="str">
        <f>VLOOKUP(A246,Xtal_Templ!A:B,2,FALSE)</f>
        <v>ptafr_human</v>
      </c>
      <c r="C246" s="5">
        <f>VLOOKUP($B246&amp;"__wt",'SegEnds_Xtal_BW#'!$A:$Z,3,FALSE)</f>
        <v>27</v>
      </c>
      <c r="D246" s="1">
        <f>VLOOKUP($B246&amp;"__wt",'SegEnds_Xtal_BW#'!$A:$Z,4,FALSE)</f>
        <v>61</v>
      </c>
      <c r="E246" s="1" t="str">
        <f>VLOOKUP($B246&amp;"__wt",'SegEnds_Xtal_BW#'!$A:$Z,5,FALSE)</f>
        <v>-</v>
      </c>
      <c r="F246" s="1" t="str">
        <f>VLOOKUP($B246&amp;"__wt",'SegEnds_Xtal_BW#'!$A:$Z,6,FALSE)</f>
        <v>-</v>
      </c>
      <c r="G246" s="1">
        <v>37</v>
      </c>
      <c r="H246" s="12">
        <f>VLOOKUP($B246&amp;"__wt",'SegEnds_Xtal_BW#'!$A:$Z,8,FALSE)</f>
        <v>67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7">
        <f>VLOOKUP($B246&amp;"__wt",'SegEnds_Xtal_BW#'!$A:$Z,15,FALSE)</f>
        <v>38</v>
      </c>
      <c r="P246" s="1">
        <f>VLOOKUP($B246&amp;"__wt",'SegEnds_Xtal_BW#'!$A:$Z,16,FALSE)</f>
        <v>63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33</v>
      </c>
      <c r="T246" s="1">
        <f t="array" ref="T246">INDEX(ICL3_classA!$G$2:$G$37,MATCH(MIN(ABS(AI246-ICL3_classA!$F$2:$F$37)),ABS(AI246-ICL3_classA!$F$2:$F$37),0))</f>
        <v>67</v>
      </c>
      <c r="U246" s="1">
        <f t="array" ref="U246">INDEX(ICL3_classA!$H$2:$H$37,MATCH(MIN(ABS(AI246-ICL3_classA!$F$2:$F$37)),ABS(AI246-ICL3_classA!$F$2:$F$37),0))</f>
        <v>26</v>
      </c>
      <c r="V246" s="1">
        <v>64</v>
      </c>
      <c r="W246" s="1">
        <v>24</v>
      </c>
      <c r="X246" s="1">
        <f>VLOOKUP($B246&amp;"__wt",'SegEnds_Xtal_BW#'!$A:$Z,24,FALSE)</f>
        <v>59</v>
      </c>
      <c r="Y246" s="1">
        <f>VLOOKUP($B246&amp;"__wt",'SegEnds_Xtal_BW#'!$A:$Z,25,FALSE)</f>
        <v>50</v>
      </c>
      <c r="Z246" s="1">
        <f>VLOOKUP($B246&amp;"__wt",'SegEnds_Xtal_BW#'!$A:$Z,26,FALSE)</f>
        <v>63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28</v>
      </c>
      <c r="AC246" s="1" t="e">
        <f>VLOOKUP(A246,'SegEnds_NonXtal_Prot#'!A:AL,10,FALSE)-VLOOKUP(A246,'SegEnds_NonXtal_Prot#'!A:AL,7,FALSE)</f>
        <v>#VALUE!</v>
      </c>
      <c r="AD246" s="1">
        <f>VLOOKUP(A246,'SegEnds_NonXtal_Prot#'!A:AL,13,FALSE)-VLOOKUP(A246,'SegEnds_NonXtal_Prot#'!A:AL,10,FALSE)</f>
        <v>20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20</v>
      </c>
      <c r="AG246" s="1">
        <f>VLOOKUP(A246,'SegEnds_NonXtal_Prot#'!A:AL,28,FALSE)-VLOOKUP(A246,'SegEnds_NonXtal_Prot#'!A:AL,25,FALSE)</f>
        <v>28</v>
      </c>
      <c r="AH246" s="1">
        <f>VLOOKUP(A246,'SegEnds_NonXtal_Prot#'!A:AL,28,FALSE)-VLOOKUP(A246,'SegEnds_NonXtal_Prot#'!A:AL,22,FALSE)</f>
        <v>53</v>
      </c>
      <c r="AI246" s="1">
        <f>VLOOKUP(A246,'SegEnds_NonXtal_Prot#'!A:AL,31,FALSE)-VLOOKUP(A246,'SegEnds_NonXtal_Prot#'!A:AL,28,FALSE)</f>
        <v>47</v>
      </c>
      <c r="AJ246" s="1">
        <f>VLOOKUP(A246,'SegEnds_NonXtal_Prot#'!A:AL,34,FALSE)-VLOOKUP(A246,'SegEnds_NonXtal_Prot#'!A:AL,31,FALSE)</f>
        <v>44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NoXtal</v>
      </c>
    </row>
    <row r="247" spans="1:38" x14ac:dyDescent="0.2">
      <c r="A247" s="1" t="s">
        <v>184</v>
      </c>
      <c r="B247" s="1" t="str">
        <f>VLOOKUP(A247,Xtal_Templ!A:B,2,FALSE)</f>
        <v>ccr2_human</v>
      </c>
      <c r="C247" s="5">
        <f>VLOOKUP($B247&amp;"__wt",'SegEnds_Xtal_BW#'!$A:$Z,3,FALSE)</f>
        <v>27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2">
        <v>66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24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7"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31</v>
      </c>
      <c r="T247" s="1">
        <f t="array" ref="T247">INDEX(ICL3_classA!$G$2:$G$37,MATCH(MIN(ABS(AI247-ICL3_classA!$F$2:$F$37)),ABS(AI247-ICL3_classA!$F$2:$F$37),0))</f>
        <v>68</v>
      </c>
      <c r="U247" s="1">
        <f t="array" ref="U247">INDEX(ICL3_classA!$H$2:$H$37,MATCH(MIN(ABS(AI247-ICL3_classA!$F$2:$F$37)),ABS(AI247-ICL3_classA!$F$2:$F$37),0))</f>
        <v>30</v>
      </c>
      <c r="V247" s="1">
        <v>64</v>
      </c>
      <c r="W247" s="1">
        <v>24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58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28</v>
      </c>
      <c r="AC247" s="1">
        <f>VLOOKUP(A247,'SegEnds_NonXtal_Prot#'!A:AL,10,FALSE)-VLOOKUP(A247,'SegEnds_NonXtal_Prot#'!A:AL,7,FALSE)</f>
        <v>15</v>
      </c>
      <c r="AD247" s="1" t="e">
        <f>VLOOKUP(A247,'SegEnds_NonXtal_Prot#'!A:AL,13,FALSE)-VLOOKUP(A247,'SegEnds_NonXtal_Prot#'!A:AL,10,FALSE)</f>
        <v>#VALUE!</v>
      </c>
      <c r="AE247" s="1">
        <f>VLOOKUP(A247,'SegEnds_NonXtal_Prot#'!A:AL,16,FALSE)-VLOOKUP(A247,'SegEnds_NonXtal_Prot#'!A:AL,10,FALSE)</f>
        <v>50</v>
      </c>
      <c r="AF247" s="1">
        <f>VLOOKUP(A247,'SegEnds_NonXtal_Prot#'!A:AL,22,FALSE)-VLOOKUP(A247,'SegEnds_NonXtal_Prot#'!A:AL,19,FALSE)</f>
        <v>20</v>
      </c>
      <c r="AG247" s="1">
        <f>VLOOKUP(A247,'SegEnds_NonXtal_Prot#'!A:AL,28,FALSE)-VLOOKUP(A247,'SegEnds_NonXtal_Prot#'!A:AL,25,FALSE)</f>
        <v>28</v>
      </c>
      <c r="AH247" s="1">
        <f>VLOOKUP(A247,'SegEnds_NonXtal_Prot#'!A:AL,28,FALSE)-VLOOKUP(A247,'SegEnds_NonXtal_Prot#'!A:AL,22,FALSE)</f>
        <v>49</v>
      </c>
      <c r="AI247" s="1">
        <f>VLOOKUP(A247,'SegEnds_NonXtal_Prot#'!A:AL,31,FALSE)-VLOOKUP(A247,'SegEnds_NonXtal_Prot#'!A:AL,28,FALSE)</f>
        <v>43</v>
      </c>
      <c r="AJ247" s="1">
        <f>VLOOKUP(A247,'SegEnds_NonXtal_Prot#'!A:AL,34,FALSE)-VLOOKUP(A247,'SegEnds_NonXtal_Prot#'!A:AL,31,FALSE)</f>
        <v>44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229</v>
      </c>
      <c r="B248" s="1" t="str">
        <f>VLOOKUP(A248,Xtal_Templ!A:B,2,FALSE)</f>
        <v>p2y12_human</v>
      </c>
      <c r="C248" s="5">
        <f>VLOOKUP($B248&amp;"__wt",'SegEnds_Xtal_BW#'!$A:$Z,3,FALSE)</f>
        <v>28</v>
      </c>
      <c r="D248" s="1">
        <f>VLOOKUP($B248&amp;"__wt",'SegEnds_Xtal_BW#'!$A:$Z,4,FALSE)</f>
        <v>60</v>
      </c>
      <c r="E248" s="1" t="str">
        <f>VLOOKUP($B248&amp;"__wt",'SegEnds_Xtal_BW#'!$A:$Z,5,FALSE)</f>
        <v>-</v>
      </c>
      <c r="F248" s="1" t="str">
        <f>VLOOKUP($B248&amp;"__wt",'SegEnds_Xtal_BW#'!$A:$Z,6,FALSE)</f>
        <v>-</v>
      </c>
      <c r="G248" s="1">
        <v>37</v>
      </c>
      <c r="H248" s="12">
        <f>VLOOKUP($B248&amp;"__wt",'SegEnds_Xtal_BW#'!$A:$Z,8,FALSE)</f>
        <v>66</v>
      </c>
      <c r="I248" s="1" t="str">
        <f>VLOOKUP($B248&amp;"__wt",'SegEnds_Xtal_BW#'!$A:$Z,9,FALSE)</f>
        <v>-</v>
      </c>
      <c r="J248" s="1" t="str">
        <f>VLOOKUP($B248&amp;"__wt",'SegEnds_Xtal_BW#'!$A:$Z,10,FALSE)</f>
        <v>-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f>VLOOKUP($B248&amp;"__wt",'SegEnds_Xtal_BW#'!$A:$Z,15,FALSE)</f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30</v>
      </c>
      <c r="T248" s="1">
        <f t="array" ref="T248">INDEX(ICL3_classA!$G$2:$G$37,MATCH(MIN(ABS(AI248-ICL3_classA!$F$2:$F$37)),ABS(AI248-ICL3_classA!$F$2:$F$37),0))</f>
        <v>67</v>
      </c>
      <c r="U248" s="1">
        <f t="array" ref="U248">INDEX(ICL3_classA!$H$2:$H$37,MATCH(MIN(ABS(AI248-ICL3_classA!$F$2:$F$37)),ABS(AI248-ICL3_classA!$F$2:$F$37),0))</f>
        <v>26</v>
      </c>
      <c r="V248" s="1">
        <v>64</v>
      </c>
      <c r="W248" s="1">
        <v>24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57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28</v>
      </c>
      <c r="AC248" s="1" t="e">
        <f>VLOOKUP(A248,'SegEnds_NonXtal_Prot#'!A:AL,10,FALSE)-VLOOKUP(A248,'SegEnds_NonXtal_Prot#'!A:AL,7,FALSE)</f>
        <v>#VALUE!</v>
      </c>
      <c r="AD248" s="1" t="e">
        <f>VLOOKUP(A248,'SegEnds_NonXtal_Prot#'!A:AL,13,FALSE)-VLOOKUP(A248,'SegEnds_NonXtal_Prot#'!A:AL,10,FALSE)</f>
        <v>#VALUE!</v>
      </c>
      <c r="AE248" s="1">
        <f>VLOOKUP(A248,'SegEnds_NonXtal_Prot#'!A:AL,16,FALSE)-VLOOKUP(A248,'SegEnds_NonXtal_Prot#'!A:AL,10,FALSE)</f>
        <v>52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26</v>
      </c>
      <c r="AH248" s="1">
        <f>VLOOKUP(A248,'SegEnds_NonXtal_Prot#'!A:AL,28,FALSE)-VLOOKUP(A248,'SegEnds_NonXtal_Prot#'!A:AL,22,FALSE)</f>
        <v>52</v>
      </c>
      <c r="AI248" s="1">
        <f>VLOOKUP(A248,'SegEnds_NonXtal_Prot#'!A:AL,31,FALSE)-VLOOKUP(A248,'SegEnds_NonXtal_Prot#'!A:AL,28,FALSE)</f>
        <v>47</v>
      </c>
      <c r="AJ248" s="1">
        <f>VLOOKUP(A248,'SegEnds_NonXtal_Prot#'!A:AL,34,FALSE)-VLOOKUP(A248,'SegEnds_NonXtal_Prot#'!A:AL,31,FALSE)</f>
        <v>44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NoXtal</v>
      </c>
    </row>
    <row r="249" spans="1:38" x14ac:dyDescent="0.2">
      <c r="A249" s="1" t="s">
        <v>231</v>
      </c>
      <c r="B249" s="1" t="str">
        <f>VLOOKUP(A249,Xtal_Templ!A:B,2,FALSE)</f>
        <v>p2ry1_human</v>
      </c>
      <c r="C249" s="5">
        <f>VLOOKUP($B249&amp;"__wt",'SegEnds_Xtal_BW#'!$A:$Z,3,FALSE)</f>
        <v>30</v>
      </c>
      <c r="D249" s="1">
        <f>VLOOKUP($B249&amp;"__wt",'SegEnds_Xtal_BW#'!$A:$Z,4,FALSE)</f>
        <v>60</v>
      </c>
      <c r="E249" s="1" t="str">
        <f>VLOOKUP($B249&amp;"__wt",'SegEnds_Xtal_BW#'!$A:$Z,5,FALSE)</f>
        <v>-</v>
      </c>
      <c r="F249" s="1" t="str">
        <f>VLOOKUP($B249&amp;"__wt",'SegEnds_Xtal_BW#'!$A:$Z,6,FALSE)</f>
        <v>-</v>
      </c>
      <c r="G249" s="1">
        <v>37</v>
      </c>
      <c r="H249" s="12">
        <v>66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21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08">
        <v>56</v>
      </c>
      <c r="O249" s="87">
        <f>VLOOKUP($B249&amp;"__wt",'SegEnds_Xtal_BW#'!$A:$Z,15,FALSE)</f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32</v>
      </c>
      <c r="T249" s="1">
        <f t="array" ref="T249">INDEX(ICL3_classA!$G$2:$G$37,MATCH(MIN(ABS(AI249-ICL3_classA!$F$2:$F$37)),ABS(AI249-ICL3_classA!$F$2:$F$37),0))</f>
        <v>68</v>
      </c>
      <c r="U249" s="1">
        <f t="array" ref="U249">INDEX(ICL3_classA!$H$2:$H$37,MATCH(MIN(ABS(AI249-ICL3_classA!$F$2:$F$37)),ABS(AI249-ICL3_classA!$F$2:$F$37),0))</f>
        <v>24</v>
      </c>
      <c r="V249" s="1">
        <v>64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59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28</v>
      </c>
      <c r="AC249" s="1" t="e">
        <f>VLOOKUP(A249,'SegEnds_NonXtal_Prot#'!A:AL,10,FALSE)-VLOOKUP(A249,'SegEnds_NonXtal_Prot#'!A:AL,7,FALSE)</f>
        <v>#VALUE!</v>
      </c>
      <c r="AD249" s="1">
        <f>VLOOKUP(A249,'SegEnds_NonXtal_Prot#'!A:AL,13,FALSE)-VLOOKUP(A249,'SegEnds_NonXtal_Prot#'!A:AL,10,FALSE)</f>
        <v>19</v>
      </c>
      <c r="AE249" s="1">
        <f>VLOOKUP(A249,'SegEnds_NonXtal_Prot#'!A:AL,16,FALSE)-VLOOKUP(A249,'SegEnds_NonXtal_Prot#'!A:AL,10,FALSE)</f>
        <v>51</v>
      </c>
      <c r="AF249" s="1">
        <f>VLOOKUP(A249,'SegEnds_NonXtal_Prot#'!A:AL,22,FALSE)-VLOOKUP(A249,'SegEnds_NonXtal_Prot#'!A:AL,19,FALSE)</f>
        <v>19</v>
      </c>
      <c r="AG249" s="1">
        <f>VLOOKUP(A249,'SegEnds_NonXtal_Prot#'!A:AL,28,FALSE)-VLOOKUP(A249,'SegEnds_NonXtal_Prot#'!A:AL,25,FALSE)</f>
        <v>29</v>
      </c>
      <c r="AH249" s="1">
        <f>VLOOKUP(A249,'SegEnds_NonXtal_Prot#'!A:AL,28,FALSE)-VLOOKUP(A249,'SegEnds_NonXtal_Prot#'!A:AL,22,FALSE)</f>
        <v>55</v>
      </c>
      <c r="AI249" s="1">
        <f>VLOOKUP(A249,'SegEnds_NonXtal_Prot#'!A:AL,31,FALSE)-VLOOKUP(A249,'SegEnds_NonXtal_Prot#'!A:AL,28,FALSE)</f>
        <v>48</v>
      </c>
      <c r="AJ249" s="1">
        <f>VLOOKUP(A249,'SegEnds_NonXtal_Prot#'!A:AL,34,FALSE)-VLOOKUP(A249,'SegEnds_NonXtal_Prot#'!A:AL,31,FALSE)</f>
        <v>44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NoXtal</v>
      </c>
    </row>
    <row r="250" spans="1:38" x14ac:dyDescent="0.2">
      <c r="A250" s="1" t="s">
        <v>233</v>
      </c>
      <c r="B250" s="1" t="str">
        <f>VLOOKUP(A250,Xtal_Templ!A:B,2,FALSE)</f>
        <v>apj_human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52</v>
      </c>
      <c r="G250" s="1">
        <v>37</v>
      </c>
      <c r="H250" s="12">
        <f>VLOOKUP($B250&amp;"__wt",'SegEnds_Xtal_BW#'!$A:$Z,8,FALSE)</f>
        <v>67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v>38</v>
      </c>
      <c r="P250" s="1">
        <f>VLOOKUP($B250&amp;"__wt",'SegEnds_Xtal_BW#'!$A:$Z,16,FALSE)</f>
        <v>64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30</v>
      </c>
      <c r="T250" s="1">
        <f t="array" ref="T250">INDEX(ICL3_classA!$G$2:$G$37,MATCH(MIN(ABS(AI250-ICL3_classA!$F$2:$F$37)),ABS(AI250-ICL3_classA!$F$2:$F$37),0))</f>
        <v>68</v>
      </c>
      <c r="U250" s="1">
        <f t="array" ref="U250">INDEX(ICL3_classA!$H$2:$H$37,MATCH(MIN(ABS(AI250-ICL3_classA!$F$2:$F$37)),ABS(AI250-ICL3_classA!$F$2:$F$37),0))</f>
        <v>30</v>
      </c>
      <c r="V250" s="1">
        <v>64</v>
      </c>
      <c r="W250" s="1">
        <v>24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61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28</v>
      </c>
      <c r="AC250" s="1">
        <f>VLOOKUP(A250,'SegEnds_NonXtal_Prot#'!A:AL,10,FALSE)-VLOOKUP(A250,'SegEnds_NonXtal_Prot#'!A:AL,7,FALSE)</f>
        <v>15</v>
      </c>
      <c r="AD250" s="1">
        <f>VLOOKUP(A250,'SegEnds_NonXtal_Prot#'!A:AL,13,FALSE)-VLOOKUP(A250,'SegEnds_NonXtal_Prot#'!A:AL,10,FALSE)</f>
        <v>20</v>
      </c>
      <c r="AE250" s="1">
        <f>VLOOKUP(A250,'SegEnds_NonXtal_Prot#'!A:AL,16,FALSE)-VLOOKUP(A250,'SegEnds_NonXtal_Prot#'!A:AL,10,FALSE)</f>
        <v>52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28</v>
      </c>
      <c r="AH250" s="1">
        <f>VLOOKUP(A250,'SegEnds_NonXtal_Prot#'!A:AL,28,FALSE)-VLOOKUP(A250,'SegEnds_NonXtal_Prot#'!A:AL,22,FALSE)</f>
        <v>52</v>
      </c>
      <c r="AI250" s="1">
        <f>VLOOKUP(A250,'SegEnds_NonXtal_Prot#'!A:AL,31,FALSE)-VLOOKUP(A250,'SegEnds_NonXtal_Prot#'!A:AL,28,FALSE)</f>
        <v>43</v>
      </c>
      <c r="AJ250" s="1">
        <f>VLOOKUP(A250,'SegEnds_NonXtal_Prot#'!A:AL,34,FALSE)-VLOOKUP(A250,'SegEnds_NonXtal_Prot#'!A:AL,31,FALSE)</f>
        <v>44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NoXtal</v>
      </c>
    </row>
    <row r="251" spans="1:38" x14ac:dyDescent="0.2">
      <c r="A251" s="1" t="s">
        <v>240</v>
      </c>
      <c r="B251" s="1" t="str">
        <f>VLOOKUP(A251,Xtal_Templ!A:B,2,FALSE)</f>
        <v>apj_human</v>
      </c>
      <c r="C251" s="5">
        <f>VLOOKUP($B251&amp;"__wt",'SegEnds_Xtal_BW#'!$A:$Z,3,FALSE)</f>
        <v>33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52</v>
      </c>
      <c r="G251" s="1">
        <v>37</v>
      </c>
      <c r="H251" s="12">
        <f>VLOOKUP($B251&amp;"__wt",'SegEnds_Xtal_BW#'!$A:$Z,8,FALSE)</f>
        <v>67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57</v>
      </c>
      <c r="O251" s="87">
        <f>VLOOKUP($B251&amp;"__wt",'SegEnds_Xtal_BW#'!$A:$Z,15,FALSE)</f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30</v>
      </c>
      <c r="T251" s="1">
        <f t="array" ref="T251">INDEX(ICL3_classA!$G$2:$G$37,MATCH(MIN(ABS(AI251-ICL3_classA!$F$2:$F$37)),ABS(AI251-ICL3_classA!$F$2:$F$37),0))</f>
        <v>67</v>
      </c>
      <c r="U251" s="1">
        <f t="array" ref="U251">INDEX(ICL3_classA!$H$2:$H$37,MATCH(MIN(ABS(AI251-ICL3_classA!$F$2:$F$37)),ABS(AI251-ICL3_classA!$F$2:$F$37),0))</f>
        <v>26</v>
      </c>
      <c r="V251" s="1">
        <v>64</v>
      </c>
      <c r="W251" s="1">
        <v>24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61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 t="e">
        <f>VLOOKUP(A251,'SegEnds_NonXtal_Prot#'!A:AL,10,FALSE)-VLOOKUP(A251,'SegEnds_NonXtal_Prot#'!A:AL,7,FALSE)</f>
        <v>#VALUE!</v>
      </c>
      <c r="AD251" s="1">
        <f>VLOOKUP(A251,'SegEnds_NonXtal_Prot#'!A:AL,13,FALSE)-VLOOKUP(A251,'SegEnds_NonXtal_Prot#'!A:AL,10,FALSE)</f>
        <v>20</v>
      </c>
      <c r="AE251" s="1">
        <f>VLOOKUP(A251,'SegEnds_NonXtal_Prot#'!A:AL,16,FALSE)-VLOOKUP(A251,'SegEnds_NonXtal_Prot#'!A:AL,10,FALSE)</f>
        <v>52</v>
      </c>
      <c r="AF251" s="1">
        <f>VLOOKUP(A251,'SegEnds_NonXtal_Prot#'!A:AL,22,FALSE)-VLOOKUP(A251,'SegEnds_NonXtal_Prot#'!A:AL,19,FALSE)</f>
        <v>20</v>
      </c>
      <c r="AG251" s="1">
        <f>VLOOKUP(A251,'SegEnds_NonXtal_Prot#'!A:AL,28,FALSE)-VLOOKUP(A251,'SegEnds_NonXtal_Prot#'!A:AL,25,FALSE)</f>
        <v>23</v>
      </c>
      <c r="AH251" s="1">
        <f>VLOOKUP(A251,'SegEnds_NonXtal_Prot#'!A:AL,28,FALSE)-VLOOKUP(A251,'SegEnds_NonXtal_Prot#'!A:AL,22,FALSE)</f>
        <v>48</v>
      </c>
      <c r="AI251" s="1">
        <f>VLOOKUP(A251,'SegEnds_NonXtal_Prot#'!A:AL,31,FALSE)-VLOOKUP(A251,'SegEnds_NonXtal_Prot#'!A:AL,28,FALSE)</f>
        <v>46</v>
      </c>
      <c r="AJ251" s="1">
        <f>VLOOKUP(A251,'SegEnds_NonXtal_Prot#'!A:AL,34,FALSE)-VLOOKUP(A251,'SegEnds_NonXtal_Prot#'!A:AL,31,FALSE)</f>
        <v>44</v>
      </c>
      <c r="AK251" s="1">
        <f>VLOOKUP(A251,'SegEnds_NonXtal_Prot#'!A:AL,37,FALSE)-VLOOKUP(A251,'SegEnds_NonXtal_Prot#'!A:AL,34,FALSE)</f>
        <v>10</v>
      </c>
      <c r="AL251" s="1" t="str">
        <f>IF(ISERROR(MATCH(A251,'SegEnds_Xtal_Prot#'!B:B, 0)), "NoXtal", "Xtal")</f>
        <v>NoXtal</v>
      </c>
    </row>
    <row r="252" spans="1:38" x14ac:dyDescent="0.2">
      <c r="A252" s="1" t="s">
        <v>257</v>
      </c>
      <c r="B252" s="1" t="str">
        <f>VLOOKUP(A252,Xtal_Templ!A:B,2,FALSE)</f>
        <v>ptafr_human</v>
      </c>
      <c r="C252" s="5">
        <f>VLOOKUP($B252&amp;"__wt",'SegEnds_Xtal_BW#'!$A:$Z,3,FALSE)</f>
        <v>27</v>
      </c>
      <c r="D252" s="1">
        <f>VLOOKUP($B252&amp;"__wt",'SegEnds_Xtal_BW#'!$A:$Z,4,FALSE)</f>
        <v>61</v>
      </c>
      <c r="E252" s="1" t="str">
        <f>VLOOKUP($B252&amp;"__wt",'SegEnds_Xtal_BW#'!$A:$Z,5,FALSE)</f>
        <v>-</v>
      </c>
      <c r="F252" s="1" t="str">
        <f>VLOOKUP($B252&amp;"__wt",'SegEnds_Xtal_BW#'!$A:$Z,6,FALSE)</f>
        <v>-</v>
      </c>
      <c r="G252" s="1">
        <v>37</v>
      </c>
      <c r="H252" s="12">
        <f>VLOOKUP($B252&amp;"__wt",'SegEnds_Xtal_BW#'!$A:$Z,8,FALSE)</f>
        <v>67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7">
        <f>VLOOKUP($B252&amp;"__wt",'SegEnds_Xtal_BW#'!$A:$Z,15,FALSE)</f>
        <v>38</v>
      </c>
      <c r="P252" s="1">
        <f>VLOOKUP($B252&amp;"__wt",'SegEnds_Xtal_BW#'!$A:$Z,16,FALSE)</f>
        <v>63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33</v>
      </c>
      <c r="T252" s="1">
        <f t="array" ref="T252">INDEX(ICL3_classA!$G$2:$G$37,MATCH(MIN(ABS(AI252-ICL3_classA!$F$2:$F$37)),ABS(AI252-ICL3_classA!$F$2:$F$37),0))</f>
        <v>67</v>
      </c>
      <c r="U252" s="1">
        <f t="array" ref="U252">INDEX(ICL3_classA!$H$2:$H$37,MATCH(MIN(ABS(AI252-ICL3_classA!$F$2:$F$37)),ABS(AI252-ICL3_classA!$F$2:$F$37),0))</f>
        <v>26</v>
      </c>
      <c r="V252" s="1">
        <v>64</v>
      </c>
      <c r="W252" s="1">
        <v>24</v>
      </c>
      <c r="X252" s="1">
        <f>VLOOKUP($B252&amp;"__wt",'SegEnds_Xtal_BW#'!$A:$Z,24,FALSE)</f>
        <v>59</v>
      </c>
      <c r="Y252" s="1">
        <f>VLOOKUP($B252&amp;"__wt",'SegEnds_Xtal_BW#'!$A:$Z,25,FALSE)</f>
        <v>50</v>
      </c>
      <c r="Z252" s="1">
        <f>VLOOKUP($B252&amp;"__wt",'SegEnds_Xtal_BW#'!$A:$Z,26,FALSE)</f>
        <v>63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 t="e">
        <f>VLOOKUP(A252,'SegEnds_NonXtal_Prot#'!A:AL,10,FALSE)-VLOOKUP(A252,'SegEnds_NonXtal_Prot#'!A:AL,7,FALSE)</f>
        <v>#VALUE!</v>
      </c>
      <c r="AD252" s="1">
        <f>VLOOKUP(A252,'SegEnds_NonXtal_Prot#'!A:AL,13,FALSE)-VLOOKUP(A252,'SegEnds_NonXtal_Prot#'!A:AL,10,FALSE)</f>
        <v>20</v>
      </c>
      <c r="AE252" s="1">
        <f>VLOOKUP(A252,'SegEnds_NonXtal_Prot#'!A:AL,16,FALSE)-VLOOKUP(A252,'SegEnds_NonXtal_Prot#'!A:AL,10,FALSE)</f>
        <v>52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25</v>
      </c>
      <c r="AH252" s="1">
        <f>VLOOKUP(A252,'SegEnds_NonXtal_Prot#'!A:AL,28,FALSE)-VLOOKUP(A252,'SegEnds_NonXtal_Prot#'!A:AL,22,FALSE)</f>
        <v>51</v>
      </c>
      <c r="AI252" s="1">
        <f>VLOOKUP(A252,'SegEnds_NonXtal_Prot#'!A:AL,31,FALSE)-VLOOKUP(A252,'SegEnds_NonXtal_Prot#'!A:AL,28,FALSE)</f>
        <v>46</v>
      </c>
      <c r="AJ252" s="1">
        <f>VLOOKUP(A252,'SegEnds_NonXtal_Prot#'!A:AL,34,FALSE)-VLOOKUP(A252,'SegEnds_NonXtal_Prot#'!A:AL,31,FALSE)</f>
        <v>44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261</v>
      </c>
      <c r="B253" s="1" t="str">
        <f>VLOOKUP(A253,Xtal_Templ!A:B,2,FALSE)</f>
        <v>oprk_human</v>
      </c>
      <c r="C253" s="5">
        <f>VLOOKUP($B253&amp;"__wt",'SegEnds_Xtal_BW#'!$A:$Z,3,FALSE)</f>
        <v>30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2">
        <v>66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24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57</v>
      </c>
      <c r="O253" s="87"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30</v>
      </c>
      <c r="T253" s="1">
        <f t="array" ref="T253">INDEX(ICL3_classA!$G$2:$G$37,MATCH(MIN(ABS(AI253-ICL3_classA!$F$2:$F$37)),ABS(AI253-ICL3_classA!$F$2:$F$37),0))</f>
        <v>68</v>
      </c>
      <c r="U253" s="1">
        <f t="array" ref="U253">INDEX(ICL3_classA!$H$2:$H$37,MATCH(MIN(ABS(AI253-ICL3_classA!$F$2:$F$37)),ABS(AI253-ICL3_classA!$F$2:$F$37),0))</f>
        <v>24</v>
      </c>
      <c r="V253" s="1">
        <v>64</v>
      </c>
      <c r="W253" s="1"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32</v>
      </c>
      <c r="AC253" s="1" t="e">
        <f>VLOOKUP(A253,'SegEnds_NonXtal_Prot#'!A:AL,10,FALSE)-VLOOKUP(A253,'SegEnds_NonXtal_Prot#'!A:AL,7,FALSE)</f>
        <v>#VALUE!</v>
      </c>
      <c r="AD253" s="1" t="e">
        <f>VLOOKUP(A253,'SegEnds_NonXtal_Prot#'!A:AL,13,FALSE)-VLOOKUP(A253,'SegEnds_NonXtal_Prot#'!A:AL,10,FALSE)</f>
        <v>#VALUE!</v>
      </c>
      <c r="AE253" s="1">
        <f>VLOOKUP(A253,'SegEnds_NonXtal_Prot#'!A:AL,16,FALSE)-VLOOKUP(A253,'SegEnds_NonXtal_Prot#'!A:AL,10,FALSE)</f>
        <v>49</v>
      </c>
      <c r="AF253" s="1">
        <f>VLOOKUP(A253,'SegEnds_NonXtal_Prot#'!A:AL,22,FALSE)-VLOOKUP(A253,'SegEnds_NonXtal_Prot#'!A:AL,19,FALSE)</f>
        <v>20</v>
      </c>
      <c r="AG253" s="1">
        <f>VLOOKUP(A253,'SegEnds_NonXtal_Prot#'!A:AL,28,FALSE)-VLOOKUP(A253,'SegEnds_NonXtal_Prot#'!A:AL,25,FALSE)</f>
        <v>25</v>
      </c>
      <c r="AH253" s="1">
        <f>VLOOKUP(A253,'SegEnds_NonXtal_Prot#'!A:AL,28,FALSE)-VLOOKUP(A253,'SegEnds_NonXtal_Prot#'!A:AL,22,FALSE)</f>
        <v>47</v>
      </c>
      <c r="AI253" s="1">
        <f>VLOOKUP(A253,'SegEnds_NonXtal_Prot#'!A:AL,31,FALSE)-VLOOKUP(A253,'SegEnds_NonXtal_Prot#'!A:AL,28,FALSE)</f>
        <v>48</v>
      </c>
      <c r="AJ253" s="1">
        <f>VLOOKUP(A253,'SegEnds_NonXtal_Prot#'!A:AL,34,FALSE)-VLOOKUP(A253,'SegEnds_NonXtal_Prot#'!A:AL,31,FALSE)</f>
        <v>44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NoXtal</v>
      </c>
    </row>
    <row r="254" spans="1:38" x14ac:dyDescent="0.2">
      <c r="A254" s="1" t="s">
        <v>272</v>
      </c>
      <c r="B254" s="1" t="str">
        <f>VLOOKUP(A254,Xtal_Templ!A:B,2,FALSE)</f>
        <v>p2y12_human</v>
      </c>
      <c r="C254" s="5">
        <f>VLOOKUP($B254&amp;"__wt",'SegEnds_Xtal_BW#'!$A:$Z,3,FALSE)</f>
        <v>28</v>
      </c>
      <c r="D254" s="1">
        <f>VLOOKUP($B254&amp;"__wt",'SegEnds_Xtal_BW#'!$A:$Z,4,FALSE)</f>
        <v>60</v>
      </c>
      <c r="E254" s="1" t="str">
        <f>VLOOKUP($B254&amp;"__wt",'SegEnds_Xtal_BW#'!$A:$Z,5,FALSE)</f>
        <v>-</v>
      </c>
      <c r="F254" s="1" t="str">
        <f>VLOOKUP($B254&amp;"__wt",'SegEnds_Xtal_BW#'!$A:$Z,6,FALSE)</f>
        <v>-</v>
      </c>
      <c r="G254" s="1">
        <v>37</v>
      </c>
      <c r="H254" s="12">
        <f>VLOOKUP($B254&amp;"__wt",'SegEnds_Xtal_BW#'!$A:$Z,8,FALSE)</f>
        <v>66</v>
      </c>
      <c r="I254" s="1" t="str">
        <f>VLOOKUP($B254&amp;"__wt",'SegEnds_Xtal_BW#'!$A:$Z,9,FALSE)</f>
        <v>-</v>
      </c>
      <c r="J254" s="1" t="str">
        <f>VLOOKUP($B254&amp;"__wt",'SegEnds_Xtal_BW#'!$A:$Z,10,FALSE)</f>
        <v>-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7">
        <f>VLOOKUP($B254&amp;"__wt",'SegEnds_Xtal_BW#'!$A:$Z,15,FALSE)</f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30</v>
      </c>
      <c r="T254" s="1">
        <f t="array" ref="T254">INDEX(ICL3_classA!$G$2:$G$37,MATCH(MIN(ABS(AI254-ICL3_classA!$F$2:$F$37)),ABS(AI254-ICL3_classA!$F$2:$F$37),0))</f>
        <v>68</v>
      </c>
      <c r="U254" s="1">
        <f t="array" ref="U254">INDEX(ICL3_classA!$H$2:$H$37,MATCH(MIN(ABS(AI254-ICL3_classA!$F$2:$F$37)),ABS(AI254-ICL3_classA!$F$2:$F$37),0))</f>
        <v>24</v>
      </c>
      <c r="V254" s="1">
        <v>64</v>
      </c>
      <c r="W254" s="1">
        <v>24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57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27</v>
      </c>
      <c r="AC254" s="1" t="e">
        <f>VLOOKUP(A254,'SegEnds_NonXtal_Prot#'!A:AL,10,FALSE)-VLOOKUP(A254,'SegEnds_NonXtal_Prot#'!A:AL,7,FALSE)</f>
        <v>#VALUE!</v>
      </c>
      <c r="AD254" s="1">
        <f>VLOOKUP(A254,'SegEnds_NonXtal_Prot#'!A:AL,13,FALSE)-VLOOKUP(A254,'SegEnds_NonXtal_Prot#'!A:AL,10,FALSE)</f>
        <v>20</v>
      </c>
      <c r="AE254" s="1">
        <f>VLOOKUP(A254,'SegEnds_NonXtal_Prot#'!A:AL,16,FALSE)-VLOOKUP(A254,'SegEnds_NonXtal_Prot#'!A:AL,10,FALSE)</f>
        <v>52</v>
      </c>
      <c r="AF254" s="1">
        <f>VLOOKUP(A254,'SegEnds_NonXtal_Prot#'!A:AL,22,FALSE)-VLOOKUP(A254,'SegEnds_NonXtal_Prot#'!A:AL,19,FALSE)</f>
        <v>20</v>
      </c>
      <c r="AG254" s="1">
        <f>VLOOKUP(A254,'SegEnds_NonXtal_Prot#'!A:AL,28,FALSE)-VLOOKUP(A254,'SegEnds_NonXtal_Prot#'!A:AL,25,FALSE)</f>
        <v>26</v>
      </c>
      <c r="AH254" s="1">
        <f>VLOOKUP(A254,'SegEnds_NonXtal_Prot#'!A:AL,28,FALSE)-VLOOKUP(A254,'SegEnds_NonXtal_Prot#'!A:AL,22,FALSE)</f>
        <v>52</v>
      </c>
      <c r="AI254" s="1">
        <f>VLOOKUP(A254,'SegEnds_NonXtal_Prot#'!A:AL,31,FALSE)-VLOOKUP(A254,'SegEnds_NonXtal_Prot#'!A:AL,28,FALSE)</f>
        <v>49</v>
      </c>
      <c r="AJ254" s="1">
        <f>VLOOKUP(A254,'SegEnds_NonXtal_Prot#'!A:AL,34,FALSE)-VLOOKUP(A254,'SegEnds_NonXtal_Prot#'!A:AL,31,FALSE)</f>
        <v>44</v>
      </c>
      <c r="AK254" s="1">
        <f>VLOOKUP(A254,'SegEnds_NonXtal_Prot#'!A:AL,37,FALSE)-VLOOKUP(A254,'SegEnds_NonXtal_Prot#'!A:AL,34,FALSE)</f>
        <v>10</v>
      </c>
      <c r="AL254" s="1" t="str">
        <f>IF(ISERROR(MATCH(A254,'SegEnds_Xtal_Prot#'!B:B, 0)), "NoXtal", "Xtal")</f>
        <v>NoXtal</v>
      </c>
    </row>
    <row r="255" spans="1:38" x14ac:dyDescent="0.2">
      <c r="A255" s="1" t="s">
        <v>288</v>
      </c>
      <c r="B255" s="1" t="str">
        <f>VLOOKUP(A255,Xtal_Templ!A:B,2,FALSE)</f>
        <v>oprk_human</v>
      </c>
      <c r="C255" s="5">
        <f>VLOOKUP($B255&amp;"__wt",'SegEnds_Xtal_BW#'!$A:$Z,3,FALSE)</f>
        <v>30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21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7"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30</v>
      </c>
      <c r="T255" s="1">
        <f t="array" ref="T255">INDEX(ICL3_classA!$G$2:$G$37,MATCH(MIN(ABS(AI255-ICL3_classA!$F$2:$F$37)),ABS(AI255-ICL3_classA!$F$2:$F$37),0))</f>
        <v>68</v>
      </c>
      <c r="U255" s="1">
        <f t="array" ref="U255">INDEX(ICL3_classA!$H$2:$H$37,MATCH(MIN(ABS(AI255-ICL3_classA!$F$2:$F$37)),ABS(AI255-ICL3_classA!$F$2:$F$37),0))</f>
        <v>24</v>
      </c>
      <c r="V255" s="1">
        <v>64</v>
      </c>
      <c r="W255" s="1">
        <v>24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59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>
        <f>VLOOKUP(A255,'SegEnds_NonXtal_Prot#'!A:AL,10,FALSE)-VLOOKUP(A255,'SegEnds_NonXtal_Prot#'!A:AL,7,FALSE)</f>
        <v>15</v>
      </c>
      <c r="AD255" s="1">
        <f>VLOOKUP(A255,'SegEnds_NonXtal_Prot#'!A:AL,13,FALSE)-VLOOKUP(A255,'SegEnds_NonXtal_Prot#'!A:AL,10,FALSE)</f>
        <v>19</v>
      </c>
      <c r="AE255" s="1">
        <f>VLOOKUP(A255,'SegEnds_NonXtal_Prot#'!A:AL,16,FALSE)-VLOOKUP(A255,'SegEnds_NonXtal_Prot#'!A:AL,10,FALSE)</f>
        <v>51</v>
      </c>
      <c r="AF255" s="1">
        <f>VLOOKUP(A255,'SegEnds_NonXtal_Prot#'!A:AL,22,FALSE)-VLOOKUP(A255,'SegEnds_NonXtal_Prot#'!A:AL,19,FALSE)</f>
        <v>20</v>
      </c>
      <c r="AG255" s="1">
        <f>VLOOKUP(A255,'SegEnds_NonXtal_Prot#'!A:AL,28,FALSE)-VLOOKUP(A255,'SegEnds_NonXtal_Prot#'!A:AL,25,FALSE)</f>
        <v>28</v>
      </c>
      <c r="AH255" s="1">
        <f>VLOOKUP(A255,'SegEnds_NonXtal_Prot#'!A:AL,28,FALSE)-VLOOKUP(A255,'SegEnds_NonXtal_Prot#'!A:AL,22,FALSE)</f>
        <v>53</v>
      </c>
      <c r="AI255" s="1">
        <f>VLOOKUP(A255,'SegEnds_NonXtal_Prot#'!A:AL,31,FALSE)-VLOOKUP(A255,'SegEnds_NonXtal_Prot#'!A:AL,28,FALSE)</f>
        <v>48</v>
      </c>
      <c r="AJ255" s="1">
        <f>VLOOKUP(A255,'SegEnds_NonXtal_Prot#'!A:AL,34,FALSE)-VLOOKUP(A255,'SegEnds_NonXtal_Prot#'!A:AL,31,FALSE)</f>
        <v>44</v>
      </c>
      <c r="AK255" s="1">
        <f>VLOOKUP(A255,'SegEnds_NonXtal_Prot#'!A:AL,37,FALSE)-VLOOKUP(A255,'SegEnds_NonXtal_Prot#'!A:AL,34,FALSE)</f>
        <v>10</v>
      </c>
      <c r="AL255" s="1" t="str">
        <f>IF(ISERROR(MATCH(A255,'SegEnds_Xtal_Prot#'!B:B, 0)), "NoXtal", "Xtal")</f>
        <v>NoXtal</v>
      </c>
    </row>
    <row r="256" spans="1:38" x14ac:dyDescent="0.2">
      <c r="A256" s="1" t="s">
        <v>290</v>
      </c>
      <c r="B256" s="1" t="str">
        <f>VLOOKUP(A256,Xtal_Templ!A:B,2,FALSE)</f>
        <v>ptafr_human</v>
      </c>
      <c r="C256" s="5">
        <f>VLOOKUP($B256&amp;"__wt",'SegEnds_Xtal_BW#'!$A:$Z,3,FALSE)</f>
        <v>27</v>
      </c>
      <c r="D256" s="108">
        <v>60</v>
      </c>
      <c r="E256" s="1" t="str">
        <f>VLOOKUP($B256&amp;"__wt",'SegEnds_Xtal_BW#'!$A:$Z,5,FALSE)</f>
        <v>-</v>
      </c>
      <c r="F256" s="1" t="str">
        <f>VLOOKUP($B256&amp;"__wt",'SegEnds_Xtal_BW#'!$A:$Z,6,FALSE)</f>
        <v>-</v>
      </c>
      <c r="G256" s="1">
        <v>37</v>
      </c>
      <c r="H256" s="12">
        <v>66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21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57</v>
      </c>
      <c r="O256" s="87">
        <f>VLOOKUP($B256&amp;"__wt",'SegEnds_Xtal_BW#'!$A:$Z,15,FALSE)</f>
        <v>38</v>
      </c>
      <c r="P256" s="1">
        <f>VLOOKUP($B256&amp;"__wt",'SegEnds_Xtal_BW#'!$A:$Z,16,FALSE)</f>
        <v>63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33</v>
      </c>
      <c r="T256" s="1">
        <f t="array" ref="T256">INDEX(ICL3_classA!$G$2:$G$37,MATCH(MIN(ABS(AI256-ICL3_classA!$F$2:$F$37)),ABS(AI256-ICL3_classA!$F$2:$F$37),0))</f>
        <v>68</v>
      </c>
      <c r="U256" s="1">
        <f t="array" ref="U256">INDEX(ICL3_classA!$H$2:$H$37,MATCH(MIN(ABS(AI256-ICL3_classA!$F$2:$F$37)),ABS(AI256-ICL3_classA!$F$2:$F$37),0))</f>
        <v>24</v>
      </c>
      <c r="V256" s="1">
        <v>64</v>
      </c>
      <c r="W256" s="1">
        <v>24</v>
      </c>
      <c r="X256" s="1">
        <f>VLOOKUP($B256&amp;"__wt",'SegEnds_Xtal_BW#'!$A:$Z,24,FALSE)</f>
        <v>59</v>
      </c>
      <c r="Y256" s="1">
        <f>VLOOKUP($B256&amp;"__wt",'SegEnds_Xtal_BW#'!$A:$Z,25,FALSE)</f>
        <v>50</v>
      </c>
      <c r="Z256" s="1">
        <f>VLOOKUP($B256&amp;"__wt",'SegEnds_Xtal_BW#'!$A:$Z,26,FALSE)</f>
        <v>63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28</v>
      </c>
      <c r="AC256" s="1">
        <f>VLOOKUP(A256,'SegEnds_NonXtal_Prot#'!A:AL,10,FALSE)-VLOOKUP(A256,'SegEnds_NonXtal_Prot#'!A:AL,7,FALSE)</f>
        <v>15</v>
      </c>
      <c r="AD256" s="1">
        <f>VLOOKUP(A256,'SegEnds_NonXtal_Prot#'!A:AL,13,FALSE)-VLOOKUP(A256,'SegEnds_NonXtal_Prot#'!A:AL,10,FALSE)</f>
        <v>19</v>
      </c>
      <c r="AE256" s="1">
        <f>VLOOKUP(A256,'SegEnds_NonXtal_Prot#'!A:AL,16,FALSE)-VLOOKUP(A256,'SegEnds_NonXtal_Prot#'!A:AL,10,FALSE)</f>
        <v>51</v>
      </c>
      <c r="AF256" s="1">
        <f>VLOOKUP(A256,'SegEnds_NonXtal_Prot#'!A:AL,22,FALSE)-VLOOKUP(A256,'SegEnds_NonXtal_Prot#'!A:AL,19,FALSE)</f>
        <v>20</v>
      </c>
      <c r="AG256" s="1">
        <f>VLOOKUP(A256,'SegEnds_NonXtal_Prot#'!A:AL,28,FALSE)-VLOOKUP(A256,'SegEnds_NonXtal_Prot#'!A:AL,25,FALSE)</f>
        <v>28</v>
      </c>
      <c r="AH256" s="1">
        <f>VLOOKUP(A256,'SegEnds_NonXtal_Prot#'!A:AL,28,FALSE)-VLOOKUP(A256,'SegEnds_NonXtal_Prot#'!A:AL,22,FALSE)</f>
        <v>55</v>
      </c>
      <c r="AI256" s="1">
        <f>VLOOKUP(A256,'SegEnds_NonXtal_Prot#'!A:AL,31,FALSE)-VLOOKUP(A256,'SegEnds_NonXtal_Prot#'!A:AL,28,FALSE)</f>
        <v>48</v>
      </c>
      <c r="AJ256" s="1">
        <f>VLOOKUP(A256,'SegEnds_NonXtal_Prot#'!A:AL,34,FALSE)-VLOOKUP(A256,'SegEnds_NonXtal_Prot#'!A:AL,31,FALSE)</f>
        <v>44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348</v>
      </c>
      <c r="B257" s="1" t="str">
        <f>VLOOKUP(A257,Xtal_Templ!A:B,2,FALSE)</f>
        <v>p2ry1_human</v>
      </c>
      <c r="C257" s="5">
        <f>VLOOKUP($B257&amp;"__wt",'SegEnds_Xtal_BW#'!$A:$Z,3,FALSE)</f>
        <v>30</v>
      </c>
      <c r="D257" s="1">
        <f>VLOOKUP($B257&amp;"__wt",'SegEnds_Xtal_BW#'!$A:$Z,4,FALSE)</f>
        <v>60</v>
      </c>
      <c r="E257" s="1" t="str">
        <f>VLOOKUP($B257&amp;"__wt",'SegEnds_Xtal_BW#'!$A:$Z,5,FALSE)</f>
        <v>-</v>
      </c>
      <c r="F257" s="1" t="str">
        <f>VLOOKUP($B257&amp;"__wt",'SegEnds_Xtal_BW#'!$A:$Z,6,FALSE)</f>
        <v>-</v>
      </c>
      <c r="G257" s="1">
        <v>37</v>
      </c>
      <c r="H257" s="12">
        <f>VLOOKUP($B257&amp;"__wt",'SegEnds_Xtal_BW#'!$A:$Z,8,FALSE)</f>
        <v>66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58</v>
      </c>
      <c r="O257" s="87">
        <f>VLOOKUP($B257&amp;"__wt",'SegEnds_Xtal_BW#'!$A:$Z,15,FALSE)</f>
        <v>38</v>
      </c>
      <c r="P257" s="1">
        <f>VLOOKUP($B257&amp;"__wt",'SegEnds_Xtal_BW#'!$A:$Z,16,FALSE)</f>
        <v>64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32</v>
      </c>
      <c r="T257" s="1">
        <f t="array" ref="T257">INDEX(ICL3_classA!$G$2:$G$37,MATCH(MIN(ABS(AI257-ICL3_classA!$F$2:$F$37)),ABS(AI257-ICL3_classA!$F$2:$F$37),0))</f>
        <v>72</v>
      </c>
      <c r="U257" s="1">
        <f t="array" ref="U257">INDEX(ICL3_classA!$H$2:$H$37,MATCH(MIN(ABS(AI257-ICL3_classA!$F$2:$F$37)),ABS(AI257-ICL3_classA!$F$2:$F$37),0))</f>
        <v>29</v>
      </c>
      <c r="V257" s="1">
        <v>64</v>
      </c>
      <c r="W257" s="1">
        <v>24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59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28</v>
      </c>
      <c r="AC257" s="1">
        <f>VLOOKUP(A257,'SegEnds_NonXtal_Prot#'!A:AL,10,FALSE)-VLOOKUP(A257,'SegEnds_NonXtal_Prot#'!A:AL,7,FALSE)</f>
        <v>15</v>
      </c>
      <c r="AD257" s="1">
        <f>VLOOKUP(A257,'SegEnds_NonXtal_Prot#'!A:AL,13,FALSE)-VLOOKUP(A257,'SegEnds_NonXtal_Prot#'!A:AL,10,FALSE)</f>
        <v>20</v>
      </c>
      <c r="AE257" s="1">
        <f>VLOOKUP(A257,'SegEnds_NonXtal_Prot#'!A:AL,16,FALSE)-VLOOKUP(A257,'SegEnds_NonXtal_Prot#'!A:AL,10,FALSE)</f>
        <v>52</v>
      </c>
      <c r="AF257" s="1">
        <f>VLOOKUP(A257,'SegEnds_NonXtal_Prot#'!A:AL,22,FALSE)-VLOOKUP(A257,'SegEnds_NonXtal_Prot#'!A:AL,19,FALSE)</f>
        <v>21</v>
      </c>
      <c r="AG257" s="1">
        <f>VLOOKUP(A257,'SegEnds_NonXtal_Prot#'!A:AL,28,FALSE)-VLOOKUP(A257,'SegEnds_NonXtal_Prot#'!A:AL,25,FALSE)</f>
        <v>27</v>
      </c>
      <c r="AH257" s="1">
        <f>VLOOKUP(A257,'SegEnds_NonXtal_Prot#'!A:AL,28,FALSE)-VLOOKUP(A257,'SegEnds_NonXtal_Prot#'!A:AL,22,FALSE)</f>
        <v>52</v>
      </c>
      <c r="AI257" s="1">
        <f>VLOOKUP(A257,'SegEnds_NonXtal_Prot#'!A:AL,31,FALSE)-VLOOKUP(A257,'SegEnds_NonXtal_Prot#'!A:AL,28,FALSE)</f>
        <v>50</v>
      </c>
      <c r="AJ257" s="1">
        <f>VLOOKUP(A257,'SegEnds_NonXtal_Prot#'!A:AL,34,FALSE)-VLOOKUP(A257,'SegEnds_NonXtal_Prot#'!A:AL,31,FALSE)</f>
        <v>44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NoXtal</v>
      </c>
    </row>
    <row r="258" spans="1:38" x14ac:dyDescent="0.2">
      <c r="A258" s="4" t="s">
        <v>350</v>
      </c>
      <c r="B258" s="4" t="str">
        <f>VLOOKUP(A258,Xtal_Templ!A:B,2,FALSE)</f>
        <v>ptafr_human</v>
      </c>
      <c r="C258" s="5">
        <f>VLOOKUP($B258&amp;"__wt",'SegEnds_Xtal_BW#'!$A:$Z,3,FALSE)</f>
        <v>27</v>
      </c>
      <c r="D258" s="4">
        <f>VLOOKUP($B258&amp;"__wt",'SegEnds_Xtal_BW#'!$A:$Z,4,FALSE)</f>
        <v>61</v>
      </c>
      <c r="E258" s="4" t="str">
        <f>VLOOKUP($B258&amp;"__wt",'SegEnds_Xtal_BW#'!$A:$Z,5,FALSE)</f>
        <v>-</v>
      </c>
      <c r="F258" s="4" t="str">
        <f>VLOOKUP($B258&amp;"__wt",'SegEnds_Xtal_BW#'!$A:$Z,6,FALSE)</f>
        <v>-</v>
      </c>
      <c r="G258" s="4">
        <v>37</v>
      </c>
      <c r="H258" s="11">
        <v>66</v>
      </c>
      <c r="I258" s="4">
        <f>VLOOKUP($B258&amp;"__wt",'SegEnds_Xtal_BW#'!$A:$Z,9,FALSE)</f>
        <v>49</v>
      </c>
      <c r="J258" s="4">
        <f>VLOOKUP($B258&amp;"__wt",'SegEnds_Xtal_BW#'!$A:$Z,10,FALSE)</f>
        <v>52</v>
      </c>
      <c r="K258" s="11">
        <v>21</v>
      </c>
      <c r="L258" s="4">
        <f>VLOOKUP($B258&amp;"__wt",'SegEnds_Xtal_BW#'!$A:$Z,12,FALSE)</f>
        <v>56</v>
      </c>
      <c r="M258" s="4">
        <f>VLOOKUP($B258&amp;"__wt",'SegEnds_Xtal_BW#'!$A:$Z,13,FALSE)</f>
        <v>50</v>
      </c>
      <c r="N258" s="108">
        <v>56</v>
      </c>
      <c r="O258" s="87">
        <f>VLOOKUP($B258&amp;"__wt",'SegEnds_Xtal_BW#'!$A:$Z,15,FALSE)</f>
        <v>38</v>
      </c>
      <c r="P258" s="4">
        <f>VLOOKUP($B258&amp;"__wt",'SegEnds_Xtal_BW#'!$A:$Z,16,FALSE)</f>
        <v>63</v>
      </c>
      <c r="Q258" s="4">
        <f>VLOOKUP($B258&amp;"__wt",'SegEnds_Xtal_BW#'!$A:$Z,17,FALSE)</f>
        <v>50</v>
      </c>
      <c r="R258" s="4">
        <f>VLOOKUP($B258&amp;"__wt",'SegEnds_Xtal_BW#'!$A:$Z,18,FALSE)</f>
        <v>52</v>
      </c>
      <c r="S258" s="4">
        <f>VLOOKUP($B258&amp;"__wt",'SegEnds_Xtal_BW#'!$A:$Z,19,FALSE)</f>
        <v>33</v>
      </c>
      <c r="T258" s="4">
        <f t="array" ref="T258">INDEX(ICL3_classA!$G$2:$G$37,MATCH(MIN(ABS(AI258-ICL3_classA!$F$2:$F$37)),ABS(AI258-ICL3_classA!$F$2:$F$37),0))</f>
        <v>68</v>
      </c>
      <c r="U258" s="4">
        <f t="array" ref="U258">INDEX(ICL3_classA!$H$2:$H$37,MATCH(MIN(ABS(AI258-ICL3_classA!$F$2:$F$37)),ABS(AI258-ICL3_classA!$F$2:$F$37),0))</f>
        <v>24</v>
      </c>
      <c r="V258" s="4">
        <v>64</v>
      </c>
      <c r="W258" s="4">
        <v>24</v>
      </c>
      <c r="X258" s="4">
        <f>VLOOKUP($B258&amp;"__wt",'SegEnds_Xtal_BW#'!$A:$Z,24,FALSE)</f>
        <v>59</v>
      </c>
      <c r="Y258" s="4">
        <f>VLOOKUP($B258&amp;"__wt",'SegEnds_Xtal_BW#'!$A:$Z,25,FALSE)</f>
        <v>50</v>
      </c>
      <c r="Z258" s="4">
        <f>VLOOKUP($B258&amp;"__wt",'SegEnds_Xtal_BW#'!$A:$Z,26,FALSE)</f>
        <v>63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4" t="e">
        <f>VLOOKUP(A258,'SegEnds_NonXtal_Prot#'!A:AL,10,FALSE)-VLOOKUP(A258,'SegEnds_NonXtal_Prot#'!A:AL,7,FALSE)</f>
        <v>#VALUE!</v>
      </c>
      <c r="AD258" s="4">
        <f>VLOOKUP(A258,'SegEnds_NonXtal_Prot#'!A:AL,13,FALSE)-VLOOKUP(A258,'SegEnds_NonXtal_Prot#'!A:AL,10,FALSE)</f>
        <v>19</v>
      </c>
      <c r="AE258" s="4">
        <f>VLOOKUP(A258,'SegEnds_NonXtal_Prot#'!A:AL,16,FALSE)-VLOOKUP(A258,'SegEnds_NonXtal_Prot#'!A:AL,10,FALSE)</f>
        <v>51</v>
      </c>
      <c r="AF258" s="1">
        <f>VLOOKUP(A258,'SegEnds_NonXtal_Prot#'!A:AL,22,FALSE)-VLOOKUP(A258,'SegEnds_NonXtal_Prot#'!A:AL,19,FALSE)</f>
        <v>19</v>
      </c>
      <c r="AG258" s="4">
        <f>VLOOKUP(A258,'SegEnds_NonXtal_Prot#'!A:AL,28,FALSE)-VLOOKUP(A258,'SegEnds_NonXtal_Prot#'!A:AL,25,FALSE)</f>
        <v>29</v>
      </c>
      <c r="AH258" s="1">
        <f>VLOOKUP(A258,'SegEnds_NonXtal_Prot#'!A:AL,28,FALSE)-VLOOKUP(A258,'SegEnds_NonXtal_Prot#'!A:AL,22,FALSE)</f>
        <v>53</v>
      </c>
      <c r="AI258" s="4">
        <f>VLOOKUP(A258,'SegEnds_NonXtal_Prot#'!A:AL,31,FALSE)-VLOOKUP(A258,'SegEnds_NonXtal_Prot#'!A:AL,28,FALSE)</f>
        <v>48</v>
      </c>
      <c r="AJ258" s="4">
        <f>VLOOKUP(A258,'SegEnds_NonXtal_Prot#'!A:AL,34,FALSE)-VLOOKUP(A258,'SegEnds_NonXtal_Prot#'!A:AL,31,FALSE)</f>
        <v>44</v>
      </c>
      <c r="AK258" s="1">
        <f>VLOOKUP(A258,'SegEnds_NonXtal_Prot#'!A:AL,37,FALSE)-VLOOKUP(A258,'SegEnds_NonXtal_Prot#'!A:AL,34,FALSE)</f>
        <v>10</v>
      </c>
      <c r="AL258" s="1" t="str">
        <f>IF(ISERROR(MATCH(A258,'SegEnds_Xtal_Prot#'!B:B, 0)), "NoXtal", "Xtal")</f>
        <v>NoXtal</v>
      </c>
    </row>
    <row r="259" spans="1:38" x14ac:dyDescent="0.2">
      <c r="A259" s="1" t="s">
        <v>352</v>
      </c>
      <c r="B259" s="1" t="str">
        <f>VLOOKUP(A259,Xtal_Templ!A:B,2,FALSE)</f>
        <v>p2y12_human</v>
      </c>
      <c r="C259" s="5">
        <f>VLOOKUP($B259&amp;"__wt",'SegEnds_Xtal_BW#'!$A:$Z,3,FALSE)</f>
        <v>28</v>
      </c>
      <c r="D259" s="1">
        <f>VLOOKUP($B259&amp;"__wt",'SegEnds_Xtal_BW#'!$A:$Z,4,FALSE)</f>
        <v>60</v>
      </c>
      <c r="E259" s="1" t="str">
        <f>VLOOKUP($B259&amp;"__wt",'SegEnds_Xtal_BW#'!$A:$Z,5,FALSE)</f>
        <v>-</v>
      </c>
      <c r="F259" s="1" t="str">
        <f>VLOOKUP($B259&amp;"__wt",'SegEnds_Xtal_BW#'!$A:$Z,6,FALSE)</f>
        <v>-</v>
      </c>
      <c r="G259" s="1">
        <v>37</v>
      </c>
      <c r="H259" s="12">
        <f>VLOOKUP($B259&amp;"__wt",'SegEnds_Xtal_BW#'!$A:$Z,8,FALSE)</f>
        <v>66</v>
      </c>
      <c r="I259" s="1" t="str">
        <f>VLOOKUP($B259&amp;"__wt",'SegEnds_Xtal_BW#'!$A:$Z,9,FALSE)</f>
        <v>-</v>
      </c>
      <c r="J259" s="1" t="str">
        <f>VLOOKUP($B259&amp;"__wt",'SegEnds_Xtal_BW#'!$A:$Z,10,FALSE)</f>
        <v>-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f>VLOOKUP($B259&amp;"__wt",'SegEnds_Xtal_BW#'!$A:$Z,14,FALSE)</f>
        <v>57</v>
      </c>
      <c r="O259" s="87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30</v>
      </c>
      <c r="T259" s="1">
        <f t="array" ref="T259">INDEX(ICL3_classA!$G$2:$G$37,MATCH(MIN(ABS(AI259-ICL3_classA!$F$2:$F$37)),ABS(AI259-ICL3_classA!$F$2:$F$37),0))</f>
        <v>72</v>
      </c>
      <c r="U259" s="1">
        <f t="array" ref="U259">INDEX(ICL3_classA!$H$2:$H$37,MATCH(MIN(ABS(AI259-ICL3_classA!$F$2:$F$37)),ABS(AI259-ICL3_classA!$F$2:$F$37),0))</f>
        <v>29</v>
      </c>
      <c r="V259" s="1">
        <v>64</v>
      </c>
      <c r="W259" s="1">
        <v>24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57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27</v>
      </c>
      <c r="AC259" s="1" t="e">
        <f>VLOOKUP(A259,'SegEnds_NonXtal_Prot#'!A:AL,10,FALSE)-VLOOKUP(A259,'SegEnds_NonXtal_Prot#'!A:AL,7,FALSE)</f>
        <v>#VALUE!</v>
      </c>
      <c r="AD259" s="1" t="e">
        <f>VLOOKUP(A259,'SegEnds_NonXtal_Prot#'!A:AL,13,FALSE)-VLOOKUP(A259,'SegEnds_NonXtal_Prot#'!A:AL,10,FALSE)</f>
        <v>#VALUE!</v>
      </c>
      <c r="AE259" s="1">
        <f>VLOOKUP(A259,'SegEnds_NonXtal_Prot#'!A:AL,16,FALSE)-VLOOKUP(A259,'SegEnds_NonXtal_Prot#'!A:AL,10,FALSE)</f>
        <v>52</v>
      </c>
      <c r="AF259" s="1">
        <f>VLOOKUP(A259,'SegEnds_NonXtal_Prot#'!A:AL,22,FALSE)-VLOOKUP(A259,'SegEnds_NonXtal_Prot#'!A:AL,19,FALSE)</f>
        <v>20</v>
      </c>
      <c r="AG259" s="1">
        <f>VLOOKUP(A259,'SegEnds_NonXtal_Prot#'!A:AL,28,FALSE)-VLOOKUP(A259,'SegEnds_NonXtal_Prot#'!A:AL,25,FALSE)</f>
        <v>26</v>
      </c>
      <c r="AH259" s="1">
        <f>VLOOKUP(A259,'SegEnds_NonXtal_Prot#'!A:AL,28,FALSE)-VLOOKUP(A259,'SegEnds_NonXtal_Prot#'!A:AL,22,FALSE)</f>
        <v>52</v>
      </c>
      <c r="AI259" s="1">
        <f>VLOOKUP(A259,'SegEnds_NonXtal_Prot#'!A:AL,31,FALSE)-VLOOKUP(A259,'SegEnds_NonXtal_Prot#'!A:AL,28,FALSE)</f>
        <v>50</v>
      </c>
      <c r="AJ259" s="1">
        <f>VLOOKUP(A259,'SegEnds_NonXtal_Prot#'!A:AL,34,FALSE)-VLOOKUP(A259,'SegEnds_NonXtal_Prot#'!A:AL,31,FALSE)</f>
        <v>44</v>
      </c>
      <c r="AK259" s="1">
        <f>VLOOKUP(A259,'SegEnds_NonXtal_Prot#'!A:AL,37,FALSE)-VLOOKUP(A259,'SegEnds_NonXtal_Prot#'!A:AL,34,FALSE)</f>
        <v>10</v>
      </c>
      <c r="AL259" s="1" t="str">
        <f>IF(ISERROR(MATCH(A259,'SegEnds_Xtal_Prot#'!B:B, 0)), "NoXtal", "Xtal")</f>
        <v>Xtal</v>
      </c>
    </row>
    <row r="260" spans="1:38" x14ac:dyDescent="0.2">
      <c r="A260" s="1" t="s">
        <v>353</v>
      </c>
      <c r="B260" s="1" t="str">
        <f>VLOOKUP(A260,Xtal_Templ!A:B,2,FALSE)</f>
        <v>p2y12_human</v>
      </c>
      <c r="C260" s="5">
        <f>VLOOKUP($B260&amp;"__wt",'SegEnds_Xtal_BW#'!$A:$Z,3,FALSE)</f>
        <v>28</v>
      </c>
      <c r="D260" s="1">
        <f>VLOOKUP($B260&amp;"__wt",'SegEnds_Xtal_BW#'!$A:$Z,4,FALSE)</f>
        <v>60</v>
      </c>
      <c r="E260" s="1" t="str">
        <f>VLOOKUP($B260&amp;"__wt",'SegEnds_Xtal_BW#'!$A:$Z,5,FALSE)</f>
        <v>-</v>
      </c>
      <c r="F260" s="1" t="str">
        <f>VLOOKUP($B260&amp;"__wt",'SegEnds_Xtal_BW#'!$A:$Z,6,FALSE)</f>
        <v>-</v>
      </c>
      <c r="G260" s="1">
        <v>37</v>
      </c>
      <c r="H260" s="12">
        <f>VLOOKUP($B260&amp;"__wt",'SegEnds_Xtal_BW#'!$A:$Z,8,FALSE)</f>
        <v>66</v>
      </c>
      <c r="I260" s="1" t="str">
        <f>VLOOKUP($B260&amp;"__wt",'SegEnds_Xtal_BW#'!$A:$Z,9,FALSE)</f>
        <v>-</v>
      </c>
      <c r="J260" s="1" t="str">
        <f>VLOOKUP($B260&amp;"__wt",'SegEnds_Xtal_BW#'!$A:$Z,10,FALSE)</f>
        <v>-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7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30</v>
      </c>
      <c r="T260" s="1">
        <f t="array" ref="T260">INDEX(ICL3_classA!$G$2:$G$37,MATCH(MIN(ABS(AI260-ICL3_classA!$F$2:$F$37)),ABS(AI260-ICL3_classA!$F$2:$F$37),0))</f>
        <v>72</v>
      </c>
      <c r="U260" s="1">
        <f t="array" ref="U260">INDEX(ICL3_classA!$H$2:$H$37,MATCH(MIN(ABS(AI260-ICL3_classA!$F$2:$F$37)),ABS(AI260-ICL3_classA!$F$2:$F$37),0))</f>
        <v>29</v>
      </c>
      <c r="V260" s="1">
        <v>64</v>
      </c>
      <c r="W260" s="1">
        <v>24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57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27</v>
      </c>
      <c r="AC260" s="1" t="e">
        <f>VLOOKUP(A260,'SegEnds_NonXtal_Prot#'!A:AL,10,FALSE)-VLOOKUP(A260,'SegEnds_NonXtal_Prot#'!A:AL,7,FALSE)</f>
        <v>#VALUE!</v>
      </c>
      <c r="AD260" s="1" t="e">
        <f>VLOOKUP(A260,'SegEnds_NonXtal_Prot#'!A:AL,13,FALSE)-VLOOKUP(A260,'SegEnds_NonXtal_Prot#'!A:AL,10,FALSE)</f>
        <v>#VALUE!</v>
      </c>
      <c r="AE260" s="1">
        <f>VLOOKUP(A260,'SegEnds_NonXtal_Prot#'!A:AL,16,FALSE)-VLOOKUP(A260,'SegEnds_NonXtal_Prot#'!A:AL,10,FALSE)</f>
        <v>52</v>
      </c>
      <c r="AF260" s="1">
        <f>VLOOKUP(A260,'SegEnds_NonXtal_Prot#'!A:AL,22,FALSE)-VLOOKUP(A260,'SegEnds_NonXtal_Prot#'!A:AL,19,FALSE)</f>
        <v>20</v>
      </c>
      <c r="AG260" s="1">
        <f>VLOOKUP(A260,'SegEnds_NonXtal_Prot#'!A:AL,28,FALSE)-VLOOKUP(A260,'SegEnds_NonXtal_Prot#'!A:AL,25,FALSE)</f>
        <v>26</v>
      </c>
      <c r="AH260" s="1">
        <f>VLOOKUP(A260,'SegEnds_NonXtal_Prot#'!A:AL,28,FALSE)-VLOOKUP(A260,'SegEnds_NonXtal_Prot#'!A:AL,22,FALSE)</f>
        <v>52</v>
      </c>
      <c r="AI260" s="1">
        <f>VLOOKUP(A260,'SegEnds_NonXtal_Prot#'!A:AL,31,FALSE)-VLOOKUP(A260,'SegEnds_NonXtal_Prot#'!A:AL,28,FALSE)</f>
        <v>50</v>
      </c>
      <c r="AJ260" s="1">
        <f>VLOOKUP(A260,'SegEnds_NonXtal_Prot#'!A:AL,34,FALSE)-VLOOKUP(A260,'SegEnds_NonXtal_Prot#'!A:AL,31,FALSE)</f>
        <v>44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NoXtal</v>
      </c>
    </row>
    <row r="261" spans="1:38" x14ac:dyDescent="0.2">
      <c r="A261" s="1" t="s">
        <v>354</v>
      </c>
      <c r="B261" s="1" t="str">
        <f>VLOOKUP(A261,Xtal_Templ!A:B,2,FALSE)</f>
        <v>p2y12_human</v>
      </c>
      <c r="C261" s="5">
        <f>VLOOKUP($B261&amp;"__wt",'SegEnds_Xtal_BW#'!$A:$Z,3,FALSE)</f>
        <v>28</v>
      </c>
      <c r="D261" s="1">
        <f>VLOOKUP($B261&amp;"__wt",'SegEnds_Xtal_BW#'!$A:$Z,4,FALSE)</f>
        <v>60</v>
      </c>
      <c r="E261" s="1" t="str">
        <f>VLOOKUP($B261&amp;"__wt",'SegEnds_Xtal_BW#'!$A:$Z,5,FALSE)</f>
        <v>-</v>
      </c>
      <c r="F261" s="1" t="str">
        <f>VLOOKUP($B261&amp;"__wt",'SegEnds_Xtal_BW#'!$A:$Z,6,FALSE)</f>
        <v>-</v>
      </c>
      <c r="G261" s="1">
        <v>37</v>
      </c>
      <c r="H261" s="12">
        <f>VLOOKUP($B261&amp;"__wt",'SegEnds_Xtal_BW#'!$A:$Z,8,FALSE)</f>
        <v>66</v>
      </c>
      <c r="I261" s="1" t="str">
        <f>VLOOKUP($B261&amp;"__wt",'SegEnds_Xtal_BW#'!$A:$Z,9,FALSE)</f>
        <v>-</v>
      </c>
      <c r="J261" s="1" t="str">
        <f>VLOOKUP($B261&amp;"__wt",'SegEnds_Xtal_BW#'!$A:$Z,10,FALSE)</f>
        <v>-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7">
        <f>VLOOKUP($B261&amp;"__wt",'SegEnds_Xtal_BW#'!$A:$Z,15,FALSE)</f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30</v>
      </c>
      <c r="T261" s="1">
        <f t="array" ref="T261">INDEX(ICL3_classA!$G$2:$G$37,MATCH(MIN(ABS(AI261-ICL3_classA!$F$2:$F$37)),ABS(AI261-ICL3_classA!$F$2:$F$37),0))</f>
        <v>72</v>
      </c>
      <c r="U261" s="1">
        <f t="array" ref="U261">INDEX(ICL3_classA!$H$2:$H$37,MATCH(MIN(ABS(AI261-ICL3_classA!$F$2:$F$37)),ABS(AI261-ICL3_classA!$F$2:$F$37),0))</f>
        <v>29</v>
      </c>
      <c r="V261" s="1">
        <v>64</v>
      </c>
      <c r="W261" s="1">
        <v>24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57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27</v>
      </c>
      <c r="AC261" s="1" t="e">
        <f>VLOOKUP(A261,'SegEnds_NonXtal_Prot#'!A:AL,10,FALSE)-VLOOKUP(A261,'SegEnds_NonXtal_Prot#'!A:AL,7,FALSE)</f>
        <v>#VALUE!</v>
      </c>
      <c r="AD261" s="1" t="e">
        <f>VLOOKUP(A261,'SegEnds_NonXtal_Prot#'!A:AL,13,FALSE)-VLOOKUP(A261,'SegEnds_NonXtal_Prot#'!A:AL,10,FALSE)</f>
        <v>#VALUE!</v>
      </c>
      <c r="AE261" s="1">
        <f>VLOOKUP(A261,'SegEnds_NonXtal_Prot#'!A:AL,16,FALSE)-VLOOKUP(A261,'SegEnds_NonXtal_Prot#'!A:AL,10,FALSE)</f>
        <v>52</v>
      </c>
      <c r="AF261" s="1">
        <f>VLOOKUP(A261,'SegEnds_NonXtal_Prot#'!A:AL,22,FALSE)-VLOOKUP(A261,'SegEnds_NonXtal_Prot#'!A:AL,19,FALSE)</f>
        <v>20</v>
      </c>
      <c r="AG261" s="1">
        <f>VLOOKUP(A261,'SegEnds_NonXtal_Prot#'!A:AL,28,FALSE)-VLOOKUP(A261,'SegEnds_NonXtal_Prot#'!A:AL,25,FALSE)</f>
        <v>26</v>
      </c>
      <c r="AH261" s="1">
        <f>VLOOKUP(A261,'SegEnds_NonXtal_Prot#'!A:AL,28,FALSE)-VLOOKUP(A261,'SegEnds_NonXtal_Prot#'!A:AL,22,FALSE)</f>
        <v>52</v>
      </c>
      <c r="AI261" s="1">
        <f>VLOOKUP(A261,'SegEnds_NonXtal_Prot#'!A:AL,31,FALSE)-VLOOKUP(A261,'SegEnds_NonXtal_Prot#'!A:AL,28,FALSE)</f>
        <v>50</v>
      </c>
      <c r="AJ261" s="1">
        <f>VLOOKUP(A261,'SegEnds_NonXtal_Prot#'!A:AL,34,FALSE)-VLOOKUP(A261,'SegEnds_NonXtal_Prot#'!A:AL,31,FALSE)</f>
        <v>44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NoXtal</v>
      </c>
    </row>
    <row r="262" spans="1:38" x14ac:dyDescent="0.2">
      <c r="A262" s="1" t="s">
        <v>1441</v>
      </c>
      <c r="B262" s="1" t="str">
        <f>VLOOKUP(A262,Xtal_Templ!A:B,2,FALSE)</f>
        <v>q08bg4_danre</v>
      </c>
      <c r="C262" s="5">
        <f>VLOOKUP($B262&amp;"__wt",'SegEnds_Xtal_BW#'!$A:$Z,3,FALSE)</f>
        <v>31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66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f>VLOOKUP($B262&amp;"__wt",'SegEnds_Xtal_BW#'!$A:$Z,11,FALSE)</f>
        <v>21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08">
        <f>VLOOKUP($B262&amp;"__wt",'SegEnds_Xtal_BW#'!$A:$Z,14,FALSE)</f>
        <v>57</v>
      </c>
      <c r="O262" s="108">
        <f>VLOOKUP($B262&amp;"__wt",'SegEnds_Xtal_BW#'!$A:$Z,15,FALSE)</f>
        <v>38</v>
      </c>
      <c r="P262" s="1">
        <f>VLOOKUP($B262&amp;"__wt",'SegEnds_Xtal_BW#'!$A:$Z,16,FALSE)</f>
        <v>65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f>VLOOKUP($B262&amp;"__wt",'SegEnds_Xtal_BW#'!$A:$Z,19,FALSE)</f>
        <v>31</v>
      </c>
      <c r="T262" s="1">
        <f t="array" ref="T262">INDEX(ICL3_classA!$G$2:$G$37,MATCH(MIN(ABS(AI262-ICL3_classA!$F$2:$F$37)),ABS(AI262-ICL3_classA!$F$2:$F$37),0))</f>
        <v>68</v>
      </c>
      <c r="U262" s="1">
        <f t="array" ref="U262">INDEX(ICL3_classA!$H$2:$H$37,MATCH(MIN(ABS(AI262-ICL3_classA!$F$2:$F$37)),ABS(AI262-ICL3_classA!$F$2:$F$37),0))</f>
        <v>24</v>
      </c>
      <c r="V262" s="108">
        <v>64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61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28</v>
      </c>
      <c r="AC262" s="1">
        <f>VLOOKUP(A262,'SegEnds_NonXtal_Prot#'!A:AL,10,FALSE)-VLOOKUP(A262,'SegEnds_NonXtal_Prot#'!A:AL,7,FALSE)</f>
        <v>15</v>
      </c>
      <c r="AD262" s="1">
        <f>VLOOKUP(A262,'SegEnds_NonXtal_Prot#'!A:AL,13,FALSE)-VLOOKUP(A262,'SegEnds_NonXtal_Prot#'!A:AL,10,FALSE)</f>
        <v>19</v>
      </c>
      <c r="AE262" s="1">
        <f>VLOOKUP(A262,'SegEnds_NonXtal_Prot#'!A:AL,16,FALSE)-VLOOKUP(A262,'SegEnds_NonXtal_Prot#'!A:AL,10,FALSE)</f>
        <v>51</v>
      </c>
      <c r="AF262" s="1">
        <f>VLOOKUP(A262,'SegEnds_NonXtal_Prot#'!A:AL,22,FALSE)-VLOOKUP(A262,'SegEnds_NonXtal_Prot#'!A:AL,19,FALSE)</f>
        <v>20</v>
      </c>
      <c r="AG262" s="1">
        <f>VLOOKUP(A262,'SegEnds_NonXtal_Prot#'!A:AL,28,FALSE)-VLOOKUP(A262,'SegEnds_NonXtal_Prot#'!A:AL,25,FALSE)</f>
        <v>28</v>
      </c>
      <c r="AH262" s="1">
        <f>VLOOKUP(A262,'SegEnds_NonXtal_Prot#'!A:AL,28,FALSE)-VLOOKUP(A262,'SegEnds_NonXtal_Prot#'!A:AL,22,FALSE)</f>
        <v>55</v>
      </c>
      <c r="AI262" s="1">
        <f>VLOOKUP(A262,'SegEnds_NonXtal_Prot#'!A:AL,31,FALSE)-VLOOKUP(A262,'SegEnds_NonXtal_Prot#'!A:AL,28,FALSE)</f>
        <v>49</v>
      </c>
      <c r="AJ262" s="1">
        <f>VLOOKUP(A262,'SegEnds_NonXtal_Prot#'!A:AL,34,FALSE)-VLOOKUP(A262,'SegEnds_NonXtal_Prot#'!A:AL,31,FALSE)</f>
        <v>44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Xtal</v>
      </c>
    </row>
    <row r="263" spans="1:38" x14ac:dyDescent="0.2">
      <c r="A263" s="1" t="s">
        <v>400</v>
      </c>
      <c r="B263" s="1" t="str">
        <f>VLOOKUP(A263,Xtal_Templ!A:B,2,FALSE)</f>
        <v>ccr5_human</v>
      </c>
      <c r="C263" s="5">
        <f>VLOOKUP($B263&amp;"__wt",'SegEnds_Xtal_BW#'!$A:$Z,3,FALSE)</f>
        <v>24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v>66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24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v>57</v>
      </c>
      <c r="O263" s="87"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v>35</v>
      </c>
      <c r="T263" s="1">
        <f t="array" ref="T263">INDEX(ICL3_classA!$G$2:$G$37,MATCH(MIN(ABS(AI263-ICL3_classA!$F$2:$F$37)),ABS(AI263-ICL3_classA!$F$2:$F$37),0))</f>
        <v>68</v>
      </c>
      <c r="U263" s="1">
        <f t="array" ref="U263">INDEX(ICL3_classA!$H$2:$H$37,MATCH(MIN(ABS(AI263-ICL3_classA!$F$2:$F$37)),ABS(AI263-ICL3_classA!$F$2:$F$37),0))</f>
        <v>30</v>
      </c>
      <c r="V263" s="1">
        <v>64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59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28</v>
      </c>
      <c r="AC263" s="1">
        <f>VLOOKUP(A263,'SegEnds_NonXtal_Prot#'!A:AL,10,FALSE)-VLOOKUP(A263,'SegEnds_NonXtal_Prot#'!A:AL,7,FALSE)</f>
        <v>15</v>
      </c>
      <c r="AD263" s="1">
        <f>VLOOKUP(A263,'SegEnds_NonXtal_Prot#'!A:AL,13,FALSE)-VLOOKUP(A263,'SegEnds_NonXtal_Prot#'!A:AL,10,FALSE)</f>
        <v>18</v>
      </c>
      <c r="AE263" s="1">
        <f>VLOOKUP(A263,'SegEnds_NonXtal_Prot#'!A:AL,16,FALSE)-VLOOKUP(A263,'SegEnds_NonXtal_Prot#'!A:AL,10,FALSE)</f>
        <v>50</v>
      </c>
      <c r="AF263" s="1">
        <f>VLOOKUP(A263,'SegEnds_NonXtal_Prot#'!A:AL,22,FALSE)-VLOOKUP(A263,'SegEnds_NonXtal_Prot#'!A:AL,19,FALSE)</f>
        <v>20</v>
      </c>
      <c r="AG263" s="1">
        <f>VLOOKUP(A263,'SegEnds_NonXtal_Prot#'!A:AL,28,FALSE)-VLOOKUP(A263,'SegEnds_NonXtal_Prot#'!A:AL,25,FALSE)</f>
        <v>22</v>
      </c>
      <c r="AH263" s="1">
        <f>VLOOKUP(A263,'SegEnds_NonXtal_Prot#'!A:AL,28,FALSE)-VLOOKUP(A263,'SegEnds_NonXtal_Prot#'!A:AL,22,FALSE)</f>
        <v>43</v>
      </c>
      <c r="AI263" s="1">
        <f>VLOOKUP(A263,'SegEnds_NonXtal_Prot#'!A:AL,31,FALSE)-VLOOKUP(A263,'SegEnds_NonXtal_Prot#'!A:AL,28,FALSE)</f>
        <v>43</v>
      </c>
      <c r="AJ263" s="1">
        <f>VLOOKUP(A263,'SegEnds_NonXtal_Prot#'!A:AL,34,FALSE)-VLOOKUP(A263,'SegEnds_NonXtal_Prot#'!A:AL,31,FALSE)</f>
        <v>44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144</v>
      </c>
      <c r="B264" s="1" t="str">
        <f>VLOOKUP(A264,Xtal_Templ!A:B,2,FALSE)</f>
        <v>agtr1_human</v>
      </c>
      <c r="C264" s="5">
        <f>VLOOKUP($B264&amp;"__wt",'SegEnds_Xtal_BW#'!$A:$Z,3,FALSE)</f>
        <v>28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66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21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57</v>
      </c>
      <c r="O264" s="87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34</v>
      </c>
      <c r="T264" s="1">
        <f t="array" ref="T264">INDEX(ICL3_classA!$G$2:$G$37,MATCH(MIN(ABS(AI264-ICL3_classA!$F$2:$F$37)),ABS(AI264-ICL3_classA!$F$2:$F$37),0))</f>
        <v>68</v>
      </c>
      <c r="U264" s="1">
        <f t="array" ref="U264">INDEX(ICL3_classA!$H$2:$H$37,MATCH(MIN(ABS(AI264-ICL3_classA!$F$2:$F$37)),ABS(AI264-ICL3_classA!$F$2:$F$37),0))</f>
        <v>30</v>
      </c>
      <c r="V264" s="1">
        <v>64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61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28</v>
      </c>
      <c r="AC264" s="1">
        <f>VLOOKUP(A264,'SegEnds_NonXtal_Prot#'!A:AL,10,FALSE)-VLOOKUP(A264,'SegEnds_NonXtal_Prot#'!A:AL,7,FALSE)</f>
        <v>15</v>
      </c>
      <c r="AD264" s="1">
        <f>VLOOKUP(A264,'SegEnds_NonXtal_Prot#'!A:AL,13,FALSE)-VLOOKUP(A264,'SegEnds_NonXtal_Prot#'!A:AL,10,FALSE)</f>
        <v>20</v>
      </c>
      <c r="AE264" s="1">
        <f>VLOOKUP(A264,'SegEnds_NonXtal_Prot#'!A:AL,16,FALSE)-VLOOKUP(A264,'SegEnds_NonXtal_Prot#'!A:AL,10,FALSE)</f>
        <v>52</v>
      </c>
      <c r="AF264" s="1" t="e">
        <f>VLOOKUP(A264,'SegEnds_NonXtal_Prot#'!A:AL,22,FALSE)-VLOOKUP(A264,'SegEnds_NonXtal_Prot#'!A:AL,19,FALSE)</f>
        <v>#VALUE!</v>
      </c>
      <c r="AG264" s="1">
        <f>VLOOKUP(A264,'SegEnds_NonXtal_Prot#'!A:AL,28,FALSE)-VLOOKUP(A264,'SegEnds_NonXtal_Prot#'!A:AL,25,FALSE)</f>
        <v>28</v>
      </c>
      <c r="AH264" s="1">
        <f>VLOOKUP(A264,'SegEnds_NonXtal_Prot#'!A:AL,28,FALSE)-VLOOKUP(A264,'SegEnds_NonXtal_Prot#'!A:AL,22,FALSE)</f>
        <v>55</v>
      </c>
      <c r="AI264" s="1">
        <f>VLOOKUP(A264,'SegEnds_NonXtal_Prot#'!A:AL,31,FALSE)-VLOOKUP(A264,'SegEnds_NonXtal_Prot#'!A:AL,28,FALSE)</f>
        <v>43</v>
      </c>
      <c r="AJ264" s="1">
        <f>VLOOKUP(A264,'SegEnds_NonXtal_Prot#'!A:AL,34,FALSE)-VLOOKUP(A264,'SegEnds_NonXtal_Prot#'!A:AL,31,FALSE)</f>
        <v>45</v>
      </c>
      <c r="AK264" s="1">
        <f>VLOOKUP(A264,'SegEnds_NonXtal_Prot#'!A:AL,37,FALSE)-VLOOKUP(A264,'SegEnds_NonXtal_Prot#'!A:AL,34,FALSE)</f>
        <v>10</v>
      </c>
      <c r="AL264" s="1" t="str">
        <f>IF(ISERROR(MATCH(A264,'SegEnds_Xtal_Prot#'!B:B, 0)), "NoXtal", "Xtal")</f>
        <v>NoXtal</v>
      </c>
    </row>
    <row r="265" spans="1:38" x14ac:dyDescent="0.2">
      <c r="A265" s="1" t="s">
        <v>145</v>
      </c>
      <c r="B265" s="1" t="str">
        <f>VLOOKUP(A265,Xtal_Templ!A:B,2,FALSE)</f>
        <v>ccr9_human</v>
      </c>
      <c r="C265" s="5">
        <f>VLOOKUP($B265&amp;"__wt",'SegEnds_Xtal_BW#'!$A:$Z,3,FALSE)</f>
        <v>27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v>66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08">
        <v>21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f>VLOOKUP($B265&amp;"__wt",'SegEnds_Xtal_BW#'!$A:$Z,14,FALSE)</f>
        <v>56</v>
      </c>
      <c r="O265" s="87"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33</v>
      </c>
      <c r="T265" s="1">
        <f t="array" ref="T265">INDEX(ICL3_classA!$G$2:$G$37,MATCH(MIN(ABS(AI265-ICL3_classA!$F$2:$F$37)),ABS(AI265-ICL3_classA!$F$2:$F$37),0))</f>
        <v>68</v>
      </c>
      <c r="U265" s="1">
        <f t="array" ref="U265">INDEX(ICL3_classA!$H$2:$H$37,MATCH(MIN(ABS(AI265-ICL3_classA!$F$2:$F$37)),ABS(AI265-ICL3_classA!$F$2:$F$37),0))</f>
        <v>30</v>
      </c>
      <c r="V265" s="1">
        <v>64</v>
      </c>
      <c r="W265" s="1">
        <v>24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67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28</v>
      </c>
      <c r="AC265" s="1">
        <f>VLOOKUP(A265,'SegEnds_NonXtal_Prot#'!A:AL,10,FALSE)-VLOOKUP(A265,'SegEnds_NonXtal_Prot#'!A:AL,7,FALSE)</f>
        <v>15</v>
      </c>
      <c r="AD265" s="1">
        <f>VLOOKUP(A265,'SegEnds_NonXtal_Prot#'!A:AL,13,FALSE)-VLOOKUP(A265,'SegEnds_NonXtal_Prot#'!A:AL,10,FALSE)</f>
        <v>18</v>
      </c>
      <c r="AE265" s="1">
        <f>VLOOKUP(A265,'SegEnds_NonXtal_Prot#'!A:AL,16,FALSE)-VLOOKUP(A265,'SegEnds_NonXtal_Prot#'!A:AL,10,FALSE)</f>
        <v>50</v>
      </c>
      <c r="AF265" s="1" t="e">
        <f>VLOOKUP(A265,'SegEnds_NonXtal_Prot#'!A:AL,22,FALSE)-VLOOKUP(A265,'SegEnds_NonXtal_Prot#'!A:AL,19,FALSE)</f>
        <v>#VALUE!</v>
      </c>
      <c r="AG265" s="1">
        <f>VLOOKUP(A265,'SegEnds_NonXtal_Prot#'!A:AL,28,FALSE)-VLOOKUP(A265,'SegEnds_NonXtal_Prot#'!A:AL,25,FALSE)</f>
        <v>28</v>
      </c>
      <c r="AH265" s="1">
        <f>VLOOKUP(A265,'SegEnds_NonXtal_Prot#'!A:AL,28,FALSE)-VLOOKUP(A265,'SegEnds_NonXtal_Prot#'!A:AL,22,FALSE)</f>
        <v>50</v>
      </c>
      <c r="AI265" s="1">
        <f>VLOOKUP(A265,'SegEnds_NonXtal_Prot#'!A:AL,31,FALSE)-VLOOKUP(A265,'SegEnds_NonXtal_Prot#'!A:AL,28,FALSE)</f>
        <v>43</v>
      </c>
      <c r="AJ265" s="1">
        <f>VLOOKUP(A265,'SegEnds_NonXtal_Prot#'!A:AL,34,FALSE)-VLOOKUP(A265,'SegEnds_NonXtal_Prot#'!A:AL,31,FALSE)</f>
        <v>45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NoXtal</v>
      </c>
    </row>
    <row r="266" spans="1:38" x14ac:dyDescent="0.2">
      <c r="A266" s="1" t="s">
        <v>169</v>
      </c>
      <c r="B266" s="1" t="str">
        <f>VLOOKUP(A266,Xtal_Templ!A:B,2,FALSE)</f>
        <v>ccr9_human</v>
      </c>
      <c r="C266" s="5">
        <f>VLOOKUP($B266&amp;"__wt",'SegEnds_Xtal_BW#'!$A:$Z,3,FALSE)</f>
        <v>27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v>66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24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f>VLOOKUP($B266&amp;"__wt",'SegEnds_Xtal_BW#'!$A:$Z,14,FALSE)</f>
        <v>56</v>
      </c>
      <c r="O266" s="87"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33</v>
      </c>
      <c r="T266" s="1">
        <f t="array" ref="T266">INDEX(ICL3_classA!$G$2:$G$37,MATCH(MIN(ABS(AI266-ICL3_classA!$F$2:$F$37)),ABS(AI266-ICL3_classA!$F$2:$F$37),0))</f>
        <v>68</v>
      </c>
      <c r="U266" s="1">
        <f t="array" ref="U266">INDEX(ICL3_classA!$H$2:$H$37,MATCH(MIN(ABS(AI266-ICL3_classA!$F$2:$F$37)),ABS(AI266-ICL3_classA!$F$2:$F$37),0))</f>
        <v>30</v>
      </c>
      <c r="V266" s="1">
        <v>65</v>
      </c>
      <c r="W266" s="1">
        <v>24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67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29</v>
      </c>
      <c r="AC266" s="1">
        <f>VLOOKUP(A266,'SegEnds_NonXtal_Prot#'!A:AL,10,FALSE)-VLOOKUP(A266,'SegEnds_NonXtal_Prot#'!A:AL,7,FALSE)</f>
        <v>16</v>
      </c>
      <c r="AD266" s="1">
        <f>VLOOKUP(A266,'SegEnds_NonXtal_Prot#'!A:AL,13,FALSE)-VLOOKUP(A266,'SegEnds_NonXtal_Prot#'!A:AL,10,FALSE)</f>
        <v>18</v>
      </c>
      <c r="AE266" s="1">
        <f>VLOOKUP(A266,'SegEnds_NonXtal_Prot#'!A:AL,16,FALSE)-VLOOKUP(A266,'SegEnds_NonXtal_Prot#'!A:AL,10,FALSE)</f>
        <v>50</v>
      </c>
      <c r="AF266" s="1" t="e">
        <f>VLOOKUP(A266,'SegEnds_NonXtal_Prot#'!A:AL,22,FALSE)-VLOOKUP(A266,'SegEnds_NonXtal_Prot#'!A:AL,19,FALSE)</f>
        <v>#VALUE!</v>
      </c>
      <c r="AG266" s="1">
        <f>VLOOKUP(A266,'SegEnds_NonXtal_Prot#'!A:AL,28,FALSE)-VLOOKUP(A266,'SegEnds_NonXtal_Prot#'!A:AL,25,FALSE)</f>
        <v>28</v>
      </c>
      <c r="AH266" s="1">
        <f>VLOOKUP(A266,'SegEnds_NonXtal_Prot#'!A:AL,28,FALSE)-VLOOKUP(A266,'SegEnds_NonXtal_Prot#'!A:AL,22,FALSE)</f>
        <v>53</v>
      </c>
      <c r="AI266" s="1">
        <f>VLOOKUP(A266,'SegEnds_NonXtal_Prot#'!A:AL,31,FALSE)-VLOOKUP(A266,'SegEnds_NonXtal_Prot#'!A:AL,28,FALSE)</f>
        <v>43</v>
      </c>
      <c r="AJ266" s="1">
        <f>VLOOKUP(A266,'SegEnds_NonXtal_Prot#'!A:AL,34,FALSE)-VLOOKUP(A266,'SegEnds_NonXtal_Prot#'!A:AL,31,FALSE)</f>
        <v>45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NoXtal</v>
      </c>
    </row>
    <row r="267" spans="1:38" x14ac:dyDescent="0.2">
      <c r="A267" s="12" t="s">
        <v>175</v>
      </c>
      <c r="B267" s="12" t="str">
        <f>VLOOKUP(A267,Xtal_Templ!A:B,2,FALSE)</f>
        <v>ccr9_human</v>
      </c>
      <c r="C267" s="13">
        <f>VLOOKUP($B267&amp;"__wt",'SegEnds_Xtal_BW#'!$A:$Z,3,FALSE)</f>
        <v>27</v>
      </c>
      <c r="D267" s="12">
        <f>VLOOKUP($B267&amp;"__wt",'SegEnds_Xtal_BW#'!$A:$Z,4,FALSE)</f>
        <v>60</v>
      </c>
      <c r="E267" s="12">
        <f>VLOOKUP($B267&amp;"__wt",'SegEnds_Xtal_BW#'!$A:$Z,5,FALSE)</f>
        <v>48</v>
      </c>
      <c r="F267" s="12">
        <f>VLOOKUP($B267&amp;"__wt",'SegEnds_Xtal_BW#'!$A:$Z,6,FALSE)</f>
        <v>51</v>
      </c>
      <c r="G267" s="12">
        <v>37</v>
      </c>
      <c r="H267" s="12">
        <v>66</v>
      </c>
      <c r="I267" s="12">
        <f>VLOOKUP($B267&amp;"__wt",'SegEnds_Xtal_BW#'!$A:$Z,9,FALSE)</f>
        <v>49</v>
      </c>
      <c r="J267" s="12">
        <f>VLOOKUP($B267&amp;"__wt",'SegEnds_Xtal_BW#'!$A:$Z,10,FALSE)</f>
        <v>52</v>
      </c>
      <c r="K267" s="12">
        <v>24</v>
      </c>
      <c r="L267" s="12">
        <f>VLOOKUP($B267&amp;"__wt",'SegEnds_Xtal_BW#'!$A:$Z,12,FALSE)</f>
        <v>56</v>
      </c>
      <c r="M267" s="12">
        <f>VLOOKUP($B267&amp;"__wt",'SegEnds_Xtal_BW#'!$A:$Z,13,FALSE)</f>
        <v>50</v>
      </c>
      <c r="N267" s="12">
        <v>58</v>
      </c>
      <c r="O267" s="87">
        <v>38</v>
      </c>
      <c r="P267" s="12">
        <f>VLOOKUP($B267&amp;"__wt",'SegEnds_Xtal_BW#'!$A:$Z,16,FALSE)</f>
        <v>64</v>
      </c>
      <c r="Q267" s="12">
        <f>VLOOKUP($B267&amp;"__wt",'SegEnds_Xtal_BW#'!$A:$Z,17,FALSE)</f>
        <v>50</v>
      </c>
      <c r="R267" s="12">
        <f>VLOOKUP($B267&amp;"__wt",'SegEnds_Xtal_BW#'!$A:$Z,18,FALSE)</f>
        <v>52</v>
      </c>
      <c r="S267" s="12">
        <f>VLOOKUP($B267&amp;"__wt",'SegEnds_Xtal_BW#'!$A:$Z,19,FALSE)</f>
        <v>33</v>
      </c>
      <c r="T267" s="12">
        <f t="array" ref="T267">INDEX(ICL3_classA!$G$2:$G$37,MATCH(MIN(ABS(AI267-ICL3_classA!$F$2:$F$37)),ABS(AI267-ICL3_classA!$F$2:$F$37),0))</f>
        <v>68</v>
      </c>
      <c r="U267" s="12">
        <f t="array" ref="U267">INDEX(ICL3_classA!$H$2:$H$37,MATCH(MIN(ABS(AI267-ICL3_classA!$F$2:$F$37)),ABS(AI267-ICL3_classA!$F$2:$F$37),0))</f>
        <v>30</v>
      </c>
      <c r="V267" s="12">
        <v>65</v>
      </c>
      <c r="W267" s="12">
        <v>24</v>
      </c>
      <c r="X267" s="12">
        <f>VLOOKUP($B267&amp;"__wt",'SegEnds_Xtal_BW#'!$A:$Z,24,FALSE)</f>
        <v>56</v>
      </c>
      <c r="Y267" s="12">
        <f>VLOOKUP($B267&amp;"__wt",'SegEnds_Xtal_BW#'!$A:$Z,25,FALSE)</f>
        <v>47</v>
      </c>
      <c r="Z267" s="12">
        <f>VLOOKUP($B267&amp;"__wt",'SegEnds_Xtal_BW#'!$A:$Z,26,FALSE)</f>
        <v>67</v>
      </c>
      <c r="AA267" s="36" t="str">
        <f>VLOOKUP(A267,Classification!A:B,2,FALSE)</f>
        <v>A</v>
      </c>
      <c r="AB267" s="1">
        <f>VLOOKUP(A267,'SegEnds_NonXtal_Prot#'!A:AL,10,FALSE)-VLOOKUP(A267,'SegEnds_NonXtal_Prot#'!A:AL,4,FALSE)</f>
        <v>28</v>
      </c>
      <c r="AC267" s="12">
        <f>VLOOKUP(A267,'SegEnds_NonXtal_Prot#'!A:AL,10,FALSE)-VLOOKUP(A267,'SegEnds_NonXtal_Prot#'!A:AL,7,FALSE)</f>
        <v>15</v>
      </c>
      <c r="AD267" s="12">
        <f>VLOOKUP(A267,'SegEnds_NonXtal_Prot#'!A:AL,13,FALSE)-VLOOKUP(A267,'SegEnds_NonXtal_Prot#'!A:AL,10,FALSE)</f>
        <v>18</v>
      </c>
      <c r="AE267" s="12">
        <f>VLOOKUP(A267,'SegEnds_NonXtal_Prot#'!A:AL,16,FALSE)-VLOOKUP(A267,'SegEnds_NonXtal_Prot#'!A:AL,10,FALSE)</f>
        <v>50</v>
      </c>
      <c r="AF267" s="1">
        <f>VLOOKUP(A267,'SegEnds_NonXtal_Prot#'!A:AL,22,FALSE)-VLOOKUP(A267,'SegEnds_NonXtal_Prot#'!A:AL,19,FALSE)</f>
        <v>22</v>
      </c>
      <c r="AG267" s="12">
        <f>VLOOKUP(A267,'SegEnds_NonXtal_Prot#'!A:AL,28,FALSE)-VLOOKUP(A267,'SegEnds_NonXtal_Prot#'!A:AL,25,FALSE)</f>
        <v>25</v>
      </c>
      <c r="AH267" s="1">
        <f>VLOOKUP(A267,'SegEnds_NonXtal_Prot#'!A:AL,28,FALSE)-VLOOKUP(A267,'SegEnds_NonXtal_Prot#'!A:AL,22,FALSE)</f>
        <v>52</v>
      </c>
      <c r="AI267" s="12">
        <f>VLOOKUP(A267,'SegEnds_NonXtal_Prot#'!A:AL,31,FALSE)-VLOOKUP(A267,'SegEnds_NonXtal_Prot#'!A:AL,28,FALSE)</f>
        <v>43</v>
      </c>
      <c r="AJ267" s="12">
        <f>VLOOKUP(A267,'SegEnds_NonXtal_Prot#'!A:AL,34,FALSE)-VLOOKUP(A267,'SegEnds_NonXtal_Prot#'!A:AL,31,FALSE)</f>
        <v>45</v>
      </c>
      <c r="AK267" s="1">
        <f>VLOOKUP(A267,'SegEnds_NonXtal_Prot#'!A:AL,37,FALSE)-VLOOKUP(A267,'SegEnds_NonXtal_Prot#'!A:AL,34,FALSE)</f>
        <v>10</v>
      </c>
      <c r="AL267" s="12" t="str">
        <f>IF(ISERROR(MATCH(A267,'SegEnds_Xtal_Prot#'!B:B, 0)), "NoXtal", "Xtal")</f>
        <v>NoXtal</v>
      </c>
    </row>
    <row r="268" spans="1:38" x14ac:dyDescent="0.2">
      <c r="A268" s="12" t="s">
        <v>177</v>
      </c>
      <c r="B268" s="12" t="str">
        <f>VLOOKUP(A268,Xtal_Templ!A:B,2,FALSE)</f>
        <v>ccr9_human</v>
      </c>
      <c r="C268" s="13">
        <f>VLOOKUP($B268&amp;"__wt",'SegEnds_Xtal_BW#'!$A:$Z,3,FALSE)</f>
        <v>27</v>
      </c>
      <c r="D268" s="12">
        <f>VLOOKUP($B268&amp;"__wt",'SegEnds_Xtal_BW#'!$A:$Z,4,FALSE)</f>
        <v>60</v>
      </c>
      <c r="E268" s="12">
        <f>VLOOKUP($B268&amp;"__wt",'SegEnds_Xtal_BW#'!$A:$Z,5,FALSE)</f>
        <v>48</v>
      </c>
      <c r="F268" s="12">
        <f>VLOOKUP($B268&amp;"__wt",'SegEnds_Xtal_BW#'!$A:$Z,6,FALSE)</f>
        <v>51</v>
      </c>
      <c r="G268" s="12">
        <v>37</v>
      </c>
      <c r="H268" s="12">
        <v>66</v>
      </c>
      <c r="I268" s="12">
        <f>VLOOKUP($B268&amp;"__wt",'SegEnds_Xtal_BW#'!$A:$Z,9,FALSE)</f>
        <v>49</v>
      </c>
      <c r="J268" s="12">
        <f>VLOOKUP($B268&amp;"__wt",'SegEnds_Xtal_BW#'!$A:$Z,10,FALSE)</f>
        <v>52</v>
      </c>
      <c r="K268" s="12">
        <v>24</v>
      </c>
      <c r="L268" s="12">
        <f>VLOOKUP($B268&amp;"__wt",'SegEnds_Xtal_BW#'!$A:$Z,12,FALSE)</f>
        <v>56</v>
      </c>
      <c r="M268" s="12">
        <f>VLOOKUP($B268&amp;"__wt",'SegEnds_Xtal_BW#'!$A:$Z,13,FALSE)</f>
        <v>50</v>
      </c>
      <c r="N268" s="12">
        <f>VLOOKUP($B268&amp;"__wt",'SegEnds_Xtal_BW#'!$A:$Z,14,FALSE)</f>
        <v>56</v>
      </c>
      <c r="O268" s="87">
        <f>VLOOKUP($B268&amp;"__wt",'SegEnds_Xtal_BW#'!$A:$Z,15,FALSE)</f>
        <v>35</v>
      </c>
      <c r="P268" s="12">
        <f>VLOOKUP($B268&amp;"__wt",'SegEnds_Xtal_BW#'!$A:$Z,16,FALSE)</f>
        <v>64</v>
      </c>
      <c r="Q268" s="12">
        <f>VLOOKUP($B268&amp;"__wt",'SegEnds_Xtal_BW#'!$A:$Z,17,FALSE)</f>
        <v>50</v>
      </c>
      <c r="R268" s="12">
        <f>VLOOKUP($B268&amp;"__wt",'SegEnds_Xtal_BW#'!$A:$Z,18,FALSE)</f>
        <v>52</v>
      </c>
      <c r="S268" s="12">
        <f>VLOOKUP($B268&amp;"__wt",'SegEnds_Xtal_BW#'!$A:$Z,19,FALSE)</f>
        <v>33</v>
      </c>
      <c r="T268" s="12">
        <f t="array" ref="T268">INDEX(ICL3_classA!$G$2:$G$37,MATCH(MIN(ABS(AI268-ICL3_classA!$F$2:$F$37)),ABS(AI268-ICL3_classA!$F$2:$F$37),0))</f>
        <v>68</v>
      </c>
      <c r="U268" s="12">
        <f t="array" ref="U268">INDEX(ICL3_classA!$H$2:$H$37,MATCH(MIN(ABS(AI268-ICL3_classA!$F$2:$F$37)),ABS(AI268-ICL3_classA!$F$2:$F$37),0))</f>
        <v>30</v>
      </c>
      <c r="V268" s="12">
        <v>65</v>
      </c>
      <c r="W268" s="12">
        <v>24</v>
      </c>
      <c r="X268" s="12">
        <f>VLOOKUP($B268&amp;"__wt",'SegEnds_Xtal_BW#'!$A:$Z,24,FALSE)</f>
        <v>56</v>
      </c>
      <c r="Y268" s="12">
        <f>VLOOKUP($B268&amp;"__wt",'SegEnds_Xtal_BW#'!$A:$Z,25,FALSE)</f>
        <v>47</v>
      </c>
      <c r="Z268" s="12">
        <f>VLOOKUP($B268&amp;"__wt",'SegEnds_Xtal_BW#'!$A:$Z,26,FALSE)</f>
        <v>67</v>
      </c>
      <c r="AA268" s="36" t="str">
        <f>VLOOKUP(A268,Classification!A:B,2,FALSE)</f>
        <v>A</v>
      </c>
      <c r="AB268" s="1">
        <f>VLOOKUP(A268,'SegEnds_NonXtal_Prot#'!A:AL,10,FALSE)-VLOOKUP(A268,'SegEnds_NonXtal_Prot#'!A:AL,4,FALSE)</f>
        <v>28</v>
      </c>
      <c r="AC268" s="12">
        <f>VLOOKUP(A268,'SegEnds_NonXtal_Prot#'!A:AL,10,FALSE)-VLOOKUP(A268,'SegEnds_NonXtal_Prot#'!A:AL,7,FALSE)</f>
        <v>15</v>
      </c>
      <c r="AD268" s="12">
        <f>VLOOKUP(A268,'SegEnds_NonXtal_Prot#'!A:AL,13,FALSE)-VLOOKUP(A268,'SegEnds_NonXtal_Prot#'!A:AL,10,FALSE)</f>
        <v>18</v>
      </c>
      <c r="AE268" s="12">
        <f>VLOOKUP(A268,'SegEnds_NonXtal_Prot#'!A:AL,16,FALSE)-VLOOKUP(A268,'SegEnds_NonXtal_Prot#'!A:AL,10,FALSE)</f>
        <v>50</v>
      </c>
      <c r="AF268" s="1">
        <f>VLOOKUP(A268,'SegEnds_NonXtal_Prot#'!A:AL,22,FALSE)-VLOOKUP(A268,'SegEnds_NonXtal_Prot#'!A:AL,19,FALSE)</f>
        <v>22</v>
      </c>
      <c r="AG268" s="12">
        <f>VLOOKUP(A268,'SegEnds_NonXtal_Prot#'!A:AL,28,FALSE)-VLOOKUP(A268,'SegEnds_NonXtal_Prot#'!A:AL,25,FALSE)</f>
        <v>28</v>
      </c>
      <c r="AH268" s="1">
        <f>VLOOKUP(A268,'SegEnds_NonXtal_Prot#'!A:AL,28,FALSE)-VLOOKUP(A268,'SegEnds_NonXtal_Prot#'!A:AL,22,FALSE)</f>
        <v>53</v>
      </c>
      <c r="AI268" s="12">
        <f>VLOOKUP(A268,'SegEnds_NonXtal_Prot#'!A:AL,31,FALSE)-VLOOKUP(A268,'SegEnds_NonXtal_Prot#'!A:AL,28,FALSE)</f>
        <v>43</v>
      </c>
      <c r="AJ268" s="12">
        <f>VLOOKUP(A268,'SegEnds_NonXtal_Prot#'!A:AL,34,FALSE)-VLOOKUP(A268,'SegEnds_NonXtal_Prot#'!A:AL,31,FALSE)</f>
        <v>45</v>
      </c>
      <c r="AK268" s="1">
        <f>VLOOKUP(A268,'SegEnds_NonXtal_Prot#'!A:AL,37,FALSE)-VLOOKUP(A268,'SegEnds_NonXtal_Prot#'!A:AL,34,FALSE)</f>
        <v>10</v>
      </c>
      <c r="AL268" s="12" t="str">
        <f>IF(ISERROR(MATCH(A268,'SegEnds_Xtal_Prot#'!B:B, 0)), "NoXtal", "Xtal")</f>
        <v>Xtal</v>
      </c>
    </row>
    <row r="269" spans="1:38" x14ac:dyDescent="0.2">
      <c r="A269" s="1" t="s">
        <v>185</v>
      </c>
      <c r="B269" s="1" t="str">
        <f>VLOOKUP(A269,Xtal_Templ!A:B,2,FALSE)</f>
        <v>ccr2_human</v>
      </c>
      <c r="C269" s="5">
        <f>VLOOKUP($B269&amp;"__wt",'SegEnds_Xtal_BW#'!$A:$Z,3,FALSE)</f>
        <v>27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v>66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24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08">
        <v>56</v>
      </c>
      <c r="O269" s="87">
        <f>VLOOKUP($B269&amp;"__wt",'SegEnds_Xtal_BW#'!$A:$Z,15,FALSE)</f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31</v>
      </c>
      <c r="T269" s="1">
        <f t="array" ref="T269">INDEX(ICL3_classA!$G$2:$G$37,MATCH(MIN(ABS(AI269-ICL3_classA!$F$2:$F$37)),ABS(AI269-ICL3_classA!$F$2:$F$37),0))</f>
        <v>68</v>
      </c>
      <c r="U269" s="1">
        <f t="array" ref="U269">INDEX(ICL3_classA!$H$2:$H$37,MATCH(MIN(ABS(AI269-ICL3_classA!$F$2:$F$37)),ABS(AI269-ICL3_classA!$F$2:$F$37),0))</f>
        <v>30</v>
      </c>
      <c r="V269" s="1">
        <v>64</v>
      </c>
      <c r="W269" s="1">
        <v>24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58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28</v>
      </c>
      <c r="AC269" s="1">
        <f>VLOOKUP(A269,'SegEnds_NonXtal_Prot#'!A:AL,10,FALSE)-VLOOKUP(A269,'SegEnds_NonXtal_Prot#'!A:AL,7,FALSE)</f>
        <v>15</v>
      </c>
      <c r="AD269" s="1">
        <f>VLOOKUP(A269,'SegEnds_NonXtal_Prot#'!A:AL,13,FALSE)-VLOOKUP(A269,'SegEnds_NonXtal_Prot#'!A:AL,10,FALSE)</f>
        <v>18</v>
      </c>
      <c r="AE269" s="1">
        <f>VLOOKUP(A269,'SegEnds_NonXtal_Prot#'!A:AL,16,FALSE)-VLOOKUP(A269,'SegEnds_NonXtal_Prot#'!A:AL,10,FALSE)</f>
        <v>50</v>
      </c>
      <c r="AF269" s="1">
        <f>VLOOKUP(A269,'SegEnds_NonXtal_Prot#'!A:AL,22,FALSE)-VLOOKUP(A269,'SegEnds_NonXtal_Prot#'!A:AL,19,FALSE)</f>
        <v>19</v>
      </c>
      <c r="AG269" s="1">
        <f>VLOOKUP(A269,'SegEnds_NonXtal_Prot#'!A:AL,28,FALSE)-VLOOKUP(A269,'SegEnds_NonXtal_Prot#'!A:AL,25,FALSE)</f>
        <v>27</v>
      </c>
      <c r="AH269" s="1">
        <f>VLOOKUP(A269,'SegEnds_NonXtal_Prot#'!A:AL,28,FALSE)-VLOOKUP(A269,'SegEnds_NonXtal_Prot#'!A:AL,22,FALSE)</f>
        <v>53</v>
      </c>
      <c r="AI269" s="1">
        <f>VLOOKUP(A269,'SegEnds_NonXtal_Prot#'!A:AL,31,FALSE)-VLOOKUP(A269,'SegEnds_NonXtal_Prot#'!A:AL,28,FALSE)</f>
        <v>43</v>
      </c>
      <c r="AJ269" s="1">
        <f>VLOOKUP(A269,'SegEnds_NonXtal_Prot#'!A:AL,34,FALSE)-VLOOKUP(A269,'SegEnds_NonXtal_Prot#'!A:AL,31,FALSE)</f>
        <v>45</v>
      </c>
      <c r="AK269" s="1">
        <f>VLOOKUP(A269,'SegEnds_NonXtal_Prot#'!A:AL,37,FALSE)-VLOOKUP(A269,'SegEnds_NonXtal_Prot#'!A:AL,34,FALSE)</f>
        <v>10</v>
      </c>
      <c r="AL269" s="1" t="str">
        <f>IF(ISERROR(MATCH(A269,'SegEnds_Xtal_Prot#'!B:B, 0)), "NoXtal", "Xtal")</f>
        <v>NoXtal</v>
      </c>
    </row>
    <row r="270" spans="1:38" x14ac:dyDescent="0.2">
      <c r="A270" s="1" t="s">
        <v>186</v>
      </c>
      <c r="B270" s="1" t="str">
        <f>VLOOKUP(A270,Xtal_Templ!A:B,2,FALSE)</f>
        <v>ccr9_human</v>
      </c>
      <c r="C270" s="5">
        <f>VLOOKUP($B270&amp;"__wt",'SegEnds_Xtal_BW#'!$A:$Z,3,FALSE)</f>
        <v>27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24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08">
        <v>56</v>
      </c>
      <c r="O270" s="108"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33</v>
      </c>
      <c r="T270" s="1">
        <f t="array" ref="T270">INDEX(ICL3_classA!$G$2:$G$37,MATCH(MIN(ABS(AI270-ICL3_classA!$F$2:$F$37)),ABS(AI270-ICL3_classA!$F$2:$F$37),0))</f>
        <v>68</v>
      </c>
      <c r="U270" s="1">
        <f t="array" ref="U270">INDEX(ICL3_classA!$H$2:$H$37,MATCH(MIN(ABS(AI270-ICL3_classA!$F$2:$F$37)),ABS(AI270-ICL3_classA!$F$2:$F$37),0))</f>
        <v>30</v>
      </c>
      <c r="V270" s="1">
        <v>64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67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28</v>
      </c>
      <c r="AC270" s="1">
        <f>VLOOKUP(A270,'SegEnds_NonXtal_Prot#'!A:AL,10,FALSE)-VLOOKUP(A270,'SegEnds_NonXtal_Prot#'!A:AL,7,FALSE)</f>
        <v>15</v>
      </c>
      <c r="AD270" s="1">
        <f>VLOOKUP(A270,'SegEnds_NonXtal_Prot#'!A:AL,13,FALSE)-VLOOKUP(A270,'SegEnds_NonXtal_Prot#'!A:AL,10,FALSE)</f>
        <v>18</v>
      </c>
      <c r="AE270" s="1">
        <f>VLOOKUP(A270,'SegEnds_NonXtal_Prot#'!A:AL,16,FALSE)-VLOOKUP(A270,'SegEnds_NonXtal_Prot#'!A:AL,10,FALSE)</f>
        <v>50</v>
      </c>
      <c r="AF270" s="1">
        <f>VLOOKUP(A270,'SegEnds_NonXtal_Prot#'!A:AL,22,FALSE)-VLOOKUP(A270,'SegEnds_NonXtal_Prot#'!A:AL,19,FALSE)</f>
        <v>19</v>
      </c>
      <c r="AG270" s="1">
        <f>VLOOKUP(A270,'SegEnds_NonXtal_Prot#'!A:AL,28,FALSE)-VLOOKUP(A270,'SegEnds_NonXtal_Prot#'!A:AL,25,FALSE)</f>
        <v>27</v>
      </c>
      <c r="AH270" s="1">
        <f>VLOOKUP(A270,'SegEnds_NonXtal_Prot#'!A:AL,28,FALSE)-VLOOKUP(A270,'SegEnds_NonXtal_Prot#'!A:AL,22,FALSE)</f>
        <v>53</v>
      </c>
      <c r="AI270" s="1">
        <f>VLOOKUP(A270,'SegEnds_NonXtal_Prot#'!A:AL,31,FALSE)-VLOOKUP(A270,'SegEnds_NonXtal_Prot#'!A:AL,28,FALSE)</f>
        <v>43</v>
      </c>
      <c r="AJ270" s="1">
        <f>VLOOKUP(A270,'SegEnds_NonXtal_Prot#'!A:AL,34,FALSE)-VLOOKUP(A270,'SegEnds_NonXtal_Prot#'!A:AL,31,FALSE)</f>
        <v>45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NoXtal</v>
      </c>
    </row>
    <row r="271" spans="1:38" x14ac:dyDescent="0.2">
      <c r="A271" s="1" t="s">
        <v>187</v>
      </c>
      <c r="B271" s="1" t="str">
        <f>VLOOKUP(A271,Xtal_Templ!A:B,2,FALSE)</f>
        <v>cxcr4_human</v>
      </c>
      <c r="C271" s="5">
        <f>VLOOKUP($B271&amp;"__wt",'SegEnds_Xtal_BW#'!$A:$Z,3,FALSE)</f>
        <v>24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v>66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24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7"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32</v>
      </c>
      <c r="T271" s="1">
        <f t="array" ref="T271">INDEX(ICL3_classA!$G$2:$G$37,MATCH(MIN(ABS(AI271-ICL3_classA!$F$2:$F$37)),ABS(AI271-ICL3_classA!$F$2:$F$37),0))</f>
        <v>68</v>
      </c>
      <c r="U271" s="1">
        <f t="array" ref="U271">INDEX(ICL3_classA!$H$2:$H$37,MATCH(MIN(ABS(AI271-ICL3_classA!$F$2:$F$37)),ABS(AI271-ICL3_classA!$F$2:$F$37),0))</f>
        <v>30</v>
      </c>
      <c r="V271" s="1">
        <v>64</v>
      </c>
      <c r="W271" s="1">
        <v>24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59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28</v>
      </c>
      <c r="AC271" s="1">
        <f>VLOOKUP(A271,'SegEnds_NonXtal_Prot#'!A:AL,10,FALSE)-VLOOKUP(A271,'SegEnds_NonXtal_Prot#'!A:AL,7,FALSE)</f>
        <v>15</v>
      </c>
      <c r="AD271" s="1">
        <f>VLOOKUP(A271,'SegEnds_NonXtal_Prot#'!A:AL,13,FALSE)-VLOOKUP(A271,'SegEnds_NonXtal_Prot#'!A:AL,10,FALSE)</f>
        <v>18</v>
      </c>
      <c r="AE271" s="1">
        <f>VLOOKUP(A271,'SegEnds_NonXtal_Prot#'!A:AL,16,FALSE)-VLOOKUP(A271,'SegEnds_NonXtal_Prot#'!A:AL,10,FALSE)</f>
        <v>50</v>
      </c>
      <c r="AF271" s="1">
        <f>VLOOKUP(A271,'SegEnds_NonXtal_Prot#'!A:AL,22,FALSE)-VLOOKUP(A271,'SegEnds_NonXtal_Prot#'!A:AL,19,FALSE)</f>
        <v>20</v>
      </c>
      <c r="AG271" s="1">
        <f>VLOOKUP(A271,'SegEnds_NonXtal_Prot#'!A:AL,28,FALSE)-VLOOKUP(A271,'SegEnds_NonXtal_Prot#'!A:AL,25,FALSE)</f>
        <v>24</v>
      </c>
      <c r="AH271" s="1">
        <f>VLOOKUP(A271,'SegEnds_NonXtal_Prot#'!A:AL,28,FALSE)-VLOOKUP(A271,'SegEnds_NonXtal_Prot#'!A:AL,22,FALSE)</f>
        <v>51</v>
      </c>
      <c r="AI271" s="1">
        <f>VLOOKUP(A271,'SegEnds_NonXtal_Prot#'!A:AL,31,FALSE)-VLOOKUP(A271,'SegEnds_NonXtal_Prot#'!A:AL,28,FALSE)</f>
        <v>43</v>
      </c>
      <c r="AJ271" s="1">
        <f>VLOOKUP(A271,'SegEnds_NonXtal_Prot#'!A:AL,34,FALSE)-VLOOKUP(A271,'SegEnds_NonXtal_Prot#'!A:AL,31,FALSE)</f>
        <v>45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NoXtal</v>
      </c>
    </row>
    <row r="272" spans="1:38" x14ac:dyDescent="0.2">
      <c r="A272" s="1" t="s">
        <v>1172</v>
      </c>
      <c r="B272" s="1" t="str">
        <f>VLOOKUP(A272,Xtal_Templ!A:B,2,FALSE)</f>
        <v>cxcr4_human</v>
      </c>
      <c r="C272" s="5">
        <f>VLOOKUP($B272&amp;"__wt",'SegEnds_Xtal_BW#'!$A:$Z,3,FALSE)</f>
        <v>24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v>66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24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f>VLOOKUP($B272&amp;"__wt",'SegEnds_Xtal_BW#'!$A:$Z,14,FALSE)</f>
        <v>57</v>
      </c>
      <c r="O272" s="87">
        <f>VLOOKUP($B272&amp;"__wt",'SegEnds_Xtal_BW#'!$A:$Z,15,FALSE)</f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32</v>
      </c>
      <c r="T272" s="1">
        <f t="array" ref="T272">INDEX(ICL3_classA!$G$2:$G$37,MATCH(MIN(ABS(AI272-ICL3_classA!$F$2:$F$37)),ABS(AI272-ICL3_classA!$F$2:$F$37),0))</f>
        <v>68</v>
      </c>
      <c r="U272" s="1">
        <f t="array" ref="U272">INDEX(ICL3_classA!$H$2:$H$37,MATCH(MIN(ABS(AI272-ICL3_classA!$F$2:$F$37)),ABS(AI272-ICL3_classA!$F$2:$F$37),0))</f>
        <v>30</v>
      </c>
      <c r="V272" s="1">
        <v>64</v>
      </c>
      <c r="W272" s="1">
        <v>24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59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28</v>
      </c>
      <c r="AC272" s="1">
        <f>VLOOKUP(A272,'SegEnds_NonXtal_Prot#'!A:AL,10,FALSE)-VLOOKUP(A272,'SegEnds_NonXtal_Prot#'!A:AL,7,FALSE)</f>
        <v>15</v>
      </c>
      <c r="AD272" s="1">
        <f>VLOOKUP(A272,'SegEnds_NonXtal_Prot#'!A:AL,13,FALSE)-VLOOKUP(A272,'SegEnds_NonXtal_Prot#'!A:AL,10,FALSE)</f>
        <v>18</v>
      </c>
      <c r="AE272" s="1">
        <f>VLOOKUP(A272,'SegEnds_NonXtal_Prot#'!A:AL,16,FALSE)-VLOOKUP(A272,'SegEnds_NonXtal_Prot#'!A:AL,10,FALSE)</f>
        <v>50</v>
      </c>
      <c r="AF272" s="1">
        <f>VLOOKUP(A272,'SegEnds_NonXtal_Prot#'!A:AL,22,FALSE)-VLOOKUP(A272,'SegEnds_NonXtal_Prot#'!A:AL,19,FALSE)</f>
        <v>20</v>
      </c>
      <c r="AG272" s="1">
        <f>VLOOKUP(A272,'SegEnds_NonXtal_Prot#'!A:AL,28,FALSE)-VLOOKUP(A272,'SegEnds_NonXtal_Prot#'!A:AL,25,FALSE)</f>
        <v>25</v>
      </c>
      <c r="AH272" s="1">
        <f>VLOOKUP(A272,'SegEnds_NonXtal_Prot#'!A:AL,28,FALSE)-VLOOKUP(A272,'SegEnds_NonXtal_Prot#'!A:AL,22,FALSE)</f>
        <v>50</v>
      </c>
      <c r="AI272" s="1">
        <f>VLOOKUP(A272,'SegEnds_NonXtal_Prot#'!A:AL,31,FALSE)-VLOOKUP(A272,'SegEnds_NonXtal_Prot#'!A:AL,28,FALSE)</f>
        <v>43</v>
      </c>
      <c r="AJ272" s="1">
        <f>VLOOKUP(A272,'SegEnds_NonXtal_Prot#'!A:AL,34,FALSE)-VLOOKUP(A272,'SegEnds_NonXtal_Prot#'!A:AL,31,FALSE)</f>
        <v>45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Xtal</v>
      </c>
    </row>
    <row r="273" spans="1:38" x14ac:dyDescent="0.2">
      <c r="A273" s="1" t="s">
        <v>188</v>
      </c>
      <c r="B273" s="1" t="str">
        <f>VLOOKUP(A273,Xtal_Templ!A:B,2,FALSE)</f>
        <v>cxcr4_human</v>
      </c>
      <c r="C273" s="5">
        <f>VLOOKUP($B273&amp;"__wt",'SegEnds_Xtal_BW#'!$A:$Z,3,FALSE)</f>
        <v>24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v>66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24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57</v>
      </c>
      <c r="O273" s="87"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32</v>
      </c>
      <c r="T273" s="1">
        <f t="array" ref="T273">INDEX(ICL3_classA!$G$2:$G$37,MATCH(MIN(ABS(AI273-ICL3_classA!$F$2:$F$37)),ABS(AI273-ICL3_classA!$F$2:$F$37),0))</f>
        <v>68</v>
      </c>
      <c r="U273" s="1">
        <f t="array" ref="U273">INDEX(ICL3_classA!$H$2:$H$37,MATCH(MIN(ABS(AI273-ICL3_classA!$F$2:$F$37)),ABS(AI273-ICL3_classA!$F$2:$F$37),0))</f>
        <v>28</v>
      </c>
      <c r="V273" s="1">
        <v>64</v>
      </c>
      <c r="W273" s="1">
        <v>24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59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18</v>
      </c>
      <c r="AE273" s="1">
        <f>VLOOKUP(A273,'SegEnds_NonXtal_Prot#'!A:AL,16,FALSE)-VLOOKUP(A273,'SegEnds_NonXtal_Prot#'!A:AL,10,FALSE)</f>
        <v>50</v>
      </c>
      <c r="AF273" s="1">
        <f>VLOOKUP(A273,'SegEnds_NonXtal_Prot#'!A:AL,22,FALSE)-VLOOKUP(A273,'SegEnds_NonXtal_Prot#'!A:AL,19,FALSE)</f>
        <v>20</v>
      </c>
      <c r="AG273" s="1">
        <f>VLOOKUP(A273,'SegEnds_NonXtal_Prot#'!A:AL,28,FALSE)-VLOOKUP(A273,'SegEnds_NonXtal_Prot#'!A:AL,25,FALSE)</f>
        <v>28</v>
      </c>
      <c r="AH273" s="1">
        <f>VLOOKUP(A273,'SegEnds_NonXtal_Prot#'!A:AL,28,FALSE)-VLOOKUP(A273,'SegEnds_NonXtal_Prot#'!A:AL,22,FALSE)</f>
        <v>56</v>
      </c>
      <c r="AI273" s="1">
        <f>VLOOKUP(A273,'SegEnds_NonXtal_Prot#'!A:AL,31,FALSE)-VLOOKUP(A273,'SegEnds_NonXtal_Prot#'!A:AL,28,FALSE)</f>
        <v>44</v>
      </c>
      <c r="AJ273" s="1">
        <f>VLOOKUP(A273,'SegEnds_NonXtal_Prot#'!A:AL,34,FALSE)-VLOOKUP(A273,'SegEnds_NonXtal_Prot#'!A:AL,31,FALSE)</f>
        <v>45</v>
      </c>
      <c r="AK273" s="1">
        <f>VLOOKUP(A273,'SegEnds_NonXtal_Prot#'!A:AL,37,FALSE)-VLOOKUP(A273,'SegEnds_NonXtal_Prot#'!A:AL,34,FALSE)</f>
        <v>10</v>
      </c>
      <c r="AL273" s="1" t="str">
        <f>IF(ISERROR(MATCH(A273,'SegEnds_Xtal_Prot#'!B:B, 0)), "NoXtal", "Xtal")</f>
        <v>NoXtal</v>
      </c>
    </row>
    <row r="274" spans="1:38" x14ac:dyDescent="0.2">
      <c r="A274" s="1" t="s">
        <v>194</v>
      </c>
      <c r="B274" s="1" t="str">
        <f>VLOOKUP(A274,Xtal_Templ!A:B,2,FALSE)</f>
        <v>adrb2_human</v>
      </c>
      <c r="C274" s="5">
        <f>VLOOKUP($B274&amp;"__wt",'SegEnds_Xtal_BW#'!$A:$Z,3,FALSE)</f>
        <v>25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v>66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21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v>57</v>
      </c>
      <c r="O274" s="87"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v>35</v>
      </c>
      <c r="T274" s="1">
        <f t="array" ref="T274">INDEX(ICL3_classA!$G$2:$G$37,MATCH(MIN(ABS(AI274-ICL3_classA!$F$2:$F$37)),ABS(AI274-ICL3_classA!$F$2:$F$37),0))</f>
        <v>76</v>
      </c>
      <c r="U274" s="1">
        <f t="array" ref="U274">INDEX(ICL3_classA!$H$2:$H$37,MATCH(MIN(ABS(AI274-ICL3_classA!$F$2:$F$37)),ABS(AI274-ICL3_classA!$F$2:$F$37),0))</f>
        <v>24</v>
      </c>
      <c r="V274" s="1">
        <v>64</v>
      </c>
      <c r="W274" s="1">
        <v>24</v>
      </c>
      <c r="X274" s="126">
        <v>56</v>
      </c>
      <c r="Y274" s="1">
        <f>VLOOKUP($B274&amp;"__wt",'SegEnds_Xtal_BW#'!$A:$Z,25,FALSE)</f>
        <v>47</v>
      </c>
      <c r="Z274" s="1">
        <f>VLOOKUP($B274&amp;"__wt",'SegEnds_Xtal_BW#'!$A:$Z,26,FALSE)</f>
        <v>59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29</v>
      </c>
      <c r="AC274" s="1">
        <f>VLOOKUP(A274,'SegEnds_NonXtal_Prot#'!A:AL,10,FALSE)-VLOOKUP(A274,'SegEnds_NonXtal_Prot#'!A:AL,7,FALSE)</f>
        <v>16</v>
      </c>
      <c r="AD274" s="1">
        <f>VLOOKUP(A274,'SegEnds_NonXtal_Prot#'!A:AL,13,FALSE)-VLOOKUP(A274,'SegEnds_NonXtal_Prot#'!A:AL,10,FALSE)</f>
        <v>20</v>
      </c>
      <c r="AE274" s="1">
        <f>VLOOKUP(A274,'SegEnds_NonXtal_Prot#'!A:AL,16,FALSE)-VLOOKUP(A274,'SegEnds_NonXtal_Prot#'!A:AL,10,FALSE)</f>
        <v>51</v>
      </c>
      <c r="AF274" s="1">
        <f>VLOOKUP(A274,'SegEnds_NonXtal_Prot#'!A:AL,22,FALSE)-VLOOKUP(A274,'SegEnds_NonXtal_Prot#'!A:AL,19,FALSE)</f>
        <v>20</v>
      </c>
      <c r="AG274" s="1">
        <f>VLOOKUP(A274,'SegEnds_NonXtal_Prot#'!A:AL,28,FALSE)-VLOOKUP(A274,'SegEnds_NonXtal_Prot#'!A:AL,25,FALSE)</f>
        <v>20</v>
      </c>
      <c r="AH274" s="1">
        <f>VLOOKUP(A274,'SegEnds_NonXtal_Prot#'!A:AL,28,FALSE)-VLOOKUP(A274,'SegEnds_NonXtal_Prot#'!A:AL,22,FALSE)</f>
        <v>72</v>
      </c>
      <c r="AI274" s="1">
        <f>VLOOKUP(A274,'SegEnds_NonXtal_Prot#'!A:AL,31,FALSE)-VLOOKUP(A274,'SegEnds_NonXtal_Prot#'!A:AL,28,FALSE)</f>
        <v>74</v>
      </c>
      <c r="AJ274" s="1">
        <f>VLOOKUP(A274,'SegEnds_NonXtal_Prot#'!A:AL,34,FALSE)-VLOOKUP(A274,'SegEnds_NonXtal_Prot#'!A:AL,31,FALSE)</f>
        <v>45</v>
      </c>
      <c r="AK274" s="1">
        <f>VLOOKUP(A274,'SegEnds_NonXtal_Prot#'!A:AL,37,FALSE)-VLOOKUP(A274,'SegEnds_NonXtal_Prot#'!A:AL,34,FALSE)</f>
        <v>10</v>
      </c>
      <c r="AL274" s="1" t="str">
        <f>IF(ISERROR(MATCH(A274,'SegEnds_Xtal_Prot#'!B:B, 0)), "NoXtal", "Xtal")</f>
        <v>NoXtal</v>
      </c>
    </row>
    <row r="275" spans="1:38" s="12" customFormat="1" x14ac:dyDescent="0.2">
      <c r="A275" s="1" t="s">
        <v>195</v>
      </c>
      <c r="B275" s="1" t="str">
        <f>VLOOKUP(A275,Xtal_Templ!A:B,2,FALSE)</f>
        <v>ednrb_human</v>
      </c>
      <c r="C275" s="5">
        <f>VLOOKUP($B275&amp;"__wt",'SegEnds_Xtal_BW#'!$A:$Z,3,FALSE)</f>
        <v>22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52</v>
      </c>
      <c r="G275" s="1">
        <v>38</v>
      </c>
      <c r="H275" s="12">
        <v>67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9">
        <v>21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57</v>
      </c>
      <c r="O275" s="87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28</v>
      </c>
      <c r="T275" s="1">
        <f t="array" ref="T275">INDEX(ICL3_classA!$G$2:$G$37,MATCH(MIN(ABS(AI275-ICL3_classA!$F$2:$F$37)),ABS(AI275-ICL3_classA!$F$2:$F$37),0))</f>
        <v>72</v>
      </c>
      <c r="U275" s="1">
        <f t="array" ref="U275">INDEX(ICL3_classA!$H$2:$H$37,MATCH(MIN(ABS(AI275-ICL3_classA!$F$2:$F$37)),ABS(AI275-ICL3_classA!$F$2:$F$37),0))</f>
        <v>24</v>
      </c>
      <c r="V275" s="1">
        <v>62</v>
      </c>
      <c r="W275" s="1">
        <v>24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60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>
        <f>VLOOKUP(A275,'SegEnds_NonXtal_Prot#'!A:AL,10,FALSE)-VLOOKUP(A275,'SegEnds_NonXtal_Prot#'!A:AL,7,FALSE)</f>
        <v>15</v>
      </c>
      <c r="AD275" s="1">
        <f>VLOOKUP(A275,'SegEnds_NonXtal_Prot#'!A:AL,13,FALSE)-VLOOKUP(A275,'SegEnds_NonXtal_Prot#'!A:AL,10,FALSE)</f>
        <v>20</v>
      </c>
      <c r="AE275" s="1">
        <f>VLOOKUP(A275,'SegEnds_NonXtal_Prot#'!A:AL,16,FALSE)-VLOOKUP(A275,'SegEnds_NonXtal_Prot#'!A:AL,10,FALSE)</f>
        <v>57</v>
      </c>
      <c r="AF275" s="1">
        <f>VLOOKUP(A275,'SegEnds_NonXtal_Prot#'!A:AL,22,FALSE)-VLOOKUP(A275,'SegEnds_NonXtal_Prot#'!A:AL,19,FALSE)</f>
        <v>20</v>
      </c>
      <c r="AG275" s="1">
        <f>VLOOKUP(A275,'SegEnds_NonXtal_Prot#'!A:AL,28,FALSE)-VLOOKUP(A275,'SegEnds_NonXtal_Prot#'!A:AL,25,FALSE)</f>
        <v>28</v>
      </c>
      <c r="AH275" s="1">
        <f>VLOOKUP(A275,'SegEnds_NonXtal_Prot#'!A:AL,28,FALSE)-VLOOKUP(A275,'SegEnds_NonXtal_Prot#'!A:AL,22,FALSE)</f>
        <v>57</v>
      </c>
      <c r="AI275" s="1">
        <f>VLOOKUP(A275,'SegEnds_NonXtal_Prot#'!A:AL,31,FALSE)-VLOOKUP(A275,'SegEnds_NonXtal_Prot#'!A:AL,28,FALSE)</f>
        <v>54</v>
      </c>
      <c r="AJ275" s="1">
        <f>VLOOKUP(A275,'SegEnds_NonXtal_Prot#'!A:AL,34,FALSE)-VLOOKUP(A275,'SegEnds_NonXtal_Prot#'!A:AL,31,FALSE)</f>
        <v>45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s="12" customFormat="1" x14ac:dyDescent="0.2">
      <c r="A276" s="1" t="s">
        <v>196</v>
      </c>
      <c r="B276" s="1" t="str">
        <f>VLOOKUP(A276,Xtal_Templ!A:B,2,FALSE)</f>
        <v>ednrb_human</v>
      </c>
      <c r="C276" s="5">
        <f>VLOOKUP($B276&amp;"__wt",'SegEnds_Xtal_BW#'!$A:$Z,3,FALSE)</f>
        <v>22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52</v>
      </c>
      <c r="G276" s="1">
        <v>38</v>
      </c>
      <c r="H276" s="12">
        <f>VLOOKUP($B276&amp;"__wt",'SegEnds_Xtal_BW#'!$A:$Z,8,FALSE)</f>
        <v>67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21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f>VLOOKUP($B276&amp;"__wt",'SegEnds_Xtal_BW#'!$A:$Z,14,FALSE)</f>
        <v>57</v>
      </c>
      <c r="O276" s="87">
        <f>VLOOKUP($B276&amp;"__wt",'SegEnds_Xtal_BW#'!$A:$Z,15,FALSE)</f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28</v>
      </c>
      <c r="T276" s="1">
        <f t="array" ref="T276">INDEX(ICL3_classA!$G$2:$G$37,MATCH(MIN(ABS(AI276-ICL3_classA!$F$2:$F$37)),ABS(AI276-ICL3_classA!$F$2:$F$37),0))</f>
        <v>72</v>
      </c>
      <c r="U276" s="1">
        <f t="array" ref="U276">INDEX(ICL3_classA!$H$2:$H$37,MATCH(MIN(ABS(AI276-ICL3_classA!$F$2:$F$37)),ABS(AI276-ICL3_classA!$F$2:$F$37),0))</f>
        <v>24</v>
      </c>
      <c r="V276" s="1">
        <v>62</v>
      </c>
      <c r="W276" s="1">
        <v>24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60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28</v>
      </c>
      <c r="AC276" s="1">
        <f>VLOOKUP(A276,'SegEnds_NonXtal_Prot#'!A:AL,10,FALSE)-VLOOKUP(A276,'SegEnds_NonXtal_Prot#'!A:AL,7,FALSE)</f>
        <v>15</v>
      </c>
      <c r="AD276" s="1">
        <f>VLOOKUP(A276,'SegEnds_NonXtal_Prot#'!A:AL,13,FALSE)-VLOOKUP(A276,'SegEnds_NonXtal_Prot#'!A:AL,10,FALSE)</f>
        <v>20</v>
      </c>
      <c r="AE276" s="1">
        <f>VLOOKUP(A276,'SegEnds_NonXtal_Prot#'!A:AL,16,FALSE)-VLOOKUP(A276,'SegEnds_NonXtal_Prot#'!A:AL,10,FALSE)</f>
        <v>52</v>
      </c>
      <c r="AF276" s="1">
        <f>VLOOKUP(A276,'SegEnds_NonXtal_Prot#'!A:AL,22,FALSE)-VLOOKUP(A276,'SegEnds_NonXtal_Prot#'!A:AL,19,FALSE)</f>
        <v>20</v>
      </c>
      <c r="AG276" s="1">
        <f>VLOOKUP(A276,'SegEnds_NonXtal_Prot#'!A:AL,28,FALSE)-VLOOKUP(A276,'SegEnds_NonXtal_Prot#'!A:AL,25,FALSE)</f>
        <v>30</v>
      </c>
      <c r="AH276" s="1">
        <f>VLOOKUP(A276,'SegEnds_NonXtal_Prot#'!A:AL,28,FALSE)-VLOOKUP(A276,'SegEnds_NonXtal_Prot#'!A:AL,22,FALSE)</f>
        <v>59</v>
      </c>
      <c r="AI276" s="1">
        <f>VLOOKUP(A276,'SegEnds_NonXtal_Prot#'!A:AL,31,FALSE)-VLOOKUP(A276,'SegEnds_NonXtal_Prot#'!A:AL,28,FALSE)</f>
        <v>53</v>
      </c>
      <c r="AJ276" s="1">
        <f>VLOOKUP(A276,'SegEnds_NonXtal_Prot#'!A:AL,34,FALSE)-VLOOKUP(A276,'SegEnds_NonXtal_Prot#'!A:AL,31,FALSE)</f>
        <v>45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Xtal</v>
      </c>
    </row>
    <row r="277" spans="1:38" s="12" customFormat="1" x14ac:dyDescent="0.2">
      <c r="A277" s="1" t="s">
        <v>219</v>
      </c>
      <c r="B277" s="1" t="str">
        <f>VLOOKUP(A277,Xtal_Templ!A:B,2,FALSE)</f>
        <v>agtr1_human</v>
      </c>
      <c r="C277" s="5">
        <f>VLOOKUP($B277&amp;"__wt",'SegEnds_Xtal_BW#'!$A:$Z,3,FALSE)</f>
        <v>28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v>63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24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56</v>
      </c>
      <c r="O277" s="87"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34</v>
      </c>
      <c r="T277" s="1">
        <f t="array" ref="T277">INDEX(ICL3_classA!$G$2:$G$37,MATCH(MIN(ABS(AI277-ICL3_classA!$F$2:$F$37)),ABS(AI277-ICL3_classA!$F$2:$F$37),0))</f>
        <v>68</v>
      </c>
      <c r="U277" s="1">
        <f t="array" ref="U277">INDEX(ICL3_classA!$H$2:$H$37,MATCH(MIN(ABS(AI277-ICL3_classA!$F$2:$F$37)),ABS(AI277-ICL3_classA!$F$2:$F$37),0))</f>
        <v>24</v>
      </c>
      <c r="V277" s="1">
        <v>64</v>
      </c>
      <c r="W277" s="1">
        <v>24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61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33</v>
      </c>
      <c r="AC277" s="1" t="e">
        <f>VLOOKUP(A277,'SegEnds_NonXtal_Prot#'!A:AL,10,FALSE)-VLOOKUP(A277,'SegEnds_NonXtal_Prot#'!A:AL,7,FALSE)</f>
        <v>#VALUE!</v>
      </c>
      <c r="AD277" s="1">
        <f>VLOOKUP(A277,'SegEnds_NonXtal_Prot#'!A:AL,13,FALSE)-VLOOKUP(A277,'SegEnds_NonXtal_Prot#'!A:AL,10,FALSE)</f>
        <v>17</v>
      </c>
      <c r="AE277" s="1">
        <f>VLOOKUP(A277,'SegEnds_NonXtal_Prot#'!A:AL,16,FALSE)-VLOOKUP(A277,'SegEnds_NonXtal_Prot#'!A:AL,10,FALSE)</f>
        <v>49</v>
      </c>
      <c r="AF277" s="1" t="e">
        <f>VLOOKUP(A277,'SegEnds_NonXtal_Prot#'!A:AL,22,FALSE)-VLOOKUP(A277,'SegEnds_NonXtal_Prot#'!A:AL,19,FALSE)</f>
        <v>#VALUE!</v>
      </c>
      <c r="AG277" s="1" t="e">
        <f>VLOOKUP(A277,'SegEnds_NonXtal_Prot#'!A:AL,28,FALSE)-VLOOKUP(A277,'SegEnds_NonXtal_Prot#'!A:AL,25,FALSE)</f>
        <v>#VALUE!</v>
      </c>
      <c r="AH277" s="1">
        <f>VLOOKUP(A277,'SegEnds_NonXtal_Prot#'!A:AL,28,FALSE)-VLOOKUP(A277,'SegEnds_NonXtal_Prot#'!A:AL,22,FALSE)</f>
        <v>47</v>
      </c>
      <c r="AI277" s="1">
        <f>VLOOKUP(A277,'SegEnds_NonXtal_Prot#'!A:AL,31,FALSE)-VLOOKUP(A277,'SegEnds_NonXtal_Prot#'!A:AL,28,FALSE)</f>
        <v>49</v>
      </c>
      <c r="AJ277" s="1">
        <f>VLOOKUP(A277,'SegEnds_NonXtal_Prot#'!A:AL,34,FALSE)-VLOOKUP(A277,'SegEnds_NonXtal_Prot#'!A:AL,31,FALSE)</f>
        <v>45</v>
      </c>
      <c r="AK277" s="1">
        <f>VLOOKUP(A277,'SegEnds_NonXtal_Prot#'!A:AL,37,FALSE)-VLOOKUP(A277,'SegEnds_NonXtal_Prot#'!A:AL,34,FALSE)</f>
        <v>10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246</v>
      </c>
      <c r="B278" s="1" t="str">
        <f>VLOOKUP(A278,Xtal_Templ!A:B,2,FALSE)</f>
        <v>agtr1_human</v>
      </c>
      <c r="C278" s="5">
        <f>VLOOKUP($B278&amp;"__wt",'SegEnds_Xtal_BW#'!$A:$Z,3,FALSE)</f>
        <v>28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66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7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34</v>
      </c>
      <c r="T278" s="1">
        <f t="array" ref="T278">INDEX(ICL3_classA!$G$2:$G$37,MATCH(MIN(ABS(AI278-ICL3_classA!$F$2:$F$37)),ABS(AI278-ICL3_classA!$F$2:$F$37),0))</f>
        <v>67</v>
      </c>
      <c r="U278" s="1">
        <f t="array" ref="U278">INDEX(ICL3_classA!$H$2:$H$37,MATCH(MIN(ABS(AI278-ICL3_classA!$F$2:$F$37)),ABS(AI278-ICL3_classA!$F$2:$F$37),0))</f>
        <v>28</v>
      </c>
      <c r="V278" s="1">
        <v>64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61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28</v>
      </c>
      <c r="AC278" s="1">
        <f>VLOOKUP(A278,'SegEnds_NonXtal_Prot#'!A:AL,10,FALSE)-VLOOKUP(A278,'SegEnds_NonXtal_Prot#'!A:AL,7,FALSE)</f>
        <v>15</v>
      </c>
      <c r="AD278" s="1">
        <f>VLOOKUP(A278,'SegEnds_NonXtal_Prot#'!A:AL,13,FALSE)-VLOOKUP(A278,'SegEnds_NonXtal_Prot#'!A:AL,10,FALSE)</f>
        <v>20</v>
      </c>
      <c r="AE278" s="1">
        <f>VLOOKUP(A278,'SegEnds_NonXtal_Prot#'!A:AL,16,FALSE)-VLOOKUP(A278,'SegEnds_NonXtal_Prot#'!A:AL,10,FALSE)</f>
        <v>52</v>
      </c>
      <c r="AF278" s="1">
        <f>VLOOKUP(A278,'SegEnds_NonXtal_Prot#'!A:AL,22,FALSE)-VLOOKUP(A278,'SegEnds_NonXtal_Prot#'!A:AL,19,FALSE)</f>
        <v>20</v>
      </c>
      <c r="AG278" s="1">
        <f>VLOOKUP(A278,'SegEnds_NonXtal_Prot#'!A:AL,28,FALSE)-VLOOKUP(A278,'SegEnds_NonXtal_Prot#'!A:AL,25,FALSE)</f>
        <v>23</v>
      </c>
      <c r="AH278" s="1">
        <f>VLOOKUP(A278,'SegEnds_NonXtal_Prot#'!A:AL,28,FALSE)-VLOOKUP(A278,'SegEnds_NonXtal_Prot#'!A:AL,22,FALSE)</f>
        <v>50</v>
      </c>
      <c r="AI278" s="1">
        <f>VLOOKUP(A278,'SegEnds_NonXtal_Prot#'!A:AL,31,FALSE)-VLOOKUP(A278,'SegEnds_NonXtal_Prot#'!A:AL,28,FALSE)</f>
        <v>45</v>
      </c>
      <c r="AJ278" s="1">
        <f>VLOOKUP(A278,'SegEnds_NonXtal_Prot#'!A:AL,34,FALSE)-VLOOKUP(A278,'SegEnds_NonXtal_Prot#'!A:AL,31,FALSE)</f>
        <v>45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x14ac:dyDescent="0.2">
      <c r="A279" s="1" t="s">
        <v>276</v>
      </c>
      <c r="B279" s="1" t="str">
        <f>VLOOKUP(A279,Xtal_Templ!A:B,2,FALSE)</f>
        <v>oprk_human</v>
      </c>
      <c r="C279" s="5">
        <f>VLOOKUP($B279&amp;"__wt",'SegEnds_Xtal_BW#'!$A:$Z,3,FALSE)</f>
        <v>30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67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30</v>
      </c>
      <c r="T279" s="1">
        <f t="array" ref="T279">INDEX(ICL3_classA!$G$2:$G$37,MATCH(MIN(ABS(AI279-ICL3_classA!$F$2:$F$37)),ABS(AI279-ICL3_classA!$F$2:$F$37),0))</f>
        <v>67</v>
      </c>
      <c r="U279" s="1">
        <f t="array" ref="U279">INDEX(ICL3_classA!$H$2:$H$37,MATCH(MIN(ABS(AI279-ICL3_classA!$F$2:$F$37)),ABS(AI279-ICL3_classA!$F$2:$F$37),0))</f>
        <v>26</v>
      </c>
      <c r="V279" s="1">
        <v>64</v>
      </c>
      <c r="W279" s="1">
        <v>24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59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28</v>
      </c>
      <c r="AC279" s="1" t="e">
        <f>VLOOKUP(A279,'SegEnds_NonXtal_Prot#'!A:AL,10,FALSE)-VLOOKUP(A279,'SegEnds_NonXtal_Prot#'!A:AL,7,FALSE)</f>
        <v>#VALUE!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52</v>
      </c>
      <c r="AF279" s="1">
        <f>VLOOKUP(A279,'SegEnds_NonXtal_Prot#'!A:AL,22,FALSE)-VLOOKUP(A279,'SegEnds_NonXtal_Prot#'!A:AL,19,FALSE)</f>
        <v>20</v>
      </c>
      <c r="AG279" s="1">
        <f>VLOOKUP(A279,'SegEnds_NonXtal_Prot#'!A:AL,28,FALSE)-VLOOKUP(A279,'SegEnds_NonXtal_Prot#'!A:AL,25,FALSE)</f>
        <v>23</v>
      </c>
      <c r="AH279" s="1">
        <f>VLOOKUP(A279,'SegEnds_NonXtal_Prot#'!A:AL,28,FALSE)-VLOOKUP(A279,'SegEnds_NonXtal_Prot#'!A:AL,22,FALSE)</f>
        <v>48</v>
      </c>
      <c r="AI279" s="1">
        <f>VLOOKUP(A279,'SegEnds_NonXtal_Prot#'!A:AL,31,FALSE)-VLOOKUP(A279,'SegEnds_NonXtal_Prot#'!A:AL,28,FALSE)</f>
        <v>46</v>
      </c>
      <c r="AJ279" s="1">
        <f>VLOOKUP(A279,'SegEnds_NonXtal_Prot#'!A:AL,34,FALSE)-VLOOKUP(A279,'SegEnds_NonXtal_Prot#'!A:AL,31,FALSE)</f>
        <v>45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x14ac:dyDescent="0.2">
      <c r="A280" s="1" t="s">
        <v>277</v>
      </c>
      <c r="B280" s="1" t="str">
        <f>VLOOKUP(A280,Xtal_Templ!A:B,2,FALSE)</f>
        <v>p2ry1_human</v>
      </c>
      <c r="C280" s="5">
        <f>VLOOKUP($B280&amp;"__wt",'SegEnds_Xtal_BW#'!$A:$Z,3,FALSE)</f>
        <v>30</v>
      </c>
      <c r="D280" s="1">
        <f>VLOOKUP($B280&amp;"__wt",'SegEnds_Xtal_BW#'!$A:$Z,4,FALSE)</f>
        <v>60</v>
      </c>
      <c r="E280" s="1" t="str">
        <f>VLOOKUP($B280&amp;"__wt",'SegEnds_Xtal_BW#'!$A:$Z,5,FALSE)</f>
        <v>-</v>
      </c>
      <c r="F280" s="1" t="str">
        <f>VLOOKUP($B280&amp;"__wt",'SegEnds_Xtal_BW#'!$A:$Z,6,FALSE)</f>
        <v>-</v>
      </c>
      <c r="G280" s="1">
        <v>37</v>
      </c>
      <c r="H280" s="12">
        <f>VLOOKUP($B280&amp;"__wt",'SegEnds_Xtal_BW#'!$A:$Z,8,FALSE)</f>
        <v>66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7">
        <f>VLOOKUP($B280&amp;"__wt",'SegEnds_Xtal_BW#'!$A:$Z,15,FALSE)</f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32</v>
      </c>
      <c r="T280" s="1">
        <f t="array" ref="T280">INDEX(ICL3_classA!$G$2:$G$37,MATCH(MIN(ABS(AI280-ICL3_classA!$F$2:$F$37)),ABS(AI280-ICL3_classA!$F$2:$F$37),0))</f>
        <v>67</v>
      </c>
      <c r="U280" s="1">
        <f t="array" ref="U280">INDEX(ICL3_classA!$H$2:$H$37,MATCH(MIN(ABS(AI280-ICL3_classA!$F$2:$F$37)),ABS(AI280-ICL3_classA!$F$2:$F$37),0))</f>
        <v>26</v>
      </c>
      <c r="V280" s="1">
        <v>64</v>
      </c>
      <c r="W280" s="1">
        <v>24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59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28</v>
      </c>
      <c r="AC280" s="1" t="e">
        <f>VLOOKUP(A280,'SegEnds_NonXtal_Prot#'!A:AL,10,FALSE)-VLOOKUP(A280,'SegEnds_NonXtal_Prot#'!A:AL,7,FALSE)</f>
        <v>#VALUE!</v>
      </c>
      <c r="AD280" s="1">
        <f>VLOOKUP(A280,'SegEnds_NonXtal_Prot#'!A:AL,13,FALSE)-VLOOKUP(A280,'SegEnds_NonXtal_Prot#'!A:AL,10,FALSE)</f>
        <v>20</v>
      </c>
      <c r="AE280" s="1">
        <f>VLOOKUP(A280,'SegEnds_NonXtal_Prot#'!A:AL,16,FALSE)-VLOOKUP(A280,'SegEnds_NonXtal_Prot#'!A:AL,10,FALSE)</f>
        <v>52</v>
      </c>
      <c r="AF280" s="1">
        <f>VLOOKUP(A280,'SegEnds_NonXtal_Prot#'!A:AL,22,FALSE)-VLOOKUP(A280,'SegEnds_NonXtal_Prot#'!A:AL,19,FALSE)</f>
        <v>20</v>
      </c>
      <c r="AG280" s="1">
        <f>VLOOKUP(A280,'SegEnds_NonXtal_Prot#'!A:AL,28,FALSE)-VLOOKUP(A280,'SegEnds_NonXtal_Prot#'!A:AL,25,FALSE)</f>
        <v>23</v>
      </c>
      <c r="AH280" s="1">
        <f>VLOOKUP(A280,'SegEnds_NonXtal_Prot#'!A:AL,28,FALSE)-VLOOKUP(A280,'SegEnds_NonXtal_Prot#'!A:AL,22,FALSE)</f>
        <v>48</v>
      </c>
      <c r="AI280" s="1">
        <f>VLOOKUP(A280,'SegEnds_NonXtal_Prot#'!A:AL,31,FALSE)-VLOOKUP(A280,'SegEnds_NonXtal_Prot#'!A:AL,28,FALSE)</f>
        <v>46</v>
      </c>
      <c r="AJ280" s="1">
        <f>VLOOKUP(A280,'SegEnds_NonXtal_Prot#'!A:AL,34,FALSE)-VLOOKUP(A280,'SegEnds_NonXtal_Prot#'!A:AL,31,FALSE)</f>
        <v>45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NoXtal</v>
      </c>
    </row>
    <row r="281" spans="1:38" x14ac:dyDescent="0.2">
      <c r="A281" s="1" t="s">
        <v>289</v>
      </c>
      <c r="B281" s="1" t="str">
        <f>VLOOKUP(A281,Xtal_Templ!A:B,2,FALSE)</f>
        <v>par2_human</v>
      </c>
      <c r="C281" s="5">
        <f>VLOOKUP($B281&amp;"__wt",'SegEnds_Xtal_BW#'!$A:$Z,3,FALSE)</f>
        <v>28</v>
      </c>
      <c r="D281" s="1">
        <f>VLOOKUP($B281&amp;"__wt",'SegEnds_Xtal_BW#'!$A:$Z,4,FALSE)</f>
        <v>60</v>
      </c>
      <c r="E281" s="1" t="str">
        <f>VLOOKUP($B281&amp;"__wt",'SegEnds_Xtal_BW#'!$A:$Z,5,FALSE)</f>
        <v>-</v>
      </c>
      <c r="F281" s="1" t="str">
        <f>VLOOKUP($B281&amp;"__wt",'SegEnds_Xtal_BW#'!$A:$Z,6,FALSE)</f>
        <v>-</v>
      </c>
      <c r="G281" s="1">
        <v>37</v>
      </c>
      <c r="H281" s="12">
        <v>66</v>
      </c>
      <c r="I281" s="1">
        <f>VLOOKUP($B281&amp;"__wt",'SegEnds_Xtal_BW#'!$A:$Z,9,FALSE)</f>
        <v>47</v>
      </c>
      <c r="J281" s="1">
        <f>VLOOKUP($B281&amp;"__wt",'SegEnds_Xtal_BW#'!$A:$Z,10,FALSE)</f>
        <v>52</v>
      </c>
      <c r="K281" s="12">
        <v>21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7">
        <v>38</v>
      </c>
      <c r="P281" s="1">
        <f>VLOOKUP($B281&amp;"__wt",'SegEnds_Xtal_BW#'!$A:$Z,16,FALSE)</f>
        <v>62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31</v>
      </c>
      <c r="T281" s="1">
        <f t="array" ref="T281">INDEX(ICL3_classA!$G$2:$G$37,MATCH(MIN(ABS(AI281-ICL3_classA!$F$2:$F$37)),ABS(AI281-ICL3_classA!$F$2:$F$37),0))</f>
        <v>67</v>
      </c>
      <c r="U281" s="1">
        <f t="array" ref="U281">INDEX(ICL3_classA!$H$2:$H$37,MATCH(MIN(ABS(AI281-ICL3_classA!$F$2:$F$37)),ABS(AI281-ICL3_classA!$F$2:$F$37),0))</f>
        <v>26</v>
      </c>
      <c r="V281" s="1">
        <v>64</v>
      </c>
      <c r="W281" s="1">
        <v>24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61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28</v>
      </c>
      <c r="AC281" s="1">
        <f>VLOOKUP(A281,'SegEnds_NonXtal_Prot#'!A:AL,10,FALSE)-VLOOKUP(A281,'SegEnds_NonXtal_Prot#'!A:AL,7,FALSE)</f>
        <v>15</v>
      </c>
      <c r="AD281" s="1">
        <f>VLOOKUP(A281,'SegEnds_NonXtal_Prot#'!A:AL,13,FALSE)-VLOOKUP(A281,'SegEnds_NonXtal_Prot#'!A:AL,10,FALSE)</f>
        <v>19</v>
      </c>
      <c r="AE281" s="1">
        <f>VLOOKUP(A281,'SegEnds_NonXtal_Prot#'!A:AL,16,FALSE)-VLOOKUP(A281,'SegEnds_NonXtal_Prot#'!A:AL,10,FALSE)</f>
        <v>51</v>
      </c>
      <c r="AF281" s="1">
        <f>VLOOKUP(A281,'SegEnds_NonXtal_Prot#'!A:AL,22,FALSE)-VLOOKUP(A281,'SegEnds_NonXtal_Prot#'!A:AL,19,FALSE)</f>
        <v>20</v>
      </c>
      <c r="AG281" s="1">
        <f>VLOOKUP(A281,'SegEnds_NonXtal_Prot#'!A:AL,28,FALSE)-VLOOKUP(A281,'SegEnds_NonXtal_Prot#'!A:AL,25,FALSE)</f>
        <v>28</v>
      </c>
      <c r="AH281" s="1">
        <f>VLOOKUP(A281,'SegEnds_NonXtal_Prot#'!A:AL,28,FALSE)-VLOOKUP(A281,'SegEnds_NonXtal_Prot#'!A:AL,22,FALSE)</f>
        <v>57</v>
      </c>
      <c r="AI281" s="1">
        <f>VLOOKUP(A281,'SegEnds_NonXtal_Prot#'!A:AL,31,FALSE)-VLOOKUP(A281,'SegEnds_NonXtal_Prot#'!A:AL,28,FALSE)</f>
        <v>46</v>
      </c>
      <c r="AJ281" s="1">
        <f>VLOOKUP(A281,'SegEnds_NonXtal_Prot#'!A:AL,34,FALSE)-VLOOKUP(A281,'SegEnds_NonXtal_Prot#'!A:AL,31,FALSE)</f>
        <v>45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NoXtal</v>
      </c>
    </row>
    <row r="282" spans="1:38" x14ac:dyDescent="0.2">
      <c r="A282" s="1" t="s">
        <v>1508</v>
      </c>
      <c r="B282" s="1" t="str">
        <f>VLOOKUP(A282,Xtal_Templ!A:B,2,FALSE)</f>
        <v>q80km9_hcmv</v>
      </c>
      <c r="C282" s="5">
        <f>VLOOKUP($B282&amp;"__wt",'SegEnds_Xtal_BW#'!$A:$Z,3,FALSE)</f>
        <v>24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v>66</v>
      </c>
      <c r="I282" s="1" t="str">
        <f>VLOOKUP($B282&amp;"__wt",'SegEnds_Xtal_BW#'!$A:$Z,9,FALSE)</f>
        <v>-</v>
      </c>
      <c r="J282" s="1" t="str">
        <f>VLOOKUP($B282&amp;"__wt",'SegEnds_Xtal_BW#'!$A:$Z,10,FALSE)</f>
        <v>-</v>
      </c>
      <c r="K282" s="108">
        <v>21</v>
      </c>
      <c r="L282" s="1">
        <f>VLOOKUP($B282&amp;"__wt",'SegEnds_Xtal_BW#'!$A:$Z,12,FALSE)</f>
        <v>55</v>
      </c>
      <c r="M282" s="1" t="str">
        <f>VLOOKUP($B282&amp;"__wt",'SegEnds_Xtal_BW#'!$A:$Z,13,FALSE)</f>
        <v>-</v>
      </c>
      <c r="N282" s="12" t="str">
        <f>VLOOKUP($B282&amp;"__wt",'SegEnds_Xtal_BW#'!$A:$Z,14,FALSE)</f>
        <v>-</v>
      </c>
      <c r="O282" s="87">
        <f>VLOOKUP($B282&amp;"__wt",'SegEnds_Xtal_BW#'!$A:$Z,15,FALSE)</f>
        <v>38</v>
      </c>
      <c r="P282" s="1">
        <f>VLOOKUP($B282&amp;"__wt",'SegEnds_Xtal_BW#'!$A:$Z,16,FALSE)</f>
        <v>62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33</v>
      </c>
      <c r="T282" s="1">
        <f t="array" ref="T282">INDEX(ICL3_classA!$G$2:$G$37,MATCH(MIN(ABS(AI282-ICL3_classA!$F$2:$F$37)),ABS(AI282-ICL3_classA!$F$2:$F$37),0))</f>
        <v>68</v>
      </c>
      <c r="U282" s="1">
        <v>29</v>
      </c>
      <c r="V282" s="1">
        <v>64</v>
      </c>
      <c r="W282" s="1">
        <v>24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62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28</v>
      </c>
      <c r="AC282" s="1">
        <f>VLOOKUP(A282,'SegEnds_NonXtal_Prot#'!A:AL,10,FALSE)-VLOOKUP(A282,'SegEnds_NonXtal_Prot#'!A:AL,7,FALSE)</f>
        <v>15</v>
      </c>
      <c r="AD282" s="1" t="e">
        <f>VLOOKUP(A282,'SegEnds_NonXtal_Prot#'!A:AL,13,FALSE)-VLOOKUP(A282,'SegEnds_NonXtal_Prot#'!A:AL,10,FALSE)</f>
        <v>#VALUE!</v>
      </c>
      <c r="AE282" s="1">
        <f>VLOOKUP(A282,'SegEnds_NonXtal_Prot#'!A:AL,16,FALSE)-VLOOKUP(A282,'SegEnds_NonXtal_Prot#'!A:AL,10,FALSE)</f>
        <v>50</v>
      </c>
      <c r="AF282" s="1" t="e">
        <f>VLOOKUP(A282,'SegEnds_NonXtal_Prot#'!A:AL,22,FALSE)-VLOOKUP(A282,'SegEnds_NonXtal_Prot#'!A:AL,19,FALSE)</f>
        <v>#VALUE!</v>
      </c>
      <c r="AG282" s="1">
        <f>VLOOKUP(A282,'SegEnds_NonXtal_Prot#'!A:AL,28,FALSE)-VLOOKUP(A282,'SegEnds_NonXtal_Prot#'!A:AL,25,FALSE)</f>
        <v>27</v>
      </c>
      <c r="AH282" s="1">
        <f>VLOOKUP(A282,'SegEnds_NonXtal_Prot#'!A:AL,28,FALSE)-VLOOKUP(A282,'SegEnds_NonXtal_Prot#'!A:AL,22,FALSE)</f>
        <v>48</v>
      </c>
      <c r="AI282" s="1">
        <f>VLOOKUP(A282,'SegEnds_NonXtal_Prot#'!A:AL,31,FALSE)-VLOOKUP(A282,'SegEnds_NonXtal_Prot#'!A:AL,28,FALSE)</f>
        <v>43</v>
      </c>
      <c r="AJ282" s="1">
        <f>VLOOKUP(A282,'SegEnds_NonXtal_Prot#'!A:AL,34,FALSE)-VLOOKUP(A282,'SegEnds_NonXtal_Prot#'!A:AL,31,FALSE)</f>
        <v>45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Xtal</v>
      </c>
    </row>
    <row r="283" spans="1:38" x14ac:dyDescent="0.2">
      <c r="A283" s="1" t="s">
        <v>373</v>
      </c>
      <c r="B283" s="1" t="str">
        <f>VLOOKUP(A283,Xtal_Templ!A:B,2,FALSE)</f>
        <v>agtr1_human</v>
      </c>
      <c r="C283" s="5">
        <f>VLOOKUP($B283&amp;"__wt",'SegEnds_Xtal_BW#'!$A:$Z,3,FALSE)</f>
        <v>28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f>VLOOKUP($B283&amp;"__wt",'SegEnds_Xtal_BW#'!$A:$Z,8,FALSE)</f>
        <v>66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58</v>
      </c>
      <c r="O283" s="87">
        <f>VLOOKUP($B283&amp;"__wt",'SegEnds_Xtal_BW#'!$A:$Z,15,FALSE)</f>
        <v>38</v>
      </c>
      <c r="P283" s="1">
        <f>VLOOKUP($B283&amp;"__wt",'SegEnds_Xtal_BW#'!$A:$Z,16,FALSE)</f>
        <v>64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34</v>
      </c>
      <c r="T283" s="1">
        <f t="array" ref="T283">INDEX(ICL3_classA!$G$2:$G$37,MATCH(MIN(ABS(AI283-ICL3_classA!$F$2:$F$37)),ABS(AI283-ICL3_classA!$F$2:$F$37),0))</f>
        <v>74</v>
      </c>
      <c r="U283" s="1">
        <f t="array" ref="U283">INDEX(ICL3_classA!$H$2:$H$37,MATCH(MIN(ABS(AI283-ICL3_classA!$F$2:$F$37)),ABS(AI283-ICL3_classA!$F$2:$F$37),0))</f>
        <v>21</v>
      </c>
      <c r="V283" s="1">
        <v>64</v>
      </c>
      <c r="W283" s="1">
        <v>24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61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29</v>
      </c>
      <c r="AC283" s="1">
        <f>VLOOKUP(A283,'SegEnds_NonXtal_Prot#'!A:AL,10,FALSE)-VLOOKUP(A283,'SegEnds_NonXtal_Prot#'!A:AL,7,FALSE)</f>
        <v>16</v>
      </c>
      <c r="AD283" s="1">
        <f>VLOOKUP(A283,'SegEnds_NonXtal_Prot#'!A:AL,13,FALSE)-VLOOKUP(A283,'SegEnds_NonXtal_Prot#'!A:AL,10,FALSE)</f>
        <v>20</v>
      </c>
      <c r="AE283" s="1">
        <f>VLOOKUP(A283,'SegEnds_NonXtal_Prot#'!A:AL,16,FALSE)-VLOOKUP(A283,'SegEnds_NonXtal_Prot#'!A:AL,10,FALSE)</f>
        <v>52</v>
      </c>
      <c r="AF283" s="1" t="e">
        <f>VLOOKUP(A283,'SegEnds_NonXtal_Prot#'!A:AL,22,FALSE)-VLOOKUP(A283,'SegEnds_NonXtal_Prot#'!A:AL,19,FALSE)</f>
        <v>#VALUE!</v>
      </c>
      <c r="AG283" s="1">
        <f>VLOOKUP(A283,'SegEnds_NonXtal_Prot#'!A:AL,28,FALSE)-VLOOKUP(A283,'SegEnds_NonXtal_Prot#'!A:AL,25,FALSE)</f>
        <v>32</v>
      </c>
      <c r="AH283" s="1">
        <f>VLOOKUP(A283,'SegEnds_NonXtal_Prot#'!A:AL,28,FALSE)-VLOOKUP(A283,'SegEnds_NonXtal_Prot#'!A:AL,22,FALSE)</f>
        <v>57</v>
      </c>
      <c r="AI283" s="1">
        <f>VLOOKUP(A283,'SegEnds_NonXtal_Prot#'!A:AL,31,FALSE)-VLOOKUP(A283,'SegEnds_NonXtal_Prot#'!A:AL,28,FALSE)</f>
        <v>62</v>
      </c>
      <c r="AJ283" s="1">
        <f>VLOOKUP(A283,'SegEnds_NonXtal_Prot#'!A:AL,34,FALSE)-VLOOKUP(A283,'SegEnds_NonXtal_Prot#'!A:AL,31,FALSE)</f>
        <v>45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NoXtal</v>
      </c>
    </row>
    <row r="284" spans="1:38" x14ac:dyDescent="0.2">
      <c r="A284" s="1" t="s">
        <v>374</v>
      </c>
      <c r="B284" s="1" t="str">
        <f>VLOOKUP(A284,Xtal_Templ!A:B,2,FALSE)</f>
        <v>oprd_human</v>
      </c>
      <c r="C284" s="5">
        <f>VLOOKUP($B284&amp;"__wt",'SegEnds_Xtal_BW#'!$A:$Z,3,FALSE)</f>
        <v>22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66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7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31</v>
      </c>
      <c r="T284" s="1">
        <f t="array" ref="T284">INDEX(ICL3_classA!$G$2:$G$37,MATCH(MIN(ABS(AI284-ICL3_classA!$F$2:$F$37)),ABS(AI284-ICL3_classA!$F$2:$F$37),0))</f>
        <v>67</v>
      </c>
      <c r="U284" s="1">
        <f t="array" ref="U284">INDEX(ICL3_classA!$H$2:$H$37,MATCH(MIN(ABS(AI284-ICL3_classA!$F$2:$F$37)),ABS(AI284-ICL3_classA!$F$2:$F$37),0))</f>
        <v>28</v>
      </c>
      <c r="V284" s="1">
        <v>64</v>
      </c>
      <c r="W284" s="1">
        <v>24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60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30</v>
      </c>
      <c r="AC284" s="1">
        <f>VLOOKUP(A284,'SegEnds_NonXtal_Prot#'!A:AL,10,FALSE)-VLOOKUP(A284,'SegEnds_NonXtal_Prot#'!A:AL,7,FALSE)</f>
        <v>16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52</v>
      </c>
      <c r="AF284" s="1">
        <f>VLOOKUP(A284,'SegEnds_NonXtal_Prot#'!A:AL,22,FALSE)-VLOOKUP(A284,'SegEnds_NonXtal_Prot#'!A:AL,19,FALSE)</f>
        <v>20</v>
      </c>
      <c r="AG284" s="1">
        <f>VLOOKUP(A284,'SegEnds_NonXtal_Prot#'!A:AL,28,FALSE)-VLOOKUP(A284,'SegEnds_NonXtal_Prot#'!A:AL,25,FALSE)</f>
        <v>25</v>
      </c>
      <c r="AH284" s="1">
        <f>VLOOKUP(A284,'SegEnds_NonXtal_Prot#'!A:AL,28,FALSE)-VLOOKUP(A284,'SegEnds_NonXtal_Prot#'!A:AL,22,FALSE)</f>
        <v>50</v>
      </c>
      <c r="AI284" s="1">
        <f>VLOOKUP(A284,'SegEnds_NonXtal_Prot#'!A:AL,31,FALSE)-VLOOKUP(A284,'SegEnds_NonXtal_Prot#'!A:AL,28,FALSE)</f>
        <v>45</v>
      </c>
      <c r="AJ284" s="1">
        <f>VLOOKUP(A284,'SegEnds_NonXtal_Prot#'!A:AL,34,FALSE)-VLOOKUP(A284,'SegEnds_NonXtal_Prot#'!A:AL,31,FALSE)</f>
        <v>45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386</v>
      </c>
      <c r="B285" s="1" t="str">
        <f>VLOOKUP(A285,Xtal_Templ!A:B,2,FALSE)</f>
        <v>p2ry1_human</v>
      </c>
      <c r="C285" s="5">
        <f>VLOOKUP($B285&amp;"__wt",'SegEnds_Xtal_BW#'!$A:$Z,3,FALSE)</f>
        <v>30</v>
      </c>
      <c r="D285" s="1">
        <f>VLOOKUP($B285&amp;"__wt",'SegEnds_Xtal_BW#'!$A:$Z,4,FALSE)</f>
        <v>60</v>
      </c>
      <c r="E285" s="1" t="str">
        <f>VLOOKUP($B285&amp;"__wt",'SegEnds_Xtal_BW#'!$A:$Z,5,FALSE)</f>
        <v>-</v>
      </c>
      <c r="F285" s="1" t="str">
        <f>VLOOKUP($B285&amp;"__wt",'SegEnds_Xtal_BW#'!$A:$Z,6,FALSE)</f>
        <v>-</v>
      </c>
      <c r="G285" s="1">
        <v>37</v>
      </c>
      <c r="H285" s="12">
        <v>66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21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57</v>
      </c>
      <c r="O285" s="87">
        <f>VLOOKUP($B285&amp;"__wt",'SegEnds_Xtal_BW#'!$A:$Z,15,FALSE)</f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32</v>
      </c>
      <c r="T285" s="1">
        <f t="array" ref="T285">INDEX(ICL3_classA!$G$2:$G$37,MATCH(MIN(ABS(AI285-ICL3_classA!$F$2:$F$37)),ABS(AI285-ICL3_classA!$F$2:$F$37),0))</f>
        <v>68</v>
      </c>
      <c r="U285" s="1">
        <f t="array" ref="U285">INDEX(ICL3_classA!$H$2:$H$37,MATCH(MIN(ABS(AI285-ICL3_classA!$F$2:$F$37)),ABS(AI285-ICL3_classA!$F$2:$F$37),0))</f>
        <v>24</v>
      </c>
      <c r="V285" s="1">
        <v>64</v>
      </c>
      <c r="W285" s="1">
        <v>24</v>
      </c>
      <c r="X285" s="125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59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28</v>
      </c>
      <c r="AC285" s="1" t="e">
        <f>VLOOKUP(A285,'SegEnds_NonXtal_Prot#'!A:AL,10,FALSE)-VLOOKUP(A285,'SegEnds_NonXtal_Prot#'!A:AL,7,FALSE)</f>
        <v>#VALUE!</v>
      </c>
      <c r="AD285" s="1">
        <f>VLOOKUP(A285,'SegEnds_NonXtal_Prot#'!A:AL,13,FALSE)-VLOOKUP(A285,'SegEnds_NonXtal_Prot#'!A:AL,10,FALSE)</f>
        <v>19</v>
      </c>
      <c r="AE285" s="1">
        <f>VLOOKUP(A285,'SegEnds_NonXtal_Prot#'!A:AL,16,FALSE)-VLOOKUP(A285,'SegEnds_NonXtal_Prot#'!A:AL,10,FALSE)</f>
        <v>51</v>
      </c>
      <c r="AF285" s="1">
        <f>VLOOKUP(A285,'SegEnds_NonXtal_Prot#'!A:AL,22,FALSE)-VLOOKUP(A285,'SegEnds_NonXtal_Prot#'!A:AL,19,FALSE)</f>
        <v>20</v>
      </c>
      <c r="AG285" s="1">
        <f>VLOOKUP(A285,'SegEnds_NonXtal_Prot#'!A:AL,28,FALSE)-VLOOKUP(A285,'SegEnds_NonXtal_Prot#'!A:AL,25,FALSE)</f>
        <v>27</v>
      </c>
      <c r="AH285" s="1">
        <f>VLOOKUP(A285,'SegEnds_NonXtal_Prot#'!A:AL,28,FALSE)-VLOOKUP(A285,'SegEnds_NonXtal_Prot#'!A:AL,22,FALSE)</f>
        <v>52</v>
      </c>
      <c r="AI285" s="1">
        <f>VLOOKUP(A285,'SegEnds_NonXtal_Prot#'!A:AL,31,FALSE)-VLOOKUP(A285,'SegEnds_NonXtal_Prot#'!A:AL,28,FALSE)</f>
        <v>48</v>
      </c>
      <c r="AJ285" s="1">
        <f>VLOOKUP(A285,'SegEnds_NonXtal_Prot#'!A:AL,34,FALSE)-VLOOKUP(A285,'SegEnds_NonXtal_Prot#'!A:AL,31,FALSE)</f>
        <v>45</v>
      </c>
      <c r="AK285" s="1">
        <f>VLOOKUP(A285,'SegEnds_NonXtal_Prot#'!A:AL,37,FALSE)-VLOOKUP(A285,'SegEnds_NonXtal_Prot#'!A:AL,34,FALSE)</f>
        <v>10</v>
      </c>
      <c r="AL285" s="1" t="str">
        <f>IF(ISERROR(MATCH(A285,'SegEnds_Xtal_Prot#'!B:B, 0)), "NoXtal", "Xtal")</f>
        <v>NoXtal</v>
      </c>
    </row>
    <row r="286" spans="1:38" x14ac:dyDescent="0.2">
      <c r="A286" s="1" t="s">
        <v>473</v>
      </c>
      <c r="B286" s="1" t="str">
        <f>VLOOKUP(A286,Xtal_Templ!A:B,2,FALSE)</f>
        <v>ta2r_human</v>
      </c>
      <c r="C286" s="5">
        <f>VLOOKUP($B286&amp;"__wt",'SegEnds_Xtal_BW#'!$A:$Z,3,FALSE)</f>
        <v>35</v>
      </c>
      <c r="D286" s="1">
        <f>VLOOKUP($B286&amp;"__wt",'SegEnds_Xtal_BW#'!$A:$Z,4,FALSE)</f>
        <v>62</v>
      </c>
      <c r="E286" s="1" t="str">
        <f>VLOOKUP($B286&amp;"__wt",'SegEnds_Xtal_BW#'!$A:$Z,5,FALSE)</f>
        <v>-</v>
      </c>
      <c r="F286" s="1" t="str">
        <f>VLOOKUP($B286&amp;"__wt",'SegEnds_Xtal_BW#'!$A:$Z,6,FALSE)</f>
        <v>-</v>
      </c>
      <c r="G286" s="1">
        <v>37</v>
      </c>
      <c r="H286" s="12">
        <v>67</v>
      </c>
      <c r="I286" s="1">
        <f>VLOOKUP($B286&amp;"__wt",'SegEnds_Xtal_BW#'!$A:$Z,9,FALSE)</f>
        <v>49</v>
      </c>
      <c r="J286" s="1">
        <f>VLOOKUP($B286&amp;"__wt",'SegEnds_Xtal_BW#'!$A:$Z,10,FALSE)</f>
        <v>53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7">
        <f>VLOOKUP($B286&amp;"__wt",'SegEnds_Xtal_BW#'!$A:$Z,15,FALSE)</f>
        <v>38</v>
      </c>
      <c r="P286" s="1">
        <f>VLOOKUP($B286&amp;"__wt",'SegEnds_Xtal_BW#'!$A:$Z,16,FALSE)</f>
        <v>63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33</v>
      </c>
      <c r="T286" s="1">
        <f t="array" ref="T286">INDEX(ICL3_classA!$G$2:$G$37,MATCH(MIN(ABS(AI286-ICL3_classA!$F$2:$F$37)),ABS(AI286-ICL3_classA!$F$2:$F$37),0))</f>
        <v>72</v>
      </c>
      <c r="U286" s="1">
        <f t="array" ref="U286">INDEX(ICL3_classA!$H$2:$H$37,MATCH(MIN(ABS(AI286-ICL3_classA!$F$2:$F$37)),ABS(AI286-ICL3_classA!$F$2:$F$37),0))</f>
        <v>24</v>
      </c>
      <c r="V286" s="108">
        <v>61</v>
      </c>
      <c r="W286" s="108">
        <v>28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66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32</v>
      </c>
      <c r="AC286" s="1" t="e">
        <f>VLOOKUP(A286,'SegEnds_NonXtal_Prot#'!A:AL,10,FALSE)-VLOOKUP(A286,'SegEnds_NonXtal_Prot#'!A:AL,7,FALSE)</f>
        <v>#VALUE!</v>
      </c>
      <c r="AD286" s="1">
        <f>VLOOKUP(A286,'SegEnds_NonXtal_Prot#'!A:AL,13,FALSE)-VLOOKUP(A286,'SegEnds_NonXtal_Prot#'!A:AL,10,FALSE)</f>
        <v>21</v>
      </c>
      <c r="AE286" s="1">
        <f>VLOOKUP(A286,'SegEnds_NonXtal_Prot#'!A:AL,16,FALSE)-VLOOKUP(A286,'SegEnds_NonXtal_Prot#'!A:AL,10,FALSE)</f>
        <v>56</v>
      </c>
      <c r="AF286" s="1">
        <f>VLOOKUP(A286,'SegEnds_NonXtal_Prot#'!A:AL,22,FALSE)-VLOOKUP(A286,'SegEnds_NonXtal_Prot#'!A:AL,19,FALSE)</f>
        <v>20</v>
      </c>
      <c r="AG286" s="1">
        <f>VLOOKUP(A286,'SegEnds_NonXtal_Prot#'!A:AL,28,FALSE)-VLOOKUP(A286,'SegEnds_NonXtal_Prot#'!A:AL,25,FALSE)</f>
        <v>24</v>
      </c>
      <c r="AH286" s="1">
        <f>VLOOKUP(A286,'SegEnds_NonXtal_Prot#'!A:AL,28,FALSE)-VLOOKUP(A286,'SegEnds_NonXtal_Prot#'!A:AL,22,FALSE)</f>
        <v>50</v>
      </c>
      <c r="AI286" s="1">
        <f>VLOOKUP(A286,'SegEnds_NonXtal_Prot#'!A:AL,31,FALSE)-VLOOKUP(A286,'SegEnds_NonXtal_Prot#'!A:AL,28,FALSE)</f>
        <v>53</v>
      </c>
      <c r="AJ286" s="1">
        <f>VLOOKUP(A286,'SegEnds_NonXtal_Prot#'!A:AL,34,FALSE)-VLOOKUP(A286,'SegEnds_NonXtal_Prot#'!A:AL,31,FALSE)</f>
        <v>45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Xtal</v>
      </c>
    </row>
    <row r="287" spans="1:38" x14ac:dyDescent="0.2">
      <c r="A287" s="1" t="s">
        <v>924</v>
      </c>
      <c r="B287" s="1" t="str">
        <f>VLOOKUP(A287,Xtal_Templ!A:B,2,FALSE)</f>
        <v>us28_hcmva</v>
      </c>
      <c r="C287" s="5">
        <f>VLOOKUP($B287&amp;"__wt",'SegEnds_Xtal_BW#'!$A:$Z,3,FALSE)</f>
        <v>24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v>66</v>
      </c>
      <c r="I287" s="1" t="str">
        <f>VLOOKUP($B287&amp;"__wt",'SegEnds_Xtal_BW#'!$A:$Z,9,FALSE)</f>
        <v>-</v>
      </c>
      <c r="J287" s="1" t="str">
        <f>VLOOKUP($B287&amp;"__wt",'SegEnds_Xtal_BW#'!$A:$Z,10,FALSE)</f>
        <v>-</v>
      </c>
      <c r="K287" s="108">
        <v>21</v>
      </c>
      <c r="L287" s="1">
        <f>VLOOKUP($B287&amp;"__wt",'SegEnds_Xtal_BW#'!$A:$Z,12,FALSE)</f>
        <v>55</v>
      </c>
      <c r="M287" s="1" t="str">
        <f>VLOOKUP($B287&amp;"__wt",'SegEnds_Xtal_BW#'!$A:$Z,13,FALSE)</f>
        <v>-</v>
      </c>
      <c r="N287" s="12" t="str">
        <f>VLOOKUP($B287&amp;"__wt",'SegEnds_Xtal_BW#'!$A:$Z,14,FALSE)</f>
        <v>-</v>
      </c>
      <c r="O287" s="87">
        <f>VLOOKUP($B287&amp;"__wt",'SegEnds_Xtal_BW#'!$A:$Z,15,FALSE)</f>
        <v>38</v>
      </c>
      <c r="P287" s="1">
        <f>VLOOKUP($B287&amp;"__wt",'SegEnds_Xtal_BW#'!$A:$Z,16,FALSE)</f>
        <v>62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33</v>
      </c>
      <c r="T287" s="1">
        <f t="array" ref="T287">INDEX(ICL3_classA!$G$2:$G$37,MATCH(MIN(ABS(AI287-ICL3_classA!$F$2:$F$37)),ABS(AI287-ICL3_classA!$F$2:$F$37),0))</f>
        <v>68</v>
      </c>
      <c r="U287" s="1">
        <v>29</v>
      </c>
      <c r="V287" s="1">
        <v>64</v>
      </c>
      <c r="W287" s="1">
        <v>24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62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28</v>
      </c>
      <c r="AC287" s="1">
        <f>VLOOKUP(A287,'SegEnds_NonXtal_Prot#'!A:AL,10,FALSE)-VLOOKUP(A287,'SegEnds_NonXtal_Prot#'!A:AL,7,FALSE)</f>
        <v>15</v>
      </c>
      <c r="AD287" s="1" t="e">
        <f>VLOOKUP(A287,'SegEnds_NonXtal_Prot#'!A:AL,13,FALSE)-VLOOKUP(A287,'SegEnds_NonXtal_Prot#'!A:AL,10,FALSE)</f>
        <v>#VALUE!</v>
      </c>
      <c r="AE287" s="1">
        <f>VLOOKUP(A287,'SegEnds_NonXtal_Prot#'!A:AL,16,FALSE)-VLOOKUP(A287,'SegEnds_NonXtal_Prot#'!A:AL,10,FALSE)</f>
        <v>50</v>
      </c>
      <c r="AF287" s="1" t="e">
        <f>VLOOKUP(A287,'SegEnds_NonXtal_Prot#'!A:AL,22,FALSE)-VLOOKUP(A287,'SegEnds_NonXtal_Prot#'!A:AL,19,FALSE)</f>
        <v>#VALUE!</v>
      </c>
      <c r="AG287" s="1">
        <f>VLOOKUP(A287,'SegEnds_NonXtal_Prot#'!A:AL,28,FALSE)-VLOOKUP(A287,'SegEnds_NonXtal_Prot#'!A:AL,25,FALSE)</f>
        <v>27</v>
      </c>
      <c r="AH287" s="1">
        <f>VLOOKUP(A287,'SegEnds_NonXtal_Prot#'!A:AL,28,FALSE)-VLOOKUP(A287,'SegEnds_NonXtal_Prot#'!A:AL,22,FALSE)</f>
        <v>48</v>
      </c>
      <c r="AI287" s="1">
        <f>VLOOKUP(A287,'SegEnds_NonXtal_Prot#'!A:AL,31,FALSE)-VLOOKUP(A287,'SegEnds_NonXtal_Prot#'!A:AL,28,FALSE)</f>
        <v>43</v>
      </c>
      <c r="AJ287" s="1">
        <f>VLOOKUP(A287,'SegEnds_NonXtal_Prot#'!A:AL,34,FALSE)-VLOOKUP(A287,'SegEnds_NonXtal_Prot#'!A:AL,31,FALSE)</f>
        <v>45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Xtal</v>
      </c>
    </row>
    <row r="288" spans="1:38" x14ac:dyDescent="0.2">
      <c r="A288" s="1" t="s">
        <v>142</v>
      </c>
      <c r="B288" s="1" t="str">
        <f>VLOOKUP(A288,Xtal_Templ!A:B,2,FALSE)</f>
        <v>c5ar1_human</v>
      </c>
      <c r="C288" s="5">
        <f>VLOOKUP($B288&amp;"__wt",'SegEnds_Xtal_BW#'!$A:$Z,3,FALSE)</f>
        <v>29</v>
      </c>
      <c r="D288" s="1">
        <f>VLOOKUP($B288&amp;"__wt",'SegEnds_Xtal_BW#'!$A:$Z,4,FALSE)</f>
        <v>60</v>
      </c>
      <c r="E288" s="1" t="str">
        <f>VLOOKUP($B288&amp;"__wt",'SegEnds_Xtal_BW#'!$A:$Z,5,FALSE)</f>
        <v>-</v>
      </c>
      <c r="F288" s="1" t="str">
        <f>VLOOKUP($B288&amp;"__wt",'SegEnds_Xtal_BW#'!$A:$Z,6,FALSE)</f>
        <v>-</v>
      </c>
      <c r="G288" s="1">
        <v>37</v>
      </c>
      <c r="H288" s="12">
        <v>66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24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f>VLOOKUP($B288&amp;"__wt",'SegEnds_Xtal_BW#'!$A:$Z,14,FALSE)</f>
        <v>57</v>
      </c>
      <c r="O288" s="87"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31</v>
      </c>
      <c r="T288" s="1">
        <f t="array" ref="T288">INDEX(ICL3_classA!$G$2:$G$37,MATCH(MIN(ABS(AI288-ICL3_classA!$F$2:$F$37)),ABS(AI288-ICL3_classA!$F$2:$F$37),0))</f>
        <v>64</v>
      </c>
      <c r="U288" s="1">
        <f t="array" ref="U288">INDEX(ICL3_classA!$H$2:$H$37,MATCH(MIN(ABS(AI288-ICL3_classA!$F$2:$F$37)),ABS(AI288-ICL3_classA!$F$2:$F$37),0))</f>
        <v>34</v>
      </c>
      <c r="V288" s="1">
        <v>64</v>
      </c>
      <c r="W288" s="1">
        <v>24</v>
      </c>
      <c r="X288" s="108">
        <v>56</v>
      </c>
      <c r="Y288" s="1">
        <f>VLOOKUP($B288&amp;"__wt",'SegEnds_Xtal_BW#'!$A:$Z,25,FALSE)</f>
        <v>47</v>
      </c>
      <c r="Z288" s="1">
        <f>VLOOKUP($B288&amp;"__wt",'SegEnds_Xtal_BW#'!$A:$Z,26,FALSE)</f>
        <v>56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30</v>
      </c>
      <c r="AC288" s="1" t="e">
        <f>VLOOKUP(A288,'SegEnds_NonXtal_Prot#'!A:AL,10,FALSE)-VLOOKUP(A288,'SegEnds_NonXtal_Prot#'!A:AL,7,FALSE)</f>
        <v>#VALUE!</v>
      </c>
      <c r="AD288" s="1" t="e">
        <f>VLOOKUP(A288,'SegEnds_NonXtal_Prot#'!A:AL,13,FALSE)-VLOOKUP(A288,'SegEnds_NonXtal_Prot#'!A:AL,10,FALSE)</f>
        <v>#VALUE!</v>
      </c>
      <c r="AE288" s="1">
        <f>VLOOKUP(A288,'SegEnds_NonXtal_Prot#'!A:AL,16,FALSE)-VLOOKUP(A288,'SegEnds_NonXtal_Prot#'!A:AL,10,FALSE)</f>
        <v>48</v>
      </c>
      <c r="AF288" s="1" t="e">
        <f>VLOOKUP(A288,'SegEnds_NonXtal_Prot#'!A:AL,22,FALSE)-VLOOKUP(A288,'SegEnds_NonXtal_Prot#'!A:AL,19,FALSE)</f>
        <v>#VALUE!</v>
      </c>
      <c r="AG288" s="1">
        <f>VLOOKUP(A288,'SegEnds_NonXtal_Prot#'!A:AL,28,FALSE)-VLOOKUP(A288,'SegEnds_NonXtal_Prot#'!A:AL,25,FALSE)</f>
        <v>23</v>
      </c>
      <c r="AH288" s="1">
        <f>VLOOKUP(A288,'SegEnds_NonXtal_Prot#'!A:AL,28,FALSE)-VLOOKUP(A288,'SegEnds_NonXtal_Prot#'!A:AL,22,FALSE)</f>
        <v>44</v>
      </c>
      <c r="AI288" s="1">
        <f>VLOOKUP(A288,'SegEnds_NonXtal_Prot#'!A:AL,31,FALSE)-VLOOKUP(A288,'SegEnds_NonXtal_Prot#'!A:AL,28,FALSE)</f>
        <v>37</v>
      </c>
      <c r="AJ288" s="1">
        <f>VLOOKUP(A288,'SegEnds_NonXtal_Prot#'!A:AL,34,FALSE)-VLOOKUP(A288,'SegEnds_NonXtal_Prot#'!A:AL,31,FALSE)</f>
        <v>46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234</v>
      </c>
      <c r="B289" s="1" t="str">
        <f>VLOOKUP(A289,Xtal_Templ!A:B,2,FALSE)</f>
        <v>oprk_human</v>
      </c>
      <c r="C289" s="5">
        <f>VLOOKUP($B289&amp;"__wt",'SegEnds_Xtal_BW#'!$A:$Z,3,FALSE)</f>
        <v>30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67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7">
        <f>VLOOKUP($B289&amp;"__wt",'SegEnds_Xtal_BW#'!$A:$Z,15,FALSE)</f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30</v>
      </c>
      <c r="T289" s="1">
        <f t="array" ref="T289">INDEX(ICL3_classA!$G$2:$G$37,MATCH(MIN(ABS(AI289-ICL3_classA!$F$2:$F$37)),ABS(AI289-ICL3_classA!$F$2:$F$37),0))</f>
        <v>68</v>
      </c>
      <c r="U289" s="1">
        <f t="array" ref="U289">INDEX(ICL3_classA!$H$2:$H$37,MATCH(MIN(ABS(AI289-ICL3_classA!$F$2:$F$37)),ABS(AI289-ICL3_classA!$F$2:$F$37),0))</f>
        <v>23</v>
      </c>
      <c r="V289" s="1">
        <v>64</v>
      </c>
      <c r="W289" s="1">
        <v>24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59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>
        <f>VLOOKUP(A289,'SegEnds_NonXtal_Prot#'!A:AL,10,FALSE)-VLOOKUP(A289,'SegEnds_NonXtal_Prot#'!A:AL,7,FALSE)</f>
        <v>15</v>
      </c>
      <c r="AD289" s="1">
        <f>VLOOKUP(A289,'SegEnds_NonXtal_Prot#'!A:AL,13,FALSE)-VLOOKUP(A289,'SegEnds_NonXtal_Prot#'!A:AL,10,FALSE)</f>
        <v>20</v>
      </c>
      <c r="AE289" s="1">
        <f>VLOOKUP(A289,'SegEnds_NonXtal_Prot#'!A:AL,16,FALSE)-VLOOKUP(A289,'SegEnds_NonXtal_Prot#'!A:AL,10,FALSE)</f>
        <v>52</v>
      </c>
      <c r="AF289" s="1">
        <f>VLOOKUP(A289,'SegEnds_NonXtal_Prot#'!A:AL,22,FALSE)-VLOOKUP(A289,'SegEnds_NonXtal_Prot#'!A:AL,19,FALSE)</f>
        <v>20</v>
      </c>
      <c r="AG289" s="1">
        <f>VLOOKUP(A289,'SegEnds_NonXtal_Prot#'!A:AL,28,FALSE)-VLOOKUP(A289,'SegEnds_NonXtal_Prot#'!A:AL,25,FALSE)</f>
        <v>27</v>
      </c>
      <c r="AH289" s="1">
        <f>VLOOKUP(A289,'SegEnds_NonXtal_Prot#'!A:AL,28,FALSE)-VLOOKUP(A289,'SegEnds_NonXtal_Prot#'!A:AL,22,FALSE)</f>
        <v>52</v>
      </c>
      <c r="AI289" s="1">
        <f>VLOOKUP(A289,'SegEnds_NonXtal_Prot#'!A:AL,31,FALSE)-VLOOKUP(A289,'SegEnds_NonXtal_Prot#'!A:AL,28,FALSE)</f>
        <v>51</v>
      </c>
      <c r="AJ289" s="1">
        <f>VLOOKUP(A289,'SegEnds_NonXtal_Prot#'!A:AL,34,FALSE)-VLOOKUP(A289,'SegEnds_NonXtal_Prot#'!A:AL,31,FALSE)</f>
        <v>46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NoXtal</v>
      </c>
    </row>
    <row r="290" spans="1:38" x14ac:dyDescent="0.2">
      <c r="A290" s="1" t="s">
        <v>292</v>
      </c>
      <c r="B290" s="1" t="str">
        <f>VLOOKUP(A290,Xtal_Templ!A:B,2,FALSE)</f>
        <v>pd2r2_human</v>
      </c>
      <c r="C290" s="5">
        <f>VLOOKUP($B290&amp;"__wt",'SegEnds_Xtal_BW#'!$A:$Z,3,FALSE)</f>
        <v>32</v>
      </c>
      <c r="D290" s="1">
        <f>VLOOKUP($B290&amp;"__wt",'SegEnds_Xtal_BW#'!$A:$Z,4,FALSE)</f>
        <v>60</v>
      </c>
      <c r="E290" s="1" t="str">
        <f>VLOOKUP($B290&amp;"__wt",'SegEnds_Xtal_BW#'!$A:$Z,5,FALSE)</f>
        <v>-</v>
      </c>
      <c r="F290" s="1" t="str">
        <f>VLOOKUP($B290&amp;"__wt",'SegEnds_Xtal_BW#'!$A:$Z,6,FALSE)</f>
        <v>-</v>
      </c>
      <c r="G290" s="1">
        <v>37</v>
      </c>
      <c r="H290" s="12">
        <v>66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21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08">
        <v>29</v>
      </c>
      <c r="T290" s="1">
        <f t="array" ref="T290">INDEX(ICL3_classA!$G$2:$G$37,MATCH(MIN(ABS(AI290-ICL3_classA!$F$2:$F$37)),ABS(AI290-ICL3_classA!$F$2:$F$37),0))</f>
        <v>68</v>
      </c>
      <c r="U290" s="1">
        <f t="array" ref="U290">INDEX(ICL3_classA!$H$2:$H$37,MATCH(MIN(ABS(AI290-ICL3_classA!$F$2:$F$37)),ABS(AI290-ICL3_classA!$F$2:$F$37),0))</f>
        <v>30</v>
      </c>
      <c r="V290" s="1">
        <v>64</v>
      </c>
      <c r="W290" s="1">
        <v>24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64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28</v>
      </c>
      <c r="AC290" s="1">
        <f>VLOOKUP(A290,'SegEnds_NonXtal_Prot#'!A:AL,10,FALSE)-VLOOKUP(A290,'SegEnds_NonXtal_Prot#'!A:AL,7,FALSE)</f>
        <v>15</v>
      </c>
      <c r="AD290" s="1">
        <f>VLOOKUP(A290,'SegEnds_NonXtal_Prot#'!A:AL,13,FALSE)-VLOOKUP(A290,'SegEnds_NonXtal_Prot#'!A:AL,10,FALSE)</f>
        <v>19</v>
      </c>
      <c r="AE290" s="1">
        <f>VLOOKUP(A290,'SegEnds_NonXtal_Prot#'!A:AL,16,FALSE)-VLOOKUP(A290,'SegEnds_NonXtal_Prot#'!A:AL,10,FALSE)</f>
        <v>51</v>
      </c>
      <c r="AF290" s="1">
        <f>VLOOKUP(A290,'SegEnds_NonXtal_Prot#'!A:AL,22,FALSE)-VLOOKUP(A290,'SegEnds_NonXtal_Prot#'!A:AL,19,FALSE)</f>
        <v>20</v>
      </c>
      <c r="AG290" s="1">
        <f>VLOOKUP(A290,'SegEnds_NonXtal_Prot#'!A:AL,28,FALSE)-VLOOKUP(A290,'SegEnds_NonXtal_Prot#'!A:AL,25,FALSE)</f>
        <v>25</v>
      </c>
      <c r="AH290" s="1">
        <f>VLOOKUP(A290,'SegEnds_NonXtal_Prot#'!A:AL,28,FALSE)-VLOOKUP(A290,'SegEnds_NonXtal_Prot#'!A:AL,22,FALSE)</f>
        <v>51</v>
      </c>
      <c r="AI290" s="1">
        <f>VLOOKUP(A290,'SegEnds_NonXtal_Prot#'!A:AL,31,FALSE)-VLOOKUP(A290,'SegEnds_NonXtal_Prot#'!A:AL,28,FALSE)</f>
        <v>43</v>
      </c>
      <c r="AJ290" s="1">
        <f>VLOOKUP(A290,'SegEnds_NonXtal_Prot#'!A:AL,34,FALSE)-VLOOKUP(A290,'SegEnds_NonXtal_Prot#'!A:AL,31,FALSE)</f>
        <v>46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293</v>
      </c>
      <c r="B291" s="1" t="str">
        <f>VLOOKUP(A291,Xtal_Templ!A:B,2,FALSE)</f>
        <v>pd2r2_human</v>
      </c>
      <c r="C291" s="5">
        <f>VLOOKUP($B291&amp;"__wt",'SegEnds_Xtal_BW#'!$A:$Z,3,FALSE)</f>
        <v>32</v>
      </c>
      <c r="D291" s="1">
        <f>VLOOKUP($B291&amp;"__wt",'SegEnds_Xtal_BW#'!$A:$Z,4,FALSE)</f>
        <v>60</v>
      </c>
      <c r="E291" s="1" t="str">
        <f>VLOOKUP($B291&amp;"__wt",'SegEnds_Xtal_BW#'!$A:$Z,5,FALSE)</f>
        <v>-</v>
      </c>
      <c r="F291" s="1" t="str">
        <f>VLOOKUP($B291&amp;"__wt",'SegEnds_Xtal_BW#'!$A:$Z,6,FALSE)</f>
        <v>-</v>
      </c>
      <c r="G291" s="1">
        <v>37</v>
      </c>
      <c r="H291" s="12">
        <v>66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21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7"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v>35</v>
      </c>
      <c r="T291" s="1">
        <f t="array" ref="T291">INDEX(ICL3_classA!$G$2:$G$37,MATCH(MIN(ABS(AI291-ICL3_classA!$F$2:$F$37)),ABS(AI291-ICL3_classA!$F$2:$F$37),0))</f>
        <v>67</v>
      </c>
      <c r="U291" s="1">
        <f t="array" ref="U291">INDEX(ICL3_classA!$H$2:$H$37,MATCH(MIN(ABS(AI291-ICL3_classA!$F$2:$F$37)),ABS(AI291-ICL3_classA!$F$2:$F$37),0))</f>
        <v>26</v>
      </c>
      <c r="V291" s="1">
        <v>64</v>
      </c>
      <c r="W291" s="1">
        <v>24</v>
      </c>
      <c r="X291" s="108">
        <v>56</v>
      </c>
      <c r="Y291" s="1">
        <f>VLOOKUP($B291&amp;"__wt",'SegEnds_Xtal_BW#'!$A:$Z,25,FALSE)</f>
        <v>47</v>
      </c>
      <c r="Z291" s="1">
        <f>VLOOKUP($B291&amp;"__wt",'SegEnds_Xtal_BW#'!$A:$Z,26,FALSE)</f>
        <v>64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30</v>
      </c>
      <c r="AC291" s="1">
        <f>VLOOKUP(A291,'SegEnds_NonXtal_Prot#'!A:AL,10,FALSE)-VLOOKUP(A291,'SegEnds_NonXtal_Prot#'!A:AL,7,FALSE)</f>
        <v>17</v>
      </c>
      <c r="AD291" s="1">
        <f>VLOOKUP(A291,'SegEnds_NonXtal_Prot#'!A:AL,13,FALSE)-VLOOKUP(A291,'SegEnds_NonXtal_Prot#'!A:AL,10,FALSE)</f>
        <v>19</v>
      </c>
      <c r="AE291" s="1">
        <f>VLOOKUP(A291,'SegEnds_NonXtal_Prot#'!A:AL,16,FALSE)-VLOOKUP(A291,'SegEnds_NonXtal_Prot#'!A:AL,10,FALSE)</f>
        <v>51</v>
      </c>
      <c r="AF291" s="1">
        <f>VLOOKUP(A291,'SegEnds_NonXtal_Prot#'!A:AL,22,FALSE)-VLOOKUP(A291,'SegEnds_NonXtal_Prot#'!A:AL,19,FALSE)</f>
        <v>20</v>
      </c>
      <c r="AG291" s="1">
        <f>VLOOKUP(A291,'SegEnds_NonXtal_Prot#'!A:AL,28,FALSE)-VLOOKUP(A291,'SegEnds_NonXtal_Prot#'!A:AL,25,FALSE)</f>
        <v>22</v>
      </c>
      <c r="AH291" s="1">
        <f>VLOOKUP(A291,'SegEnds_NonXtal_Prot#'!A:AL,28,FALSE)-VLOOKUP(A291,'SegEnds_NonXtal_Prot#'!A:AL,22,FALSE)</f>
        <v>47</v>
      </c>
      <c r="AI291" s="1">
        <f>VLOOKUP(A291,'SegEnds_NonXtal_Prot#'!A:AL,31,FALSE)-VLOOKUP(A291,'SegEnds_NonXtal_Prot#'!A:AL,28,FALSE)</f>
        <v>46</v>
      </c>
      <c r="AJ291" s="1">
        <f>VLOOKUP(A291,'SegEnds_NonXtal_Prot#'!A:AL,34,FALSE)-VLOOKUP(A291,'SegEnds_NonXtal_Prot#'!A:AL,31,FALSE)</f>
        <v>46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NoXtal</v>
      </c>
    </row>
    <row r="292" spans="1:38" x14ac:dyDescent="0.2">
      <c r="A292" s="1" t="s">
        <v>345</v>
      </c>
      <c r="B292" s="1" t="str">
        <f>VLOOKUP(A292,Xtal_Templ!A:B,2,FALSE)</f>
        <v>p2ry1_human</v>
      </c>
      <c r="C292" s="5">
        <f>VLOOKUP($B292&amp;"__wt",'SegEnds_Xtal_BW#'!$A:$Z,3,FALSE)</f>
        <v>30</v>
      </c>
      <c r="D292" s="1">
        <f>VLOOKUP($B292&amp;"__wt",'SegEnds_Xtal_BW#'!$A:$Z,4,FALSE)</f>
        <v>60</v>
      </c>
      <c r="E292" s="1" t="str">
        <f>VLOOKUP($B292&amp;"__wt",'SegEnds_Xtal_BW#'!$A:$Z,5,FALSE)</f>
        <v>-</v>
      </c>
      <c r="F292" s="1" t="str">
        <f>VLOOKUP($B292&amp;"__wt",'SegEnds_Xtal_BW#'!$A:$Z,6,FALSE)</f>
        <v>-</v>
      </c>
      <c r="G292" s="1">
        <v>37</v>
      </c>
      <c r="H292" s="12">
        <f>VLOOKUP($B292&amp;"__wt",'SegEnds_Xtal_BW#'!$A:$Z,8,FALSE)</f>
        <v>66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f>VLOOKUP($B292&amp;"__wt",'SegEnds_Xtal_BW#'!$A:$Z,14,FALSE)</f>
        <v>57</v>
      </c>
      <c r="O292" s="87">
        <f>VLOOKUP($B292&amp;"__wt",'SegEnds_Xtal_BW#'!$A:$Z,15,FALSE)</f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32</v>
      </c>
      <c r="T292" s="1">
        <v>68</v>
      </c>
      <c r="U292" s="1">
        <v>28</v>
      </c>
      <c r="V292" s="1">
        <v>64</v>
      </c>
      <c r="W292" s="1">
        <v>24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28</v>
      </c>
      <c r="AC292" s="1" t="e">
        <f>VLOOKUP(A292,'SegEnds_NonXtal_Prot#'!A:AL,10,FALSE)-VLOOKUP(A292,'SegEnds_NonXtal_Prot#'!A:AL,7,FALSE)</f>
        <v>#VALUE!</v>
      </c>
      <c r="AD292" s="1">
        <f>VLOOKUP(A292,'SegEnds_NonXtal_Prot#'!A:AL,13,FALSE)-VLOOKUP(A292,'SegEnds_NonXtal_Prot#'!A:AL,10,FALSE)</f>
        <v>20</v>
      </c>
      <c r="AE292" s="1">
        <f>VLOOKUP(A292,'SegEnds_NonXtal_Prot#'!A:AL,16,FALSE)-VLOOKUP(A292,'SegEnds_NonXtal_Prot#'!A:AL,10,FALSE)</f>
        <v>52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27</v>
      </c>
      <c r="AH292" s="1">
        <f>VLOOKUP(A292,'SegEnds_NonXtal_Prot#'!A:AL,28,FALSE)-VLOOKUP(A292,'SegEnds_NonXtal_Prot#'!A:AL,22,FALSE)</f>
        <v>53</v>
      </c>
      <c r="AI292" s="1">
        <f>VLOOKUP(A292,'SegEnds_NonXtal_Prot#'!A:AL,31,FALSE)-VLOOKUP(A292,'SegEnds_NonXtal_Prot#'!A:AL,28,FALSE)</f>
        <v>46</v>
      </c>
      <c r="AJ292" s="1">
        <f>VLOOKUP(A292,'SegEnds_NonXtal_Prot#'!A:AL,34,FALSE)-VLOOKUP(A292,'SegEnds_NonXtal_Prot#'!A:AL,31,FALSE)</f>
        <v>46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Xtal</v>
      </c>
    </row>
    <row r="293" spans="1:38" x14ac:dyDescent="0.2">
      <c r="A293" s="1" t="s">
        <v>363</v>
      </c>
      <c r="B293" s="1" t="str">
        <f>VLOOKUP(A293,Xtal_Templ!A:B,2,FALSE)</f>
        <v>pe2r3_human</v>
      </c>
      <c r="C293" s="5">
        <f>VLOOKUP($B293&amp;"__wt",'SegEnds_Xtal_BW#'!$A:$Z,3,FALSE)</f>
        <v>36</v>
      </c>
      <c r="D293" s="1">
        <f>VLOOKUP($B293&amp;"__wt",'SegEnds_Xtal_BW#'!$A:$Z,4,FALSE)</f>
        <v>62</v>
      </c>
      <c r="E293" s="1" t="str">
        <f>VLOOKUP($B293&amp;"__wt",'SegEnds_Xtal_BW#'!$A:$Z,5,FALSE)</f>
        <v>-</v>
      </c>
      <c r="F293" s="1" t="str">
        <f>VLOOKUP($B293&amp;"__wt",'SegEnds_Xtal_BW#'!$A:$Z,6,FALSE)</f>
        <v>-</v>
      </c>
      <c r="G293" s="1">
        <v>37</v>
      </c>
      <c r="H293" s="12">
        <f>VLOOKUP($B293&amp;"__wt",'SegEnds_Xtal_BW#'!$A:$Z,8,FALSE)</f>
        <v>68</v>
      </c>
      <c r="I293" s="1">
        <v>49</v>
      </c>
      <c r="J293" s="1">
        <f>VLOOKUP($B293&amp;"__wt",'SegEnds_Xtal_BW#'!$A:$Z,10,FALSE)</f>
        <v>56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57</v>
      </c>
      <c r="O293" s="87">
        <f>VLOOKUP($B293&amp;"__wt",'SegEnds_Xtal_BW#'!$A:$Z,15,FALSE)</f>
        <v>38</v>
      </c>
      <c r="P293" s="1">
        <f>VLOOKUP($B293&amp;"__wt",'SegEnds_Xtal_BW#'!$A:$Z,16,FALSE)</f>
        <v>63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34</v>
      </c>
      <c r="T293" s="1">
        <f t="array" ref="T293">INDEX(ICL3_classA!$G$2:$G$37,MATCH(MIN(ABS(AI293-ICL3_classA!$F$2:$F$37)),ABS(AI293-ICL3_classA!$F$2:$F$37),0))</f>
        <v>73</v>
      </c>
      <c r="U293" s="1">
        <f t="array" ref="U293">INDEX(ICL3_classA!$H$2:$H$37,MATCH(MIN(ABS(AI293-ICL3_classA!$F$2:$F$37)),ABS(AI293-ICL3_classA!$F$2:$F$37),0))</f>
        <v>22</v>
      </c>
      <c r="V293" s="1">
        <v>64</v>
      </c>
      <c r="W293" s="1">
        <v>24</v>
      </c>
      <c r="X293" s="1">
        <f>VLOOKUP($B293&amp;"__wt",'SegEnds_Xtal_BW#'!$A:$Z,24,FALSE)</f>
        <v>53</v>
      </c>
      <c r="Y293" s="1">
        <f>VLOOKUP($B293&amp;"__wt",'SegEnds_Xtal_BW#'!$A:$Z,25,FALSE)</f>
        <v>44</v>
      </c>
      <c r="Z293" s="1">
        <f>VLOOKUP($B293&amp;"__wt",'SegEnds_Xtal_BW#'!$A:$Z,26,FALSE)</f>
        <v>66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33</v>
      </c>
      <c r="AC293" s="1" t="e">
        <f>VLOOKUP(A293,'SegEnds_NonXtal_Prot#'!A:AL,10,FALSE)-VLOOKUP(A293,'SegEnds_NonXtal_Prot#'!A:AL,7,FALSE)</f>
        <v>#VALUE!</v>
      </c>
      <c r="AD293" s="1">
        <f>VLOOKUP(A293,'SegEnds_NonXtal_Prot#'!A:AL,13,FALSE)-VLOOKUP(A293,'SegEnds_NonXtal_Prot#'!A:AL,10,FALSE)</f>
        <v>21</v>
      </c>
      <c r="AE293" s="1">
        <f>VLOOKUP(A293,'SegEnds_NonXtal_Prot#'!A:AL,16,FALSE)-VLOOKUP(A293,'SegEnds_NonXtal_Prot#'!A:AL,10,FALSE)</f>
        <v>56</v>
      </c>
      <c r="AF293" s="1">
        <f>VLOOKUP(A293,'SegEnds_NonXtal_Prot#'!A:AL,22,FALSE)-VLOOKUP(A293,'SegEnds_NonXtal_Prot#'!A:AL,19,FALSE)</f>
        <v>20</v>
      </c>
      <c r="AG293" s="1">
        <f>VLOOKUP(A293,'SegEnds_NonXtal_Prot#'!A:AL,28,FALSE)-VLOOKUP(A293,'SegEnds_NonXtal_Prot#'!A:AL,25,FALSE)</f>
        <v>33</v>
      </c>
      <c r="AH293" s="1">
        <f>VLOOKUP(A293,'SegEnds_NonXtal_Prot#'!A:AL,28,FALSE)-VLOOKUP(A293,'SegEnds_NonXtal_Prot#'!A:AL,22,FALSE)</f>
        <v>59</v>
      </c>
      <c r="AI293" s="1">
        <f>VLOOKUP(A293,'SegEnds_NonXtal_Prot#'!A:AL,31,FALSE)-VLOOKUP(A293,'SegEnds_NonXtal_Prot#'!A:AL,28,FALSE)</f>
        <v>56</v>
      </c>
      <c r="AJ293" s="1">
        <f>VLOOKUP(A293,'SegEnds_NonXtal_Prot#'!A:AL,34,FALSE)-VLOOKUP(A293,'SegEnds_NonXtal_Prot#'!A:AL,31,FALSE)</f>
        <v>46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Xtal</v>
      </c>
    </row>
    <row r="294" spans="1:38" x14ac:dyDescent="0.2">
      <c r="A294" s="1" t="s">
        <v>370</v>
      </c>
      <c r="B294" s="1" t="str">
        <f>VLOOKUP(A294,Xtal_Templ!A:B,2,FALSE)</f>
        <v>ptafr_human</v>
      </c>
      <c r="C294" s="5">
        <f>VLOOKUP($B294&amp;"__wt",'SegEnds_Xtal_BW#'!$A:$Z,3,FALSE)</f>
        <v>27</v>
      </c>
      <c r="D294" s="1">
        <f>VLOOKUP($B294&amp;"__wt",'SegEnds_Xtal_BW#'!$A:$Z,4,FALSE)</f>
        <v>61</v>
      </c>
      <c r="E294" s="1" t="str">
        <f>VLOOKUP($B294&amp;"__wt",'SegEnds_Xtal_BW#'!$A:$Z,5,FALSE)</f>
        <v>-</v>
      </c>
      <c r="F294" s="1" t="str">
        <f>VLOOKUP($B294&amp;"__wt",'SegEnds_Xtal_BW#'!$A:$Z,6,FALSE)</f>
        <v>-</v>
      </c>
      <c r="G294" s="1">
        <v>37</v>
      </c>
      <c r="H294" s="12">
        <f>VLOOKUP($B294&amp;"__wt",'SegEnds_Xtal_BW#'!$A:$Z,8,FALSE)</f>
        <v>67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7">
        <f>VLOOKUP($B294&amp;"__wt",'SegEnds_Xtal_BW#'!$A:$Z,15,FALSE)</f>
        <v>38</v>
      </c>
      <c r="P294" s="1">
        <f>VLOOKUP($B294&amp;"__wt",'SegEnds_Xtal_BW#'!$A:$Z,16,FALSE)</f>
        <v>63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33</v>
      </c>
      <c r="T294" s="1">
        <f t="array" ref="T294">INDEX(ICL3_classA!$G$2:$G$37,MATCH(MIN(ABS(AI294-ICL3_classA!$F$2:$F$37)),ABS(AI294-ICL3_classA!$F$2:$F$37),0))</f>
        <v>67</v>
      </c>
      <c r="U294" s="1">
        <f t="array" ref="U294">INDEX(ICL3_classA!$H$2:$H$37,MATCH(MIN(ABS(AI294-ICL3_classA!$F$2:$F$37)),ABS(AI294-ICL3_classA!$F$2:$F$37),0))</f>
        <v>26</v>
      </c>
      <c r="V294" s="1">
        <v>64</v>
      </c>
      <c r="W294" s="1">
        <v>24</v>
      </c>
      <c r="X294" s="1">
        <f>VLOOKUP($B294&amp;"__wt",'SegEnds_Xtal_BW#'!$A:$Z,24,FALSE)</f>
        <v>59</v>
      </c>
      <c r="Y294" s="1">
        <f>VLOOKUP($B294&amp;"__wt",'SegEnds_Xtal_BW#'!$A:$Z,25,FALSE)</f>
        <v>50</v>
      </c>
      <c r="Z294" s="1">
        <f>VLOOKUP($B294&amp;"__wt",'SegEnds_Xtal_BW#'!$A:$Z,26,FALSE)</f>
        <v>63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28</v>
      </c>
      <c r="AC294" s="1" t="e">
        <f>VLOOKUP(A294,'SegEnds_NonXtal_Prot#'!A:AL,10,FALSE)-VLOOKUP(A294,'SegEnds_NonXtal_Prot#'!A:AL,7,FALSE)</f>
        <v>#VALUE!</v>
      </c>
      <c r="AD294" s="1">
        <f>VLOOKUP(A294,'SegEnds_NonXtal_Prot#'!A:AL,13,FALSE)-VLOOKUP(A294,'SegEnds_NonXtal_Prot#'!A:AL,10,FALSE)</f>
        <v>20</v>
      </c>
      <c r="AE294" s="1">
        <f>VLOOKUP(A294,'SegEnds_NonXtal_Prot#'!A:AL,16,FALSE)-VLOOKUP(A294,'SegEnds_NonXtal_Prot#'!A:AL,10,FALSE)</f>
        <v>52</v>
      </c>
      <c r="AF294" s="1">
        <f>VLOOKUP(A294,'SegEnds_NonXtal_Prot#'!A:AL,22,FALSE)-VLOOKUP(A294,'SegEnds_NonXtal_Prot#'!A:AL,19,FALSE)</f>
        <v>20</v>
      </c>
      <c r="AG294" s="1">
        <f>VLOOKUP(A294,'SegEnds_NonXtal_Prot#'!A:AL,28,FALSE)-VLOOKUP(A294,'SegEnds_NonXtal_Prot#'!A:AL,25,FALSE)</f>
        <v>25</v>
      </c>
      <c r="AH294" s="1">
        <f>VLOOKUP(A294,'SegEnds_NonXtal_Prot#'!A:AL,28,FALSE)-VLOOKUP(A294,'SegEnds_NonXtal_Prot#'!A:AL,22,FALSE)</f>
        <v>56</v>
      </c>
      <c r="AI294" s="1">
        <f>VLOOKUP(A294,'SegEnds_NonXtal_Prot#'!A:AL,31,FALSE)-VLOOKUP(A294,'SegEnds_NonXtal_Prot#'!A:AL,28,FALSE)</f>
        <v>46</v>
      </c>
      <c r="AJ294" s="1">
        <f>VLOOKUP(A294,'SegEnds_NonXtal_Prot#'!A:AL,34,FALSE)-VLOOKUP(A294,'SegEnds_NonXtal_Prot#'!A:AL,31,FALSE)</f>
        <v>46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NoXtal</v>
      </c>
    </row>
    <row r="295" spans="1:38" x14ac:dyDescent="0.2">
      <c r="A295" s="1" t="s">
        <v>236</v>
      </c>
      <c r="B295" s="1" t="str">
        <f>VLOOKUP(A295,Xtal_Templ!A:B,2,FALSE)</f>
        <v>ccr5_human</v>
      </c>
      <c r="C295" s="5">
        <f>VLOOKUP($B295&amp;"__wt",'SegEnds_Xtal_BW#'!$A:$Z,3,FALSE)</f>
        <v>24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v>66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24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87">
        <f>VLOOKUP($B295&amp;"__wt",'SegEnds_Xtal_BW#'!$A:$Z,15,FALSE)</f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v>34</v>
      </c>
      <c r="T295" s="1">
        <f t="array" ref="T295">INDEX(ICL3_classA!$G$2:$G$37,MATCH(MIN(ABS(AI295-ICL3_classA!$F$2:$F$37)),ABS(AI295-ICL3_classA!$F$2:$F$37),0))</f>
        <v>68</v>
      </c>
      <c r="U295" s="1">
        <f t="array" ref="U295">INDEX(ICL3_classA!$H$2:$H$37,MATCH(MIN(ABS(AI295-ICL3_classA!$F$2:$F$37)),ABS(AI295-ICL3_classA!$F$2:$F$37),0))</f>
        <v>24</v>
      </c>
      <c r="V295" s="1">
        <v>64</v>
      </c>
      <c r="W295" s="1">
        <v>24</v>
      </c>
      <c r="X295" s="125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59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>
        <f>VLOOKUP(A295,'SegEnds_NonXtal_Prot#'!A:AL,10,FALSE)-VLOOKUP(A295,'SegEnds_NonXtal_Prot#'!A:AL,7,FALSE)</f>
        <v>15</v>
      </c>
      <c r="AD295" s="1">
        <f>VLOOKUP(A295,'SegEnds_NonXtal_Prot#'!A:AL,13,FALSE)-VLOOKUP(A295,'SegEnds_NonXtal_Prot#'!A:AL,10,FALSE)</f>
        <v>19</v>
      </c>
      <c r="AE295" s="1">
        <f>VLOOKUP(A295,'SegEnds_NonXtal_Prot#'!A:AL,16,FALSE)-VLOOKUP(A295,'SegEnds_NonXtal_Prot#'!A:AL,10,FALSE)</f>
        <v>50</v>
      </c>
      <c r="AF295" s="1">
        <f>VLOOKUP(A295,'SegEnds_NonXtal_Prot#'!A:AL,22,FALSE)-VLOOKUP(A295,'SegEnds_NonXtal_Prot#'!A:AL,19,FALSE)</f>
        <v>20</v>
      </c>
      <c r="AG295" s="1">
        <f>VLOOKUP(A295,'SegEnds_NonXtal_Prot#'!A:AL,28,FALSE)-VLOOKUP(A295,'SegEnds_NonXtal_Prot#'!A:AL,25,FALSE)</f>
        <v>21</v>
      </c>
      <c r="AH295" s="1">
        <f>VLOOKUP(A295,'SegEnds_NonXtal_Prot#'!A:AL,28,FALSE)-VLOOKUP(A295,'SegEnds_NonXtal_Prot#'!A:AL,22,FALSE)</f>
        <v>44</v>
      </c>
      <c r="AI295" s="1">
        <f>VLOOKUP(A295,'SegEnds_NonXtal_Prot#'!A:AL,31,FALSE)-VLOOKUP(A295,'SegEnds_NonXtal_Prot#'!A:AL,28,FALSE)</f>
        <v>48</v>
      </c>
      <c r="AJ295" s="1">
        <f>VLOOKUP(A295,'SegEnds_NonXtal_Prot#'!A:AL,34,FALSE)-VLOOKUP(A295,'SegEnds_NonXtal_Prot#'!A:AL,31,FALSE)</f>
        <v>47</v>
      </c>
      <c r="AK295" s="1">
        <f>VLOOKUP(A295,'SegEnds_NonXtal_Prot#'!A:AL,37,FALSE)-VLOOKUP(A295,'SegEnds_NonXtal_Prot#'!A:AL,34,FALSE)</f>
        <v>10</v>
      </c>
      <c r="AL295" s="1" t="str">
        <f>IF(ISERROR(MATCH(A295,'SegEnds_Xtal_Prot#'!B:B, 0)), "NoXtal", "Xtal")</f>
        <v>NoXtal</v>
      </c>
    </row>
    <row r="296" spans="1:38" x14ac:dyDescent="0.2">
      <c r="A296" s="1" t="s">
        <v>214</v>
      </c>
      <c r="B296" s="1" t="str">
        <f>VLOOKUP(A296,Xtal_Templ!A:B,2,FALSE)</f>
        <v>par2_human</v>
      </c>
      <c r="C296" s="5">
        <f>VLOOKUP($B296&amp;"__wt",'SegEnds_Xtal_BW#'!$A:$Z,3,FALSE)</f>
        <v>28</v>
      </c>
      <c r="D296" s="1">
        <f>VLOOKUP($B296&amp;"__wt",'SegEnds_Xtal_BW#'!$A:$Z,4,FALSE)</f>
        <v>60</v>
      </c>
      <c r="E296" s="1" t="str">
        <f>VLOOKUP($B296&amp;"__wt",'SegEnds_Xtal_BW#'!$A:$Z,5,FALSE)</f>
        <v>-</v>
      </c>
      <c r="F296" s="1" t="str">
        <f>VLOOKUP($B296&amp;"__wt",'SegEnds_Xtal_BW#'!$A:$Z,6,FALSE)</f>
        <v>-</v>
      </c>
      <c r="G296" s="1">
        <v>37</v>
      </c>
      <c r="H296" s="12">
        <f>VLOOKUP($B296&amp;"__wt",'SegEnds_Xtal_BW#'!$A:$Z,8,FALSE)</f>
        <v>66</v>
      </c>
      <c r="I296" s="1">
        <f>VLOOKUP($B296&amp;"__wt",'SegEnds_Xtal_BW#'!$A:$Z,9,FALSE)</f>
        <v>47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f>VLOOKUP($B296&amp;"__wt",'SegEnds_Xtal_BW#'!$A:$Z,14,FALSE)</f>
        <v>56</v>
      </c>
      <c r="O296" s="87">
        <f>VLOOKUP($B296&amp;"__wt",'SegEnds_Xtal_BW#'!$A:$Z,15,FALSE)</f>
        <v>38</v>
      </c>
      <c r="P296" s="1">
        <f>VLOOKUP($B296&amp;"__wt",'SegEnds_Xtal_BW#'!$A:$Z,16,FALSE)</f>
        <v>62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f>VLOOKUP($B296&amp;"__wt",'SegEnds_Xtal_BW#'!$A:$Z,19,FALSE)</f>
        <v>31</v>
      </c>
      <c r="T296" s="1">
        <f t="array" ref="T296">INDEX(ICL3_classA!$G$2:$G$37,MATCH(MIN(ABS(AI296-ICL3_classA!$F$2:$F$37)),ABS(AI296-ICL3_classA!$F$2:$F$37),0))</f>
        <v>67</v>
      </c>
      <c r="U296" s="1">
        <f t="array" ref="U296">INDEX(ICL3_classA!$H$2:$H$37,MATCH(MIN(ABS(AI296-ICL3_classA!$F$2:$F$37)),ABS(AI296-ICL3_classA!$F$2:$F$37),0))</f>
        <v>26</v>
      </c>
      <c r="V296" s="1">
        <v>64</v>
      </c>
      <c r="W296" s="1">
        <v>24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61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28</v>
      </c>
      <c r="AC296" s="1" t="e">
        <f>VLOOKUP(A296,'SegEnds_NonXtal_Prot#'!A:AL,10,FALSE)-VLOOKUP(A296,'SegEnds_NonXtal_Prot#'!A:AL,7,FALSE)</f>
        <v>#VALUE!</v>
      </c>
      <c r="AD296" s="1">
        <f>VLOOKUP(A296,'SegEnds_NonXtal_Prot#'!A:AL,13,FALSE)-VLOOKUP(A296,'SegEnds_NonXtal_Prot#'!A:AL,10,FALSE)</f>
        <v>20</v>
      </c>
      <c r="AE296" s="1">
        <f>VLOOKUP(A296,'SegEnds_NonXtal_Prot#'!A:AL,16,FALSE)-VLOOKUP(A296,'SegEnds_NonXtal_Prot#'!A:AL,10,FALSE)</f>
        <v>52</v>
      </c>
      <c r="AF296" s="1" t="e">
        <f>VLOOKUP(A296,'SegEnds_NonXtal_Prot#'!A:AL,22,FALSE)-VLOOKUP(A296,'SegEnds_NonXtal_Prot#'!A:AL,19,FALSE)</f>
        <v>#VALUE!</v>
      </c>
      <c r="AG296" s="1">
        <f>VLOOKUP(A296,'SegEnds_NonXtal_Prot#'!A:AL,28,FALSE)-VLOOKUP(A296,'SegEnds_NonXtal_Prot#'!A:AL,25,FALSE)</f>
        <v>25</v>
      </c>
      <c r="AH296" s="1">
        <f>VLOOKUP(A296,'SegEnds_NonXtal_Prot#'!A:AL,28,FALSE)-VLOOKUP(A296,'SegEnds_NonXtal_Prot#'!A:AL,22,FALSE)</f>
        <v>44</v>
      </c>
      <c r="AI296" s="1">
        <f>VLOOKUP(A296,'SegEnds_NonXtal_Prot#'!A:AL,31,FALSE)-VLOOKUP(A296,'SegEnds_NonXtal_Prot#'!A:AL,28,FALSE)</f>
        <v>46</v>
      </c>
      <c r="AJ296" s="1">
        <f>VLOOKUP(A296,'SegEnds_NonXtal_Prot#'!A:AL,34,FALSE)-VLOOKUP(A296,'SegEnds_NonXtal_Prot#'!A:AL,31,FALSE)</f>
        <v>48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351</v>
      </c>
      <c r="B297" s="1" t="str">
        <f>VLOOKUP(A297,Xtal_Templ!A:B,2,FALSE)</f>
        <v>p2ry1_human</v>
      </c>
      <c r="C297" s="5">
        <f>VLOOKUP($B297&amp;"__wt",'SegEnds_Xtal_BW#'!$A:$Z,3,FALSE)</f>
        <v>30</v>
      </c>
      <c r="D297" s="1">
        <f>VLOOKUP($B297&amp;"__wt",'SegEnds_Xtal_BW#'!$A:$Z,4,FALSE)</f>
        <v>60</v>
      </c>
      <c r="E297" s="1" t="str">
        <f>VLOOKUP($B297&amp;"__wt",'SegEnds_Xtal_BW#'!$A:$Z,5,FALSE)</f>
        <v>-</v>
      </c>
      <c r="F297" s="1" t="str">
        <f>VLOOKUP($B297&amp;"__wt",'SegEnds_Xtal_BW#'!$A:$Z,6,FALSE)</f>
        <v>-</v>
      </c>
      <c r="G297" s="1">
        <v>37</v>
      </c>
      <c r="H297" s="12">
        <f>VLOOKUP($B297&amp;"__wt",'SegEnds_Xtal_BW#'!$A:$Z,8,FALSE)</f>
        <v>66</v>
      </c>
      <c r="I297" s="1">
        <f>VLOOKUP($B297&amp;"__wt",'SegEnds_Xtal_BW#'!$A:$Z,9,FALSE)</f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v>57</v>
      </c>
      <c r="O297" s="87">
        <f>VLOOKUP($B297&amp;"__wt",'SegEnds_Xtal_BW#'!$A:$Z,15,FALSE)</f>
        <v>38</v>
      </c>
      <c r="P297" s="1">
        <f>VLOOKUP($B297&amp;"__wt",'SegEnds_Xtal_BW#'!$A:$Z,16,FALSE)</f>
        <v>64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32</v>
      </c>
      <c r="T297" s="1">
        <f t="array" ref="T297">INDEX(ICL3_classA!$G$2:$G$37,MATCH(MIN(ABS(AI297-ICL3_classA!$F$2:$F$37)),ABS(AI297-ICL3_classA!$F$2:$F$37),0))</f>
        <v>67</v>
      </c>
      <c r="U297" s="1">
        <f t="array" ref="U297">INDEX(ICL3_classA!$H$2:$H$37,MATCH(MIN(ABS(AI297-ICL3_classA!$F$2:$F$37)),ABS(AI297-ICL3_classA!$F$2:$F$37),0))</f>
        <v>26</v>
      </c>
      <c r="V297" s="1">
        <v>64</v>
      </c>
      <c r="W297" s="1">
        <v>24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59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29</v>
      </c>
      <c r="AC297" s="1" t="e">
        <f>VLOOKUP(A297,'SegEnds_NonXtal_Prot#'!A:AL,10,FALSE)-VLOOKUP(A297,'SegEnds_NonXtal_Prot#'!A:AL,7,FALSE)</f>
        <v>#VALUE!</v>
      </c>
      <c r="AD297" s="1">
        <f>VLOOKUP(A297,'SegEnds_NonXtal_Prot#'!A:AL,13,FALSE)-VLOOKUP(A297,'SegEnds_NonXtal_Prot#'!A:AL,10,FALSE)</f>
        <v>20</v>
      </c>
      <c r="AE297" s="1">
        <f>VLOOKUP(A297,'SegEnds_NonXtal_Prot#'!A:AL,16,FALSE)-VLOOKUP(A297,'SegEnds_NonXtal_Prot#'!A:AL,10,FALSE)</f>
        <v>52</v>
      </c>
      <c r="AF297" s="1">
        <f>VLOOKUP(A297,'SegEnds_NonXtal_Prot#'!A:AL,22,FALSE)-VLOOKUP(A297,'SegEnds_NonXtal_Prot#'!A:AL,19,FALSE)</f>
        <v>20</v>
      </c>
      <c r="AG297" s="1">
        <f>VLOOKUP(A297,'SegEnds_NonXtal_Prot#'!A:AL,28,FALSE)-VLOOKUP(A297,'SegEnds_NonXtal_Prot#'!A:AL,25,FALSE)</f>
        <v>26</v>
      </c>
      <c r="AH297" s="1">
        <f>VLOOKUP(A297,'SegEnds_NonXtal_Prot#'!A:AL,28,FALSE)-VLOOKUP(A297,'SegEnds_NonXtal_Prot#'!A:AL,22,FALSE)</f>
        <v>63</v>
      </c>
      <c r="AI297" s="1">
        <f>VLOOKUP(A297,'SegEnds_NonXtal_Prot#'!A:AL,31,FALSE)-VLOOKUP(A297,'SegEnds_NonXtal_Prot#'!A:AL,28,FALSE)</f>
        <v>46</v>
      </c>
      <c r="AJ297" s="1">
        <f>VLOOKUP(A297,'SegEnds_NonXtal_Prot#'!A:AL,34,FALSE)-VLOOKUP(A297,'SegEnds_NonXtal_Prot#'!A:AL,31,FALSE)</f>
        <v>55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1" t="s">
        <v>329</v>
      </c>
      <c r="B298" s="1" t="str">
        <f>VLOOKUP(A298,Xtal_Templ!A:B,2,FALSE)</f>
        <v>npy1r_human</v>
      </c>
      <c r="C298" s="5">
        <f>VLOOKUP($B298&amp;"__wt",'SegEnds_Xtal_BW#'!$A:$Z,3,FALSE)</f>
        <v>28</v>
      </c>
      <c r="D298" s="1">
        <f>VLOOKUP($B298&amp;"__wt",'SegEnds_Xtal_BW#'!$A:$Z,4,FALSE)</f>
        <v>60</v>
      </c>
      <c r="E298" s="1">
        <f>VLOOKUP($B298&amp;"__wt",'SegEnds_Xtal_BW#'!$A:$Z,5,FALSE)</f>
        <v>48</v>
      </c>
      <c r="F298" s="1">
        <f>VLOOKUP($B298&amp;"__wt",'SegEnds_Xtal_BW#'!$A:$Z,6,FALSE)</f>
        <v>51</v>
      </c>
      <c r="G298" s="1">
        <v>37</v>
      </c>
      <c r="H298" s="12">
        <f>VLOOKUP($B298&amp;"__wt",'SegEnds_Xtal_BW#'!$A:$Z,8,FALSE)</f>
        <v>68</v>
      </c>
      <c r="I298" s="1">
        <f>VLOOKUP($B298&amp;"__wt",'SegEnds_Xtal_BW#'!$A:$Z,9,FALSE)</f>
        <v>49</v>
      </c>
      <c r="J298" s="1">
        <f>VLOOKUP($B298&amp;"__wt",'SegEnds_Xtal_BW#'!$A:$Z,10,FALSE)</f>
        <v>52</v>
      </c>
      <c r="K298" s="12">
        <v>18</v>
      </c>
      <c r="L298" s="1">
        <f>VLOOKUP($B298&amp;"__wt",'SegEnds_Xtal_BW#'!$A:$Z,12,FALSE)</f>
        <v>56</v>
      </c>
      <c r="M298" s="1" t="str">
        <f>VLOOKUP($B298&amp;"__wt",'SegEnds_Xtal_BW#'!$A:$Z,13,FALSE)</f>
        <v>-</v>
      </c>
      <c r="N298" s="12" t="str">
        <f>VLOOKUP($B298&amp;"__wt",'SegEnds_Xtal_BW#'!$A:$Z,14,FALSE)</f>
        <v>-</v>
      </c>
      <c r="O298" s="87">
        <f>VLOOKUP($B298&amp;"__wt",'SegEnds_Xtal_BW#'!$A:$Z,15,FALSE)</f>
        <v>38</v>
      </c>
      <c r="P298" s="1">
        <f>VLOOKUP($B298&amp;"__wt",'SegEnds_Xtal_BW#'!$A:$Z,16,FALSE)</f>
        <v>64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f>VLOOKUP($B298&amp;"__wt",'SegEnds_Xtal_BW#'!$A:$Z,19,FALSE)</f>
        <v>31</v>
      </c>
      <c r="T298" s="1">
        <f t="array" ref="T298">INDEX(ICL3_classA!$G$2:$G$37,MATCH(MIN(ABS(AI298-ICL3_classA!$F$2:$F$37)),ABS(AI298-ICL3_classA!$F$2:$F$37),0))</f>
        <v>73</v>
      </c>
      <c r="U298" s="1">
        <f t="array" ref="U298">INDEX(ICL3_classA!$H$2:$H$37,MATCH(MIN(ABS(AI298-ICL3_classA!$F$2:$F$37)),ABS(AI298-ICL3_classA!$F$2:$F$37),0))</f>
        <v>22</v>
      </c>
      <c r="V298" s="1">
        <v>61</v>
      </c>
      <c r="W298" s="1">
        <v>24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58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29</v>
      </c>
      <c r="AC298" s="1">
        <f>VLOOKUP(A298,'SegEnds_NonXtal_Prot#'!A:AL,10,FALSE)-VLOOKUP(A298,'SegEnds_NonXtal_Prot#'!A:AL,7,FALSE)</f>
        <v>15</v>
      </c>
      <c r="AD298" s="1">
        <f>VLOOKUP(A298,'SegEnds_NonXtal_Prot#'!A:AL,13,FALSE)-VLOOKUP(A298,'SegEnds_NonXtal_Prot#'!A:AL,10,FALSE)</f>
        <v>20</v>
      </c>
      <c r="AE298" s="1">
        <f>VLOOKUP(A298,'SegEnds_NonXtal_Prot#'!A:AL,16,FALSE)-VLOOKUP(A298,'SegEnds_NonXtal_Prot#'!A:AL,10,FALSE)</f>
        <v>52</v>
      </c>
      <c r="AF298" s="1" t="e">
        <f>VLOOKUP(A298,'SegEnds_NonXtal_Prot#'!A:AL,22,FALSE)-VLOOKUP(A298,'SegEnds_NonXtal_Prot#'!A:AL,19,FALSE)</f>
        <v>#VALUE!</v>
      </c>
      <c r="AG298" s="1" t="e">
        <f>VLOOKUP(A298,'SegEnds_NonXtal_Prot#'!A:AL,28,FALSE)-VLOOKUP(A298,'SegEnds_NonXtal_Prot#'!A:AL,25,FALSE)</f>
        <v>#VALUE!</v>
      </c>
      <c r="AH298" s="1">
        <f>VLOOKUP(A298,'SegEnds_NonXtal_Prot#'!A:AL,28,FALSE)-VLOOKUP(A298,'SegEnds_NonXtal_Prot#'!A:AL,22,FALSE)</f>
        <v>62</v>
      </c>
      <c r="AI298" s="1">
        <f>VLOOKUP(A298,'SegEnds_NonXtal_Prot#'!A:AL,31,FALSE)-VLOOKUP(A298,'SegEnds_NonXtal_Prot#'!A:AL,28,FALSE)</f>
        <v>55</v>
      </c>
      <c r="AJ298" s="1" t="e">
        <f>VLOOKUP(A298,'SegEnds_NonXtal_Prot#'!A:AL,34,FALSE)-VLOOKUP(A298,'SegEnds_NonXtal_Prot#'!A:AL,31,FALSE)</f>
        <v>#VALUE!</v>
      </c>
      <c r="AK298" s="1" t="e">
        <f>VLOOKUP(A298,'SegEnds_NonXtal_Prot#'!A:AL,37,FALSE)-VLOOKUP(A298,'SegEnds_NonXtal_Prot#'!A:AL,34,FALSE)</f>
        <v>#VALUE!</v>
      </c>
      <c r="AL298" s="1" t="str">
        <f>IF(ISERROR(MATCH(A298,'SegEnds_Xtal_Prot#'!B:B, 0)), "NoXtal", "Xtal")</f>
        <v>NoXtal</v>
      </c>
    </row>
    <row r="299" spans="1:38" s="42" customFormat="1" x14ac:dyDescent="0.2">
      <c r="A299" s="42" t="s">
        <v>411</v>
      </c>
      <c r="B299" s="42" t="str">
        <f>VLOOKUP(A299,Xtal_Templ!A:B,2,FALSE)</f>
        <v>glp1r_human</v>
      </c>
      <c r="C299" s="43">
        <f>VLOOKUP($B299&amp;"__wt",'SegEnds_Xtal_BW#'!$A:$Z,3,FALSE)</f>
        <v>29</v>
      </c>
      <c r="D299" s="42">
        <f>VLOOKUP($B299&amp;"__wt",'SegEnds_Xtal_BW#'!$A:$Z,4,FALSE)</f>
        <v>60</v>
      </c>
      <c r="E299" s="42">
        <f>VLOOKUP($B299&amp;"__wt",'SegEnds_Xtal_BW#'!$A:$Z,5,FALSE)</f>
        <v>48</v>
      </c>
      <c r="F299" s="42">
        <f>VLOOKUP($B299&amp;"__wt",'SegEnds_Xtal_BW#'!$A:$Z,6,FALSE)</f>
        <v>51</v>
      </c>
      <c r="G299" s="42">
        <v>37</v>
      </c>
      <c r="H299" s="116">
        <v>64</v>
      </c>
      <c r="I299" s="42" t="str">
        <f>VLOOKUP($B299&amp;"__wt",'SegEnds_Xtal_BW#'!$A:$Z,9,FALSE)</f>
        <v>-</v>
      </c>
      <c r="J299" s="42" t="str">
        <f>VLOOKUP($B299&amp;"__wt",'SegEnds_Xtal_BW#'!$A:$Z,10,FALSE)</f>
        <v>-</v>
      </c>
      <c r="K299" s="116">
        <v>23</v>
      </c>
      <c r="L299" s="42">
        <f>VLOOKUP($B299&amp;"__wt",'SegEnds_Xtal_BW#'!$A:$Z,12,FALSE)</f>
        <v>56</v>
      </c>
      <c r="M299" s="42" t="str">
        <f>VLOOKUP($B299&amp;"__wt",'SegEnds_Xtal_BW#'!$A:$Z,13,FALSE)</f>
        <v>-</v>
      </c>
      <c r="N299" s="101" t="str">
        <f>VLOOKUP($B299&amp;"__wt",'SegEnds_Xtal_BW#'!$A:$Z,14,FALSE)</f>
        <v>-</v>
      </c>
      <c r="O299" s="89">
        <f>VLOOKUP($B299&amp;"__wt",'SegEnds_Xtal_BW#'!$A:$Z,15,FALSE)</f>
        <v>38</v>
      </c>
      <c r="P299" s="42">
        <f>VLOOKUP($B299&amp;"__wt",'SegEnds_Xtal_BW#'!$A:$Z,16,FALSE)</f>
        <v>68</v>
      </c>
      <c r="Q299" s="42">
        <f>VLOOKUP($B299&amp;"__wt",'SegEnds_Xtal_BW#'!$A:$Z,17,FALSE)</f>
        <v>50</v>
      </c>
      <c r="R299" s="42">
        <f>VLOOKUP($B299&amp;"__wt",'SegEnds_Xtal_BW#'!$A:$Z,18,FALSE)</f>
        <v>52</v>
      </c>
      <c r="S299" s="116">
        <v>39</v>
      </c>
      <c r="T299" s="42">
        <v>69</v>
      </c>
      <c r="U299" s="42">
        <v>25</v>
      </c>
      <c r="V299" s="4">
        <f>VLOOKUP($B299&amp;"__wt",'SegEnds_Xtal_BW#'!$A:$Z,22,FALSE)</f>
        <v>53</v>
      </c>
      <c r="W299" s="42">
        <v>31</v>
      </c>
      <c r="X299" s="42">
        <f>VLOOKUP($B299&amp;"__wt",'SegEnds_Xtal_BW#'!$A:$Z,24,FALSE)</f>
        <v>56</v>
      </c>
      <c r="Y299" s="42">
        <f>VLOOKUP($B299&amp;"__wt",'SegEnds_Xtal_BW#'!$A:$Z,25,FALSE)</f>
        <v>47</v>
      </c>
      <c r="Z299" s="42">
        <f>VLOOKUP($B299&amp;"__wt",'SegEnds_Xtal_BW#'!$A:$Z,26,FALSE)</f>
        <v>72</v>
      </c>
      <c r="AA299" s="44" t="str">
        <f>VLOOKUP(A299,Classification!A:B,2,FALSE)</f>
        <v>B1</v>
      </c>
      <c r="AB299" s="1">
        <f>VLOOKUP(A299,'SegEnds_NonXtal_Prot#'!A:AL,10,FALSE)-VLOOKUP(A299,'SegEnds_NonXtal_Prot#'!A:AL,4,FALSE)</f>
        <v>28</v>
      </c>
      <c r="AC299" s="42">
        <f>VLOOKUP(A299,'SegEnds_NonXtal_Prot#'!A:AL,10,FALSE)-VLOOKUP(A299,'SegEnds_NonXtal_Prot#'!A:AL,7,FALSE)</f>
        <v>15</v>
      </c>
      <c r="AD299" s="42" t="e">
        <f>VLOOKUP(A299,'SegEnds_NonXtal_Prot#'!A:AL,13,FALSE)-VLOOKUP(A299,'SegEnds_NonXtal_Prot#'!A:AL,10,FALSE)</f>
        <v>#VALUE!</v>
      </c>
      <c r="AE299" s="42">
        <f>VLOOKUP(A299,'SegEnds_NonXtal_Prot#'!A:AL,16,FALSE)-VLOOKUP(A299,'SegEnds_NonXtal_Prot#'!A:AL,10,FALSE)</f>
        <v>55</v>
      </c>
      <c r="AF299" s="1" t="e">
        <f>VLOOKUP(A299,'SegEnds_NonXtal_Prot#'!A:AL,22,FALSE)-VLOOKUP(A299,'SegEnds_NonXtal_Prot#'!A:AL,19,FALSE)</f>
        <v>#VALUE!</v>
      </c>
      <c r="AG299" s="42">
        <f>VLOOKUP(A299,'SegEnds_NonXtal_Prot#'!A:AL,28,FALSE)-VLOOKUP(A299,'SegEnds_NonXtal_Prot#'!A:AL,25,FALSE)</f>
        <v>20</v>
      </c>
      <c r="AH299" s="1">
        <f>VLOOKUP(A299,'SegEnds_NonXtal_Prot#'!A:AL,28,FALSE)-VLOOKUP(A299,'SegEnds_NonXtal_Prot#'!A:AL,22,FALSE)</f>
        <v>42</v>
      </c>
      <c r="AI299" s="42">
        <f>VLOOKUP(A299,'SegEnds_NonXtal_Prot#'!A:AL,31,FALSE)-VLOOKUP(A299,'SegEnds_NonXtal_Prot#'!A:AL,28,FALSE)</f>
        <v>52</v>
      </c>
      <c r="AJ299" s="42">
        <f>VLOOKUP(A299,'SegEnds_NonXtal_Prot#'!A:AL,34,FALSE)-VLOOKUP(A299,'SegEnds_NonXtal_Prot#'!A:AL,31,FALSE)</f>
        <v>28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NoXtal</v>
      </c>
    </row>
    <row r="300" spans="1:38" x14ac:dyDescent="0.2">
      <c r="A300" s="4" t="s">
        <v>404</v>
      </c>
      <c r="B300" s="4" t="str">
        <f>VLOOKUP(A300,Xtal_Templ!A:B,2,FALSE)</f>
        <v>glr_human</v>
      </c>
      <c r="C300" s="5">
        <f>VLOOKUP($B300&amp;"__wt",'SegEnds_Xtal_BW#'!$A:$Z,3,FALSE)</f>
        <v>25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5">
        <v>64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5">
        <v>23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88">
        <f>VLOOKUP($B300&amp;"__wt",'SegEnds_Xtal_BW#'!$A:$Z,15,FALSE)</f>
        <v>40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108">
        <v>39</v>
      </c>
      <c r="T300" s="4">
        <v>69</v>
      </c>
      <c r="U300" s="4">
        <v>25</v>
      </c>
      <c r="V300" s="4">
        <f>VLOOKUP($B300&amp;"__wt",'SegEnds_Xtal_BW#'!$A:$Z,22,FALSE)</f>
        <v>53</v>
      </c>
      <c r="W300" s="4">
        <v>31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1">
        <f>VLOOKUP(A300,'SegEnds_NonXtal_Prot#'!A:AL,10,FALSE)-VLOOKUP(A300,'SegEnds_NonXtal_Prot#'!A:AL,4,FALSE)</f>
        <v>28</v>
      </c>
      <c r="AC300" s="4">
        <f>VLOOKUP(A300,'SegEnds_NonXtal_Prot#'!A:AL,10,FALSE)-VLOOKUP(A300,'SegEnds_NonXtal_Prot#'!A:AL,7,FALSE)</f>
        <v>15</v>
      </c>
      <c r="AD300" s="4" t="e">
        <f>VLOOKUP(A300,'SegEnds_NonXtal_Prot#'!A:AL,13,FALSE)-VLOOKUP(A300,'SegEnds_NonXtal_Prot#'!A:AL,10,FALSE)</f>
        <v>#VALUE!</v>
      </c>
      <c r="AE300" s="4">
        <f>VLOOKUP(A300,'SegEnds_NonXtal_Prot#'!A:AL,16,FALSE)-VLOOKUP(A300,'SegEnds_NonXtal_Prot#'!A:AL,10,FALSE)</f>
        <v>55</v>
      </c>
      <c r="AF300" s="1" t="e">
        <f>VLOOKUP(A300,'SegEnds_NonXtal_Prot#'!A:AL,22,FALSE)-VLOOKUP(A300,'SegEnds_NonXtal_Prot#'!A:AL,19,FALSE)</f>
        <v>#VALUE!</v>
      </c>
      <c r="AG300" s="4">
        <f>VLOOKUP(A300,'SegEnds_NonXtal_Prot#'!A:AL,28,FALSE)-VLOOKUP(A300,'SegEnds_NonXtal_Prot#'!A:AL,25,FALSE)</f>
        <v>20</v>
      </c>
      <c r="AH300" s="1">
        <f>VLOOKUP(A300,'SegEnds_NonXtal_Prot#'!A:AL,28,FALSE)-VLOOKUP(A300,'SegEnds_NonXtal_Prot#'!A:AL,22,FALSE)</f>
        <v>42</v>
      </c>
      <c r="AI300" s="4">
        <f>VLOOKUP(A300,'SegEnds_NonXtal_Prot#'!A:AL,31,FALSE)-VLOOKUP(A300,'SegEnds_NonXtal_Prot#'!A:AL,28,FALSE)</f>
        <v>52</v>
      </c>
      <c r="AJ300" s="4">
        <f>VLOOKUP(A300,'SegEnds_NonXtal_Prot#'!A:AL,34,FALSE)-VLOOKUP(A300,'SegEnds_NonXtal_Prot#'!A:AL,31,FALSE)</f>
        <v>29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NoXtal</v>
      </c>
    </row>
    <row r="301" spans="1:38" x14ac:dyDescent="0.2">
      <c r="A301" s="1" t="s">
        <v>408</v>
      </c>
      <c r="B301" s="1" t="str">
        <f>VLOOKUP(A301,Xtal_Templ!A:B,2,FALSE)</f>
        <v>pth1r_human</v>
      </c>
      <c r="C301" s="5">
        <f>VLOOKUP($B301&amp;"__wt",'SegEnds_Xtal_BW#'!$A:$Z,3,FALSE)</f>
        <v>21</v>
      </c>
      <c r="D301" s="1">
        <f>VLOOKUP($B301&amp;"__wt",'SegEnds_Xtal_BW#'!$A:$Z,4,FALSE)</f>
        <v>60</v>
      </c>
      <c r="E301" s="1">
        <f>VLOOKUP($B301&amp;"__wt",'SegEnds_Xtal_BW#'!$A:$Z,5,FALSE)</f>
        <v>48</v>
      </c>
      <c r="F301" s="1">
        <f>VLOOKUP($B301&amp;"__wt",'SegEnds_Xtal_BW#'!$A:$Z,6,FALSE)</f>
        <v>51</v>
      </c>
      <c r="G301" s="1">
        <v>37</v>
      </c>
      <c r="H301" s="115">
        <v>64</v>
      </c>
      <c r="I301" s="1" t="str">
        <f>VLOOKUP($B301&amp;"__wt",'SegEnds_Xtal_BW#'!$A:$Z,9,FALSE)</f>
        <v>-</v>
      </c>
      <c r="J301" s="1" t="str">
        <f>VLOOKUP($B301&amp;"__wt",'SegEnds_Xtal_BW#'!$A:$Z,10,FALSE)</f>
        <v>-</v>
      </c>
      <c r="K301" s="108">
        <v>23</v>
      </c>
      <c r="L301" s="1">
        <f>VLOOKUP($B301&amp;"__wt",'SegEnds_Xtal_BW#'!$A:$Z,12,FALSE)</f>
        <v>56</v>
      </c>
      <c r="M301" s="1" t="str">
        <f>VLOOKUP($B301&amp;"__wt",'SegEnds_Xtal_BW#'!$A:$Z,13,FALSE)</f>
        <v>-</v>
      </c>
      <c r="N301" s="12" t="str">
        <f>VLOOKUP($B301&amp;"__wt",'SegEnds_Xtal_BW#'!$A:$Z,14,FALSE)</f>
        <v>-</v>
      </c>
      <c r="O301" s="87">
        <f>VLOOKUP($B301&amp;"__wt",'SegEnds_Xtal_BW#'!$A:$Z,15,FALSE)</f>
        <v>37</v>
      </c>
      <c r="P301" s="1">
        <f>VLOOKUP($B301&amp;"__wt",'SegEnds_Xtal_BW#'!$A:$Z,16,FALSE)</f>
        <v>68</v>
      </c>
      <c r="Q301" s="1">
        <f>VLOOKUP($B301&amp;"__wt",'SegEnds_Xtal_BW#'!$A:$Z,17,FALSE)</f>
        <v>50</v>
      </c>
      <c r="R301" s="1">
        <f>VLOOKUP($B301&amp;"__wt",'SegEnds_Xtal_BW#'!$A:$Z,18,FALSE)</f>
        <v>52</v>
      </c>
      <c r="S301" s="108">
        <v>39</v>
      </c>
      <c r="T301" s="1">
        <v>69</v>
      </c>
      <c r="U301" s="1">
        <v>25</v>
      </c>
      <c r="V301" s="1">
        <f>VLOOKUP($B301&amp;"__wt",'SegEnds_Xtal_BW#'!$A:$Z,22,FALSE)</f>
        <v>54</v>
      </c>
      <c r="W301" s="1">
        <v>31</v>
      </c>
      <c r="X301" s="1">
        <f>VLOOKUP($B301&amp;"__wt",'SegEnds_Xtal_BW#'!$A:$Z,24,FALSE)</f>
        <v>56</v>
      </c>
      <c r="Y301" s="1">
        <f>VLOOKUP($B301&amp;"__wt",'SegEnds_Xtal_BW#'!$A:$Z,25,FALSE)</f>
        <v>47</v>
      </c>
      <c r="Z301" s="1">
        <f>VLOOKUP($B301&amp;"__wt",'SegEnds_Xtal_BW#'!$A:$Z,26,FALSE)</f>
        <v>72</v>
      </c>
      <c r="AA301" s="27" t="str">
        <f>VLOOKUP(A301,Classification!A:B,2,FALSE)</f>
        <v>B1</v>
      </c>
      <c r="AB301" s="1">
        <f>VLOOKUP(A301,'SegEnds_NonXtal_Prot#'!A:AL,10,FALSE)-VLOOKUP(A301,'SegEnds_NonXtal_Prot#'!A:AL,4,FALSE)</f>
        <v>28</v>
      </c>
      <c r="AC301" s="1">
        <f>VLOOKUP(A301,'SegEnds_NonXtal_Prot#'!A:AL,10,FALSE)-VLOOKUP(A301,'SegEnds_NonXtal_Prot#'!A:AL,7,FALSE)</f>
        <v>15</v>
      </c>
      <c r="AD301" s="1" t="e">
        <f>VLOOKUP(A301,'SegEnds_NonXtal_Prot#'!A:AL,13,FALSE)-VLOOKUP(A301,'SegEnds_NonXtal_Prot#'!A:AL,10,FALSE)</f>
        <v>#VALUE!</v>
      </c>
      <c r="AE301" s="1">
        <f>VLOOKUP(A301,'SegEnds_NonXtal_Prot#'!A:AL,16,FALSE)-VLOOKUP(A301,'SegEnds_NonXtal_Prot#'!A:AL,10,FALSE)</f>
        <v>55</v>
      </c>
      <c r="AF301" s="1" t="e">
        <f>VLOOKUP(A301,'SegEnds_NonXtal_Prot#'!A:AL,22,FALSE)-VLOOKUP(A301,'SegEnds_NonXtal_Prot#'!A:AL,19,FALSE)</f>
        <v>#VALUE!</v>
      </c>
      <c r="AG301" s="1">
        <f>VLOOKUP(A301,'SegEnds_NonXtal_Prot#'!A:AL,28,FALSE)-VLOOKUP(A301,'SegEnds_NonXtal_Prot#'!A:AL,25,FALSE)</f>
        <v>20</v>
      </c>
      <c r="AH301" s="1">
        <f>VLOOKUP(A301,'SegEnds_NonXtal_Prot#'!A:AL,28,FALSE)-VLOOKUP(A301,'SegEnds_NonXtal_Prot#'!A:AL,22,FALSE)</f>
        <v>42</v>
      </c>
      <c r="AI301" s="1">
        <f>VLOOKUP(A301,'SegEnds_NonXtal_Prot#'!A:AL,31,FALSE)-VLOOKUP(A301,'SegEnds_NonXtal_Prot#'!A:AL,28,FALSE)</f>
        <v>52</v>
      </c>
      <c r="AJ301" s="1">
        <f>VLOOKUP(A301,'SegEnds_NonXtal_Prot#'!A:AL,34,FALSE)-VLOOKUP(A301,'SegEnds_NonXtal_Prot#'!A:AL,31,FALSE)</f>
        <v>29</v>
      </c>
      <c r="AK301" s="1">
        <f>VLOOKUP(A301,'SegEnds_NonXtal_Prot#'!A:AL,37,FALSE)-VLOOKUP(A301,'SegEnds_NonXtal_Prot#'!A:AL,34,FALSE)</f>
        <v>10</v>
      </c>
      <c r="AL301" s="1" t="str">
        <f>IF(ISERROR(MATCH(A301,'SegEnds_Xtal_Prot#'!B:B, 0)), "NoXtal", "Xtal")</f>
        <v>NoXtal</v>
      </c>
    </row>
    <row r="302" spans="1:38" x14ac:dyDescent="0.2">
      <c r="A302" s="4" t="s">
        <v>412</v>
      </c>
      <c r="B302" s="4" t="str">
        <f>VLOOKUP(A302,Xtal_Templ!A:B,2,FALSE)</f>
        <v>pth1r_human</v>
      </c>
      <c r="C302" s="5">
        <f>VLOOKUP($B302&amp;"__wt",'SegEnds_Xtal_BW#'!$A:$Z,3,FALSE)</f>
        <v>21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5">
        <v>64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5">
        <v>23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88">
        <f>VLOOKUP($B302&amp;"__wt",'SegEnds_Xtal_BW#'!$A:$Z,15,FALSE)</f>
        <v>37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08">
        <v>39</v>
      </c>
      <c r="T302" s="4">
        <v>69</v>
      </c>
      <c r="U302" s="4">
        <v>25</v>
      </c>
      <c r="V302" s="1">
        <f>VLOOKUP($B302&amp;"__wt",'SegEnds_Xtal_BW#'!$A:$Z,22,FALSE)</f>
        <v>54</v>
      </c>
      <c r="W302" s="4">
        <v>31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VLOOKUP(A302,'SegEnds_NonXtal_Prot#'!A:AL,10,FALSE)-VLOOKUP(A302,'SegEnds_NonXtal_Prot#'!A:AL,4,FALSE)</f>
        <v>28</v>
      </c>
      <c r="AC302" s="4">
        <f>VLOOKUP(A302,'SegEnds_NonXtal_Prot#'!A:AL,10,FALSE)-VLOOKUP(A302,'SegEnds_NonXtal_Prot#'!A:AL,7,FALSE)</f>
        <v>15</v>
      </c>
      <c r="AD302" s="4" t="e">
        <f>VLOOKUP(A302,'SegEnds_NonXtal_Prot#'!A:AL,13,FALSE)-VLOOKUP(A302,'SegEnds_NonXtal_Prot#'!A:AL,10,FALSE)</f>
        <v>#VALUE!</v>
      </c>
      <c r="AE302" s="4">
        <f>VLOOKUP(A302,'SegEnds_NonXtal_Prot#'!A:AL,16,FALSE)-VLOOKUP(A302,'SegEnds_NonXtal_Prot#'!A:AL,10,FALSE)</f>
        <v>55</v>
      </c>
      <c r="AF302" s="1" t="e">
        <f>VLOOKUP(A302,'SegEnds_NonXtal_Prot#'!A:AL,22,FALSE)-VLOOKUP(A302,'SegEnds_NonXtal_Prot#'!A:AL,19,FALSE)</f>
        <v>#VALUE!</v>
      </c>
      <c r="AG302" s="4">
        <f>VLOOKUP(A302,'SegEnds_NonXtal_Prot#'!A:AL,28,FALSE)-VLOOKUP(A302,'SegEnds_NonXtal_Prot#'!A:AL,25,FALSE)</f>
        <v>19</v>
      </c>
      <c r="AH302" s="1">
        <f>VLOOKUP(A302,'SegEnds_NonXtal_Prot#'!A:AL,28,FALSE)-VLOOKUP(A302,'SegEnds_NonXtal_Prot#'!A:AL,22,FALSE)</f>
        <v>41</v>
      </c>
      <c r="AI302" s="4">
        <f>VLOOKUP(A302,'SegEnds_NonXtal_Prot#'!A:AL,31,FALSE)-VLOOKUP(A302,'SegEnds_NonXtal_Prot#'!A:AL,28,FALSE)</f>
        <v>52</v>
      </c>
      <c r="AJ302" s="4">
        <f>VLOOKUP(A302,'SegEnds_NonXtal_Prot#'!A:AL,34,FALSE)-VLOOKUP(A302,'SegEnds_NonXtal_Prot#'!A:AL,31,FALSE)</f>
        <v>29</v>
      </c>
      <c r="AK302" s="1">
        <f>VLOOKUP(A302,'SegEnds_NonXtal_Prot#'!A:AL,37,FALSE)-VLOOKUP(A302,'SegEnds_NonXtal_Prot#'!A:AL,34,FALSE)</f>
        <v>10</v>
      </c>
      <c r="AL302" s="1" t="str">
        <f>IF(ISERROR(MATCH(A302,'SegEnds_Xtal_Prot#'!B:B, 0)), "NoXtal", "Xtal")</f>
        <v>NoXtal</v>
      </c>
    </row>
    <row r="303" spans="1:38" x14ac:dyDescent="0.2">
      <c r="A303" s="4" t="s">
        <v>413</v>
      </c>
      <c r="B303" s="4" t="str">
        <f>VLOOKUP(A303,Xtal_Templ!A:B,2,FALSE)</f>
        <v>pth1r_human</v>
      </c>
      <c r="C303" s="5">
        <f>VLOOKUP($B303&amp;"__wt",'SegEnds_Xtal_BW#'!$A:$Z,3,FALSE)</f>
        <v>21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5">
        <v>64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5">
        <v>23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88">
        <f>VLOOKUP($B303&amp;"__wt",'SegEnds_Xtal_BW#'!$A:$Z,15,FALSE)</f>
        <v>37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5">
        <v>39</v>
      </c>
      <c r="T303" s="4">
        <v>69</v>
      </c>
      <c r="U303" s="4">
        <v>25</v>
      </c>
      <c r="V303" s="4">
        <f>VLOOKUP($B303&amp;"__wt",'SegEnds_Xtal_BW#'!$A:$Z,22,FALSE)</f>
        <v>54</v>
      </c>
      <c r="W303" s="4">
        <v>31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VLOOKUP(A303,'SegEnds_NonXtal_Prot#'!A:AL,10,FALSE)-VLOOKUP(A303,'SegEnds_NonXtal_Prot#'!A:AL,4,FALSE)</f>
        <v>28</v>
      </c>
      <c r="AC303" s="4">
        <f>VLOOKUP(A303,'SegEnds_NonXtal_Prot#'!A:AL,10,FALSE)-VLOOKUP(A303,'SegEnds_NonXtal_Prot#'!A:AL,7,FALSE)</f>
        <v>15</v>
      </c>
      <c r="AD303" s="4" t="e">
        <f>VLOOKUP(A303,'SegEnds_NonXtal_Prot#'!A:AL,13,FALSE)-VLOOKUP(A303,'SegEnds_NonXtal_Prot#'!A:AL,10,FALSE)</f>
        <v>#VALUE!</v>
      </c>
      <c r="AE303" s="4">
        <f>VLOOKUP(A303,'SegEnds_NonXtal_Prot#'!A:AL,16,FALSE)-VLOOKUP(A303,'SegEnds_NonXtal_Prot#'!A:AL,10,FALSE)</f>
        <v>58</v>
      </c>
      <c r="AF303" s="4" t="e">
        <f>VLOOKUP(A303,'SegEnds_NonXtal_Prot#'!A:AL,22,FALSE)-VLOOKUP(A303,'SegEnds_NonXtal_Prot#'!A:AL,19,FALSE)</f>
        <v>#VALUE!</v>
      </c>
      <c r="AG303" s="4">
        <f>VLOOKUP(A303,'SegEnds_NonXtal_Prot#'!A:AL,28,FALSE)-VLOOKUP(A303,'SegEnds_NonXtal_Prot#'!A:AL,25,FALSE)</f>
        <v>20</v>
      </c>
      <c r="AH303" s="4">
        <f>VLOOKUP(A303,'SegEnds_NonXtal_Prot#'!A:AL,28,FALSE)-VLOOKUP(A303,'SegEnds_NonXtal_Prot#'!A:AL,22,FALSE)</f>
        <v>42</v>
      </c>
      <c r="AI303" s="4">
        <f>VLOOKUP(A303,'SegEnds_NonXtal_Prot#'!A:AL,31,FALSE)-VLOOKUP(A303,'SegEnds_NonXtal_Prot#'!A:AL,28,FALSE)</f>
        <v>52</v>
      </c>
      <c r="AJ303" s="4">
        <f>VLOOKUP(A303,'SegEnds_NonXtal_Prot#'!A:AL,34,FALSE)-VLOOKUP(A303,'SegEnds_NonXtal_Prot#'!A:AL,31,FALSE)</f>
        <v>29</v>
      </c>
      <c r="AK303" s="1">
        <f>VLOOKUP(A303,'SegEnds_NonXtal_Prot#'!A:AL,37,FALSE)-VLOOKUP(A303,'SegEnds_NonXtal_Prot#'!A:AL,34,FALSE)</f>
        <v>10</v>
      </c>
      <c r="AL303" s="4" t="str">
        <f>IF(ISERROR(MATCH(A303,'SegEnds_Xtal_Prot#'!B:B, 0)), "NoXtal", "Xtal")</f>
        <v>NoXtal</v>
      </c>
    </row>
    <row r="304" spans="1:38" x14ac:dyDescent="0.2">
      <c r="A304" s="4" t="s">
        <v>401</v>
      </c>
      <c r="B304" s="4" t="str">
        <f>VLOOKUP(A304,Xtal_Templ!A:B,2,FALSE)</f>
        <v>calcr_human</v>
      </c>
      <c r="C304" s="5">
        <f>VLOOKUP($B304&amp;"__wt",'SegEnds_Xtal_BW#'!$A:$Z,3,FALSE)</f>
        <v>19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5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5">
        <v>23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8">
        <f>VLOOKUP($B304&amp;"__wt",'SegEnds_Xtal_BW#'!$A:$Z,15,FALSE)</f>
        <v>41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15">
        <v>40</v>
      </c>
      <c r="T304" s="4">
        <f>VLOOKUP($B304&amp;"__wt",'SegEnds_Xtal_BW#'!$A:$Z,20,FALSE)</f>
        <v>70</v>
      </c>
      <c r="U304" s="4">
        <f>VLOOKUP($B304&amp;"__wt",'SegEnds_Xtal_BW#'!$A:$Z,21,FALSE)</f>
        <v>30</v>
      </c>
      <c r="V304" s="4">
        <f>VLOOKUP($B304&amp;"__wt",'SegEnds_Xtal_BW#'!$A:$Z,22,FALSE)</f>
        <v>53</v>
      </c>
      <c r="W304" s="115">
        <v>28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">
        <f>VLOOKUP(A304,'SegEnds_NonXtal_Prot#'!A:AL,10,FALSE)-VLOOKUP(A304,'SegEnds_NonXtal_Prot#'!A:AL,7,FALSE)</f>
        <v>15</v>
      </c>
      <c r="AD304" s="4" t="e">
        <f>VLOOKUP(A304,'SegEnds_NonXtal_Prot#'!A:AL,13,FALSE)-VLOOKUP(A304,'SegEnds_NonXtal_Prot#'!A:AL,10,FALSE)</f>
        <v>#VALUE!</v>
      </c>
      <c r="AE304" s="4">
        <f>VLOOKUP(A304,'SegEnds_NonXtal_Prot#'!A:AL,16,FALSE)-VLOOKUP(A304,'SegEnds_NonXtal_Prot#'!A:AL,10,FALSE)</f>
        <v>53</v>
      </c>
      <c r="AF304" s="1" t="e">
        <f>VLOOKUP(A304,'SegEnds_NonXtal_Prot#'!A:AL,22,FALSE)-VLOOKUP(A304,'SegEnds_NonXtal_Prot#'!A:AL,19,FALSE)</f>
        <v>#VALUE!</v>
      </c>
      <c r="AG304" s="4">
        <f>VLOOKUP(A304,'SegEnds_NonXtal_Prot#'!A:AL,28,FALSE)-VLOOKUP(A304,'SegEnds_NonXtal_Prot#'!A:AL,25,FALSE)</f>
        <v>19</v>
      </c>
      <c r="AH304" s="1">
        <f>VLOOKUP(A304,'SegEnds_NonXtal_Prot#'!A:AL,28,FALSE)-VLOOKUP(A304,'SegEnds_NonXtal_Prot#'!A:AL,22,FALSE)</f>
        <v>41</v>
      </c>
      <c r="AI304" s="4">
        <f>VLOOKUP(A304,'SegEnds_NonXtal_Prot#'!A:AL,31,FALSE)-VLOOKUP(A304,'SegEnds_NonXtal_Prot#'!A:AL,28,FALSE)</f>
        <v>50</v>
      </c>
      <c r="AJ304" s="4">
        <f>VLOOKUP(A304,'SegEnds_NonXtal_Prot#'!A:AL,34,FALSE)-VLOOKUP(A304,'SegEnds_NonXtal_Prot#'!A:AL,31,FALSE)</f>
        <v>30</v>
      </c>
      <c r="AK304" s="1">
        <f>VLOOKUP(A304,'SegEnds_NonXtal_Prot#'!A:AL,37,FALSE)-VLOOKUP(A304,'SegEnds_NonXtal_Prot#'!A:AL,34,FALSE)</f>
        <v>10</v>
      </c>
      <c r="AL304" s="1" t="str">
        <f>IF(ISERROR(MATCH(A304,'SegEnds_Xtal_Prot#'!B:B, 0)), "NoXtal", "Xtal")</f>
        <v>Xtal</v>
      </c>
    </row>
    <row r="305" spans="1:38" x14ac:dyDescent="0.2">
      <c r="A305" s="1" t="s">
        <v>402</v>
      </c>
      <c r="B305" s="1" t="str">
        <f>VLOOKUP(A305,Xtal_Templ!A:B,2,FALSE)</f>
        <v>calrl_human</v>
      </c>
      <c r="C305" s="5">
        <f>VLOOKUP($B305&amp;"__wt",'SegEnds_Xtal_BW#'!$A:$Z,3,FALSE)</f>
        <v>24</v>
      </c>
      <c r="D305" s="1">
        <f>VLOOKUP($B305&amp;"__wt",'SegEnds_Xtal_BW#'!$A:$Z,4,FALSE)</f>
        <v>60</v>
      </c>
      <c r="E305" s="1">
        <f>VLOOKUP($B305&amp;"__wt",'SegEnds_Xtal_BW#'!$A:$Z,5,FALSE)</f>
        <v>48</v>
      </c>
      <c r="F305" s="1">
        <f>VLOOKUP($B305&amp;"__wt",'SegEnds_Xtal_BW#'!$A:$Z,6,FALSE)</f>
        <v>51</v>
      </c>
      <c r="G305" s="1">
        <v>37</v>
      </c>
      <c r="H305" s="115">
        <v>64</v>
      </c>
      <c r="I305" s="1" t="str">
        <f>VLOOKUP($B305&amp;"__wt",'SegEnds_Xtal_BW#'!$A:$Z,9,FALSE)</f>
        <v>-</v>
      </c>
      <c r="J305" s="1" t="str">
        <f>VLOOKUP($B305&amp;"__wt",'SegEnds_Xtal_BW#'!$A:$Z,10,FALSE)</f>
        <v>-</v>
      </c>
      <c r="K305" s="108">
        <v>23</v>
      </c>
      <c r="L305" s="1">
        <f>VLOOKUP($B305&amp;"__wt",'SegEnds_Xtal_BW#'!$A:$Z,12,FALSE)</f>
        <v>56</v>
      </c>
      <c r="M305" s="1" t="str">
        <f>VLOOKUP($B305&amp;"__wt",'SegEnds_Xtal_BW#'!$A:$Z,13,FALSE)</f>
        <v>-</v>
      </c>
      <c r="N305" s="12" t="str">
        <f>VLOOKUP($B305&amp;"__wt",'SegEnds_Xtal_BW#'!$A:$Z,14,FALSE)</f>
        <v>-</v>
      </c>
      <c r="O305" s="87">
        <f>VLOOKUP($B305&amp;"__wt",'SegEnds_Xtal_BW#'!$A:$Z,15,FALSE)</f>
        <v>41</v>
      </c>
      <c r="P305" s="1">
        <f>VLOOKUP($B305&amp;"__wt",'SegEnds_Xtal_BW#'!$A:$Z,16,FALSE)</f>
        <v>67</v>
      </c>
      <c r="Q305" s="1">
        <f>VLOOKUP($B305&amp;"__wt",'SegEnds_Xtal_BW#'!$A:$Z,17,FALSE)</f>
        <v>50</v>
      </c>
      <c r="R305" s="1">
        <f>VLOOKUP($B305&amp;"__wt",'SegEnds_Xtal_BW#'!$A:$Z,18,FALSE)</f>
        <v>52</v>
      </c>
      <c r="S305" s="108">
        <v>39</v>
      </c>
      <c r="T305" s="1">
        <f>VLOOKUP($B305&amp;"__wt",'SegEnds_Xtal_BW#'!$A:$Z,20,FALSE)</f>
        <v>70</v>
      </c>
      <c r="U305" s="1">
        <f>VLOOKUP($B305&amp;"__wt",'SegEnds_Xtal_BW#'!$A:$Z,21,FALSE)</f>
        <v>30</v>
      </c>
      <c r="V305" s="1">
        <f>VLOOKUP($B305&amp;"__wt",'SegEnds_Xtal_BW#'!$A:$Z,22,FALSE)</f>
        <v>53</v>
      </c>
      <c r="W305" s="108">
        <v>28</v>
      </c>
      <c r="X305" s="1">
        <f>VLOOKUP($B305&amp;"__wt",'SegEnds_Xtal_BW#'!$A:$Z,24,FALSE)</f>
        <v>56</v>
      </c>
      <c r="Y305" s="1">
        <f>VLOOKUP($B305&amp;"__wt",'SegEnds_Xtal_BW#'!$A:$Z,25,FALSE)</f>
        <v>47</v>
      </c>
      <c r="Z305" s="1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1">
        <f>VLOOKUP(A305,'SegEnds_NonXtal_Prot#'!A:AL,10,FALSE)-VLOOKUP(A305,'SegEnds_NonXtal_Prot#'!A:AL,7,FALSE)</f>
        <v>15</v>
      </c>
      <c r="AD305" s="1" t="e">
        <f>VLOOKUP(A305,'SegEnds_NonXtal_Prot#'!A:AL,13,FALSE)-VLOOKUP(A305,'SegEnds_NonXtal_Prot#'!A:AL,10,FALSE)</f>
        <v>#VALUE!</v>
      </c>
      <c r="AE305" s="1">
        <f>VLOOKUP(A305,'SegEnds_NonXtal_Prot#'!A:AL,16,FALSE)-VLOOKUP(A305,'SegEnds_NonXtal_Prot#'!A:AL,10,FALSE)</f>
        <v>53</v>
      </c>
      <c r="AF305" s="1" t="e">
        <f>VLOOKUP(A305,'SegEnds_NonXtal_Prot#'!A:AL,22,FALSE)-VLOOKUP(A305,'SegEnds_NonXtal_Prot#'!A:AL,19,FALSE)</f>
        <v>#VALUE!</v>
      </c>
      <c r="AG305" s="1">
        <f>VLOOKUP(A305,'SegEnds_NonXtal_Prot#'!A:AL,28,FALSE)-VLOOKUP(A305,'SegEnds_NonXtal_Prot#'!A:AL,25,FALSE)</f>
        <v>19</v>
      </c>
      <c r="AH305" s="1">
        <f>VLOOKUP(A305,'SegEnds_NonXtal_Prot#'!A:AL,28,FALSE)-VLOOKUP(A305,'SegEnds_NonXtal_Prot#'!A:AL,22,FALSE)</f>
        <v>41</v>
      </c>
      <c r="AI305" s="1">
        <f>VLOOKUP(A305,'SegEnds_NonXtal_Prot#'!A:AL,31,FALSE)-VLOOKUP(A305,'SegEnds_NonXtal_Prot#'!A:AL,28,FALSE)</f>
        <v>50</v>
      </c>
      <c r="AJ305" s="1">
        <f>VLOOKUP(A305,'SegEnds_NonXtal_Prot#'!A:AL,34,FALSE)-VLOOKUP(A305,'SegEnds_NonXtal_Prot#'!A:AL,31,FALSE)</f>
        <v>30</v>
      </c>
      <c r="AK305" s="1">
        <f>VLOOKUP(A305,'SegEnds_NonXtal_Prot#'!A:AL,37,FALSE)-VLOOKUP(A305,'SegEnds_NonXtal_Prot#'!A:AL,34,FALSE)</f>
        <v>10</v>
      </c>
      <c r="AL305" s="1" t="str">
        <f>IF(ISERROR(MATCH(A305,'SegEnds_Xtal_Prot#'!B:B, 0)), "NoXtal", "Xtal")</f>
        <v>Xtal</v>
      </c>
    </row>
    <row r="306" spans="1:38" x14ac:dyDescent="0.2">
      <c r="A306" s="4" t="s">
        <v>38</v>
      </c>
      <c r="B306" s="4" t="str">
        <f>VLOOKUP(A306,Xtal_Templ!A:B,2,FALSE)</f>
        <v>crfr1_human</v>
      </c>
      <c r="C306" s="5">
        <f>VLOOKUP($B306&amp;"__wt",'SegEnds_Xtal_BW#'!$A:$Z,3,FALSE)</f>
        <v>19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">
        <v>63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5">
        <v>22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8">
        <f>VLOOKUP($B306&amp;"__wt",'SegEnds_Xtal_BW#'!$A:$Z,15,FALSE)</f>
        <v>40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15">
        <v>39</v>
      </c>
      <c r="T306" s="4">
        <f>VLOOKUP($B306&amp;"__wt",'SegEnds_Xtal_BW#'!$A:$Z,20,FALSE)</f>
        <v>69</v>
      </c>
      <c r="U306" s="4">
        <f>VLOOKUP($B306&amp;"__wt",'SegEnds_Xtal_BW#'!$A:$Z,21,FALSE)</f>
        <v>25</v>
      </c>
      <c r="V306" s="4">
        <f>VLOOKUP($B306&amp;"__wt",'SegEnds_Xtal_BW#'!$A:$Z,22,FALSE)</f>
        <v>53</v>
      </c>
      <c r="W306" s="4">
        <v>29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4">
        <f>VLOOKUP(A306,'SegEnds_NonXtal_Prot#'!A:AL,10,FALSE)-VLOOKUP(A306,'SegEnds_NonXtal_Prot#'!A:AL,7,FALSE)</f>
        <v>15</v>
      </c>
      <c r="AD306" s="4" t="e">
        <f>VLOOKUP(A306,'SegEnds_NonXtal_Prot#'!A:AL,13,FALSE)-VLOOKUP(A306,'SegEnds_NonXtal_Prot#'!A:AL,10,FALSE)</f>
        <v>#VALUE!</v>
      </c>
      <c r="AE306" s="4">
        <f>VLOOKUP(A306,'SegEnds_NonXtal_Prot#'!A:AL,16,FALSE)-VLOOKUP(A306,'SegEnds_NonXtal_Prot#'!A:AL,10,FALSE)</f>
        <v>51</v>
      </c>
      <c r="AF306" s="4" t="e">
        <f>VLOOKUP(A306,'SegEnds_NonXtal_Prot#'!A:AL,22,FALSE)-VLOOKUP(A306,'SegEnds_NonXtal_Prot#'!A:AL,19,FALSE)</f>
        <v>#VALUE!</v>
      </c>
      <c r="AG306" s="4">
        <f>VLOOKUP(A306,'SegEnds_NonXtal_Prot#'!A:AL,28,FALSE)-VLOOKUP(A306,'SegEnds_NonXtal_Prot#'!A:AL,25,FALSE)</f>
        <v>21</v>
      </c>
      <c r="AH306" s="4">
        <f>VLOOKUP(A306,'SegEnds_NonXtal_Prot#'!A:AL,28,FALSE)-VLOOKUP(A306,'SegEnds_NonXtal_Prot#'!A:AL,22,FALSE)</f>
        <v>43</v>
      </c>
      <c r="AI306" s="4">
        <f>VLOOKUP(A306,'SegEnds_NonXtal_Prot#'!A:AL,31,FALSE)-VLOOKUP(A306,'SegEnds_NonXtal_Prot#'!A:AL,28,FALSE)</f>
        <v>50</v>
      </c>
      <c r="AJ306" s="4">
        <f>VLOOKUP(A306,'SegEnds_NonXtal_Prot#'!A:AL,34,FALSE)-VLOOKUP(A306,'SegEnds_NonXtal_Prot#'!A:AL,31,FALSE)</f>
        <v>31</v>
      </c>
      <c r="AK306" s="1">
        <f>VLOOKUP(A306,'SegEnds_NonXtal_Prot#'!A:AL,37,FALSE)-VLOOKUP(A306,'SegEnds_NonXtal_Prot#'!A:AL,34,FALSE)</f>
        <v>10</v>
      </c>
      <c r="AL306" s="4" t="str">
        <f>IF(ISERROR(MATCH(A306,'SegEnds_Xtal_Prot#'!B:B, 0)), "NoXtal", "Xtal")</f>
        <v>Xtal</v>
      </c>
    </row>
    <row r="307" spans="1:38" x14ac:dyDescent="0.2">
      <c r="A307" s="4" t="s">
        <v>403</v>
      </c>
      <c r="B307" s="4" t="str">
        <f>VLOOKUP(A307,Xtal_Templ!A:B,2,FALSE)</f>
        <v>crfr1_human</v>
      </c>
      <c r="C307" s="5">
        <f>VLOOKUP($B307&amp;"__wt",'SegEnds_Xtal_BW#'!$A:$Z,3,FALSE)</f>
        <v>19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">
        <v>63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22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15">
        <v>39</v>
      </c>
      <c r="T307" s="4">
        <f>VLOOKUP($B307&amp;"__wt",'SegEnds_Xtal_BW#'!$A:$Z,20,FALSE)</f>
        <v>69</v>
      </c>
      <c r="U307" s="4">
        <f>VLOOKUP($B307&amp;"__wt",'SegEnds_Xtal_BW#'!$A:$Z,21,FALSE)</f>
        <v>25</v>
      </c>
      <c r="V307" s="4">
        <f>VLOOKUP($B307&amp;"__wt",'SegEnds_Xtal_BW#'!$A:$Z,22,FALSE)</f>
        <v>53</v>
      </c>
      <c r="W307" s="4">
        <v>29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50</v>
      </c>
      <c r="AF307" s="4" t="e">
        <f>VLOOKUP(A307,'SegEnds_NonXtal_Prot#'!A:AL,22,FALSE)-VLOOKUP(A307,'SegEnds_NonXtal_Prot#'!A:AL,19,FALSE)</f>
        <v>#VALUE!</v>
      </c>
      <c r="AG307" s="4">
        <f>VLOOKUP(A307,'SegEnds_NonXtal_Prot#'!A:AL,28,FALSE)-VLOOKUP(A307,'SegEnds_NonXtal_Prot#'!A:AL,25,FALSE)</f>
        <v>21</v>
      </c>
      <c r="AH307" s="4">
        <f>VLOOKUP(A307,'SegEnds_NonXtal_Prot#'!A:AL,28,FALSE)-VLOOKUP(A307,'SegEnds_NonXtal_Prot#'!A:AL,22,FALSE)</f>
        <v>43</v>
      </c>
      <c r="AI307" s="4">
        <f>VLOOKUP(A307,'SegEnds_NonXtal_Prot#'!A:AL,31,FALSE)-VLOOKUP(A307,'SegEnds_NonXtal_Prot#'!A:AL,28,FALSE)</f>
        <v>50</v>
      </c>
      <c r="AJ307" s="4">
        <f>VLOOKUP(A307,'SegEnds_NonXtal_Prot#'!A:AL,34,FALSE)-VLOOKUP(A307,'SegEnds_NonXtal_Prot#'!A:AL,31,FALSE)</f>
        <v>31</v>
      </c>
      <c r="AK307" s="1">
        <f>VLOOKUP(A307,'SegEnds_NonXtal_Prot#'!A:AL,37,FALSE)-VLOOKUP(A307,'SegEnds_NonXtal_Prot#'!A:AL,34,FALSE)</f>
        <v>10</v>
      </c>
      <c r="AL307" s="4" t="str">
        <f>IF(ISERROR(MATCH(A307,'SegEnds_Xtal_Prot#'!B:B, 0)), "NoXtal", "Xtal")</f>
        <v>NoXtal</v>
      </c>
    </row>
    <row r="308" spans="1:38" x14ac:dyDescent="0.2">
      <c r="A308" s="4" t="s">
        <v>410</v>
      </c>
      <c r="B308" s="4" t="str">
        <f>VLOOKUP(A308,Xtal_Templ!A:B,2,FALSE)</f>
        <v>pth1r_human</v>
      </c>
      <c r="C308" s="5">
        <f>VLOOKUP($B308&amp;"__wt",'SegEnds_Xtal_BW#'!$A:$Z,3,FALSE)</f>
        <v>21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69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21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37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15">
        <v>39</v>
      </c>
      <c r="T308" s="4">
        <v>69</v>
      </c>
      <c r="U308" s="4">
        <v>25</v>
      </c>
      <c r="V308" s="4">
        <f>VLOOKUP($B308&amp;"__wt",'SegEnds_Xtal_BW#'!$A:$Z,22,FALSE)</f>
        <v>54</v>
      </c>
      <c r="W308" s="4">
        <v>28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74</v>
      </c>
      <c r="AF308" s="4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19</v>
      </c>
      <c r="AH308" s="4">
        <f>VLOOKUP(A308,'SegEnds_NonXtal_Prot#'!A:AL,28,FALSE)-VLOOKUP(A308,'SegEnds_NonXtal_Prot#'!A:AL,22,FALSE)</f>
        <v>41</v>
      </c>
      <c r="AI308" s="4">
        <f>VLOOKUP(A308,'SegEnds_NonXtal_Prot#'!A:AL,31,FALSE)-VLOOKUP(A308,'SegEnds_NonXtal_Prot#'!A:AL,28,FALSE)</f>
        <v>53</v>
      </c>
      <c r="AJ308" s="4">
        <f>VLOOKUP(A308,'SegEnds_NonXtal_Prot#'!A:AL,34,FALSE)-VLOOKUP(A308,'SegEnds_NonXtal_Prot#'!A:AL,31,FALSE)</f>
        <v>32</v>
      </c>
      <c r="AK308" s="1">
        <f>VLOOKUP(A308,'SegEnds_NonXtal_Prot#'!A:AL,37,FALSE)-VLOOKUP(A308,'SegEnds_NonXtal_Prot#'!A:AL,34,FALSE)</f>
        <v>10</v>
      </c>
      <c r="AL308" s="4" t="str">
        <f>IF(ISERROR(MATCH(A308,'SegEnds_Xtal_Prot#'!B:B, 0)), "NoXtal", "Xtal")</f>
        <v>NoXtal</v>
      </c>
    </row>
    <row r="309" spans="1:38" x14ac:dyDescent="0.2">
      <c r="A309" s="4" t="s">
        <v>1421</v>
      </c>
      <c r="B309" s="4" t="str">
        <f>VLOOKUP(A309,Xtal_Templ!A:B,2,FALSE)</f>
        <v>g1sgd4_rabit</v>
      </c>
      <c r="C309" s="5">
        <f>VLOOKUP($B309&amp;"__wt",'SegEnds_Xtal_BW#'!$A:$Z,3,FALSE)</f>
        <v>28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5">
        <v>74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5">
        <v>23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88">
        <f>VLOOKUP($B309&amp;"__wt",'SegEnds_Xtal_BW#'!$A:$Z,15,FALSE)</f>
        <v>37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15">
        <v>39</v>
      </c>
      <c r="T309" s="4">
        <f>VLOOKUP($B309&amp;"__wt",'SegEnds_Xtal_BW#'!$A:$Z,20,FALSE)</f>
        <v>71</v>
      </c>
      <c r="U309" s="4">
        <f>VLOOKUP($B309&amp;"__wt",'SegEnds_Xtal_BW#'!$A:$Z,21,FALSE)</f>
        <v>30</v>
      </c>
      <c r="V309" s="4">
        <f>VLOOKUP($B309&amp;"__wt",'SegEnds_Xtal_BW#'!$A:$Z,22,FALSE)</f>
        <v>53</v>
      </c>
      <c r="W309" s="115">
        <v>30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4">
        <f>VLOOKUP(A309,'SegEnds_NonXtal_Prot#'!A:AL,10,FALSE)-VLOOKUP(A309,'SegEnds_NonXtal_Prot#'!A:AL,7,FALSE)</f>
        <v>15</v>
      </c>
      <c r="AD309" s="4" t="e">
        <f>VLOOKUP(A309,'SegEnds_NonXtal_Prot#'!A:AL,13,FALSE)-VLOOKUP(A309,'SegEnds_NonXtal_Prot#'!A:AL,10,FALSE)</f>
        <v>#VALUE!</v>
      </c>
      <c r="AE309" s="4">
        <f>VLOOKUP(A309,'SegEnds_NonXtal_Prot#'!A:AL,16,FALSE)-VLOOKUP(A309,'SegEnds_NonXtal_Prot#'!A:AL,10,FALSE)</f>
        <v>64</v>
      </c>
      <c r="AF309" s="4" t="e">
        <f>VLOOKUP(A309,'SegEnds_NonXtal_Prot#'!A:AL,22,FALSE)-VLOOKUP(A309,'SegEnds_NonXtal_Prot#'!A:AL,19,FALSE)</f>
        <v>#VALUE!</v>
      </c>
      <c r="AG309" s="4">
        <f>VLOOKUP(A309,'SegEnds_NonXtal_Prot#'!A:AL,28,FALSE)-VLOOKUP(A309,'SegEnds_NonXtal_Prot#'!A:AL,25,FALSE)</f>
        <v>20</v>
      </c>
      <c r="AH309" s="4">
        <f>VLOOKUP(A309,'SegEnds_NonXtal_Prot#'!A:AL,28,FALSE)-VLOOKUP(A309,'SegEnds_NonXtal_Prot#'!A:AL,22,FALSE)</f>
        <v>42</v>
      </c>
      <c r="AI309" s="4">
        <f>VLOOKUP(A309,'SegEnds_NonXtal_Prot#'!A:AL,31,FALSE)-VLOOKUP(A309,'SegEnds_NonXtal_Prot#'!A:AL,28,FALSE)</f>
        <v>50</v>
      </c>
      <c r="AJ309" s="4">
        <f>VLOOKUP(A309,'SegEnds_NonXtal_Prot#'!A:AL,34,FALSE)-VLOOKUP(A309,'SegEnds_NonXtal_Prot#'!A:AL,31,FALSE)</f>
        <v>33</v>
      </c>
      <c r="AK309" s="1">
        <f>VLOOKUP(A309,'SegEnds_NonXtal_Prot#'!A:AL,37,FALSE)-VLOOKUP(A309,'SegEnds_NonXtal_Prot#'!A:AL,34,FALSE)</f>
        <v>10</v>
      </c>
      <c r="AL309" s="4" t="str">
        <f>IF(ISERROR(MATCH(A309,'SegEnds_Xtal_Prot#'!B:B, 0)), "NoXtal", "Xtal")</f>
        <v>Xtal</v>
      </c>
    </row>
    <row r="310" spans="1:38" x14ac:dyDescent="0.2">
      <c r="A310" s="4" t="s">
        <v>405</v>
      </c>
      <c r="B310" s="4" t="str">
        <f>VLOOKUP(A310,Xtal_Templ!A:B,2,FALSE)</f>
        <v>glr_human</v>
      </c>
      <c r="C310" s="5">
        <f>VLOOKUP($B310&amp;"__wt",'SegEnds_Xtal_BW#'!$A:$Z,3,FALSE)</f>
        <v>25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08">
        <v>39</v>
      </c>
      <c r="T310" s="4">
        <f>VLOOKUP($B310&amp;"__wt",'SegEnds_Xtal_BW#'!$A:$Z,20,FALSE)</f>
        <v>71</v>
      </c>
      <c r="U310" s="115">
        <v>28</v>
      </c>
      <c r="V310" s="4">
        <f>VLOOKUP($B310&amp;"__wt",'SegEnds_Xtal_BW#'!$A:$Z,22,FALSE)</f>
        <v>53</v>
      </c>
      <c r="W310" s="4">
        <v>28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61</v>
      </c>
      <c r="AF310" s="1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20</v>
      </c>
      <c r="AH310" s="1">
        <f>VLOOKUP(A310,'SegEnds_NonXtal_Prot#'!A:AL,28,FALSE)-VLOOKUP(A310,'SegEnds_NonXtal_Prot#'!A:AL,22,FALSE)</f>
        <v>42</v>
      </c>
      <c r="AI310" s="4">
        <f>VLOOKUP(A310,'SegEnds_NonXtal_Prot#'!A:AL,31,FALSE)-VLOOKUP(A310,'SegEnds_NonXtal_Prot#'!A:AL,28,FALSE)</f>
        <v>50</v>
      </c>
      <c r="AJ310" s="4">
        <f>VLOOKUP(A310,'SegEnds_NonXtal_Prot#'!A:AL,34,FALSE)-VLOOKUP(A310,'SegEnds_NonXtal_Prot#'!A:AL,31,FALSE)</f>
        <v>33</v>
      </c>
      <c r="AK310" s="1">
        <f>VLOOKUP(A310,'SegEnds_NonXtal_Prot#'!A:AL,37,FALSE)-VLOOKUP(A310,'SegEnds_NonXtal_Prot#'!A:AL,34,FALSE)</f>
        <v>10</v>
      </c>
      <c r="AL310" s="1" t="str">
        <f>IF(ISERROR(MATCH(A310,'SegEnds_Xtal_Prot#'!B:B, 0)), "NoXtal", "Xtal")</f>
        <v>NoXtal</v>
      </c>
    </row>
    <row r="311" spans="1:38" x14ac:dyDescent="0.2">
      <c r="A311" s="1" t="s">
        <v>406</v>
      </c>
      <c r="B311" s="1" t="str">
        <f>VLOOKUP(A311,Xtal_Templ!A:B,2,FALSE)</f>
        <v>glp1r_human</v>
      </c>
      <c r="C311" s="5">
        <f>VLOOKUP($B311&amp;"__wt",'SegEnds_Xtal_BW#'!$A:$Z,3,FALSE)</f>
        <v>29</v>
      </c>
      <c r="D311" s="1">
        <f>VLOOKUP($B311&amp;"__wt",'SegEnds_Xtal_BW#'!$A:$Z,4,FALSE)</f>
        <v>60</v>
      </c>
      <c r="E311" s="1">
        <f>VLOOKUP($B311&amp;"__wt",'SegEnds_Xtal_BW#'!$A:$Z,5,FALSE)</f>
        <v>48</v>
      </c>
      <c r="F311" s="1">
        <f>VLOOKUP($B311&amp;"__wt",'SegEnds_Xtal_BW#'!$A:$Z,6,FALSE)</f>
        <v>51</v>
      </c>
      <c r="G311" s="1">
        <v>37</v>
      </c>
      <c r="H311" s="108">
        <v>64</v>
      </c>
      <c r="I311" s="1" t="str">
        <f>VLOOKUP($B311&amp;"__wt",'SegEnds_Xtal_BW#'!$A:$Z,9,FALSE)</f>
        <v>-</v>
      </c>
      <c r="J311" s="1" t="str">
        <f>VLOOKUP($B311&amp;"__wt",'SegEnds_Xtal_BW#'!$A:$Z,10,FALSE)</f>
        <v>-</v>
      </c>
      <c r="K311" s="108">
        <v>23</v>
      </c>
      <c r="L311" s="1">
        <f>VLOOKUP($B311&amp;"__wt",'SegEnds_Xtal_BW#'!$A:$Z,12,FALSE)</f>
        <v>56</v>
      </c>
      <c r="M311" s="1" t="str">
        <f>VLOOKUP($B311&amp;"__wt",'SegEnds_Xtal_BW#'!$A:$Z,13,FALSE)</f>
        <v>-</v>
      </c>
      <c r="N311" s="12" t="str">
        <f>VLOOKUP($B311&amp;"__wt",'SegEnds_Xtal_BW#'!$A:$Z,14,FALSE)</f>
        <v>-</v>
      </c>
      <c r="O311" s="87">
        <f>VLOOKUP($B311&amp;"__wt",'SegEnds_Xtal_BW#'!$A:$Z,15,FALSE)</f>
        <v>38</v>
      </c>
      <c r="P311" s="1">
        <f>VLOOKUP($B311&amp;"__wt",'SegEnds_Xtal_BW#'!$A:$Z,16,FALSE)</f>
        <v>68</v>
      </c>
      <c r="Q311" s="1">
        <f>VLOOKUP($B311&amp;"__wt",'SegEnds_Xtal_BW#'!$A:$Z,17,FALSE)</f>
        <v>50</v>
      </c>
      <c r="R311" s="1">
        <f>VLOOKUP($B311&amp;"__wt",'SegEnds_Xtal_BW#'!$A:$Z,18,FALSE)</f>
        <v>52</v>
      </c>
      <c r="S311" s="108">
        <v>39</v>
      </c>
      <c r="T311" s="1">
        <f>VLOOKUP($B311&amp;"__wt",'SegEnds_Xtal_BW#'!$A:$Z,20,FALSE)</f>
        <v>71</v>
      </c>
      <c r="U311" s="1">
        <f>VLOOKUP($B311&amp;"__wt",'SegEnds_Xtal_BW#'!$A:$Z,21,FALSE)</f>
        <v>28</v>
      </c>
      <c r="V311" s="1">
        <f>VLOOKUP($B311&amp;"__wt",'SegEnds_Xtal_BW#'!$A:$Z,22,FALSE)</f>
        <v>53</v>
      </c>
      <c r="W311" s="1">
        <v>28</v>
      </c>
      <c r="X311" s="1">
        <f>VLOOKUP($B311&amp;"__wt",'SegEnds_Xtal_BW#'!$A:$Z,24,FALSE)</f>
        <v>56</v>
      </c>
      <c r="Y311" s="1">
        <f>VLOOKUP($B311&amp;"__wt",'SegEnds_Xtal_BW#'!$A:$Z,25,FALSE)</f>
        <v>47</v>
      </c>
      <c r="Z311" s="1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1">
        <f>VLOOKUP(A311,'SegEnds_NonXtal_Prot#'!A:AL,10,FALSE)-VLOOKUP(A311,'SegEnds_NonXtal_Prot#'!A:AL,7,FALSE)</f>
        <v>15</v>
      </c>
      <c r="AD311" s="1" t="e">
        <f>VLOOKUP(A311,'SegEnds_NonXtal_Prot#'!A:AL,13,FALSE)-VLOOKUP(A311,'SegEnds_NonXtal_Prot#'!A:AL,10,FALSE)</f>
        <v>#VALUE!</v>
      </c>
      <c r="AE311" s="1">
        <f>VLOOKUP(A311,'SegEnds_NonXtal_Prot#'!A:AL,16,FALSE)-VLOOKUP(A311,'SegEnds_NonXtal_Prot#'!A:AL,10,FALSE)</f>
        <v>64</v>
      </c>
      <c r="AF311" s="1" t="e">
        <f>VLOOKUP(A311,'SegEnds_NonXtal_Prot#'!A:AL,22,FALSE)-VLOOKUP(A311,'SegEnds_NonXtal_Prot#'!A:AL,19,FALSE)</f>
        <v>#VALUE!</v>
      </c>
      <c r="AG311" s="1">
        <f>VLOOKUP(A311,'SegEnds_NonXtal_Prot#'!A:AL,28,FALSE)-VLOOKUP(A311,'SegEnds_NonXtal_Prot#'!A:AL,25,FALSE)</f>
        <v>20</v>
      </c>
      <c r="AH311" s="1">
        <f>VLOOKUP(A311,'SegEnds_NonXtal_Prot#'!A:AL,28,FALSE)-VLOOKUP(A311,'SegEnds_NonXtal_Prot#'!A:AL,22,FALSE)</f>
        <v>42</v>
      </c>
      <c r="AI311" s="1">
        <f>VLOOKUP(A311,'SegEnds_NonXtal_Prot#'!A:AL,31,FALSE)-VLOOKUP(A311,'SegEnds_NonXtal_Prot#'!A:AL,28,FALSE)</f>
        <v>50</v>
      </c>
      <c r="AJ311" s="1">
        <f>VLOOKUP(A311,'SegEnds_NonXtal_Prot#'!A:AL,34,FALSE)-VLOOKUP(A311,'SegEnds_NonXtal_Prot#'!A:AL,31,FALSE)</f>
        <v>33</v>
      </c>
      <c r="AK311" s="1">
        <f>VLOOKUP(A311,'SegEnds_NonXtal_Prot#'!A:AL,37,FALSE)-VLOOKUP(A311,'SegEnds_NonXtal_Prot#'!A:AL,34,FALSE)</f>
        <v>10</v>
      </c>
      <c r="AL311" s="1" t="str">
        <f>IF(ISERROR(MATCH(A311,'SegEnds_Xtal_Prot#'!B:B, 0)), "NoXtal", "Xtal")</f>
        <v>Xtal</v>
      </c>
    </row>
    <row r="312" spans="1:38" x14ac:dyDescent="0.2">
      <c r="A312" s="4" t="s">
        <v>407</v>
      </c>
      <c r="B312" s="4" t="str">
        <f>VLOOKUP(A312,Xtal_Templ!A:B,2,FALSE)</f>
        <v>glr_human</v>
      </c>
      <c r="C312" s="5">
        <f>VLOOKUP($B312&amp;"__wt",'SegEnds_Xtal_BW#'!$A:$Z,3,FALSE)</f>
        <v>25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23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40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08">
        <v>39</v>
      </c>
      <c r="T312" s="4">
        <f>VLOOKUP($B312&amp;"__wt",'SegEnds_Xtal_BW#'!$A:$Z,20,FALSE)</f>
        <v>71</v>
      </c>
      <c r="U312" s="115">
        <v>28</v>
      </c>
      <c r="V312" s="4">
        <f>VLOOKUP($B312&amp;"__wt",'SegEnds_Xtal_BW#'!$A:$Z,22,FALSE)</f>
        <v>53</v>
      </c>
      <c r="W312" s="4">
        <v>28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64</v>
      </c>
      <c r="AF312" s="1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1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50</v>
      </c>
      <c r="AJ312" s="4">
        <f>VLOOKUP(A312,'SegEnds_NonXtal_Prot#'!A:AL,34,FALSE)-VLOOKUP(A312,'SegEnds_NonXtal_Prot#'!A:AL,31,FALSE)</f>
        <v>33</v>
      </c>
      <c r="AK312" s="1">
        <f>VLOOKUP(A312,'SegEnds_NonXtal_Prot#'!A:AL,37,FALSE)-VLOOKUP(A312,'SegEnds_NonXtal_Prot#'!A:AL,34,FALSE)</f>
        <v>10</v>
      </c>
      <c r="AL312" s="1" t="str">
        <f>IF(ISERROR(MATCH(A312,'SegEnds_Xtal_Prot#'!B:B, 0)), "NoXtal", "Xtal")</f>
        <v>NoXtal</v>
      </c>
    </row>
    <row r="313" spans="1:38" s="4" customFormat="1" x14ac:dyDescent="0.2">
      <c r="A313" s="4" t="s">
        <v>32</v>
      </c>
      <c r="B313" s="4" t="str">
        <f>VLOOKUP(A313,Xtal_Templ!A:B,2,FALSE)</f>
        <v>glr_human</v>
      </c>
      <c r="C313" s="4">
        <f>VLOOKUP($B313&amp;"__wt",'SegEnds_Xtal_BW#'!$A:$Z,3,FALSE)</f>
        <v>25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69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21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40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">
        <v>36</v>
      </c>
      <c r="T313" s="4">
        <f>VLOOKUP($B313&amp;"__wt",'SegEnds_Xtal_BW#'!$A:$Z,20,FALSE)</f>
        <v>71</v>
      </c>
      <c r="U313" s="4">
        <f>VLOOKUP($B313&amp;"__wt",'SegEnds_Xtal_BW#'!$A:$Z,21,FALSE)</f>
        <v>28</v>
      </c>
      <c r="V313" s="4">
        <f>VLOOKUP($B313&amp;"__wt",'SegEnds_Xtal_BW#'!$A:$Z,22,FALSE)</f>
        <v>53</v>
      </c>
      <c r="W313" s="115">
        <v>27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50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65</v>
      </c>
      <c r="AF313" s="1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20</v>
      </c>
      <c r="AH313" s="1">
        <f>VLOOKUP(A313,'SegEnds_NonXtal_Prot#'!A:AL,28,FALSE)-VLOOKUP(A313,'SegEnds_NonXtal_Prot#'!A:AL,22,FALSE)</f>
        <v>42</v>
      </c>
      <c r="AI313" s="4">
        <f>VLOOKUP(A313,'SegEnds_NonXtal_Prot#'!A:AL,31,FALSE)-VLOOKUP(A313,'SegEnds_NonXtal_Prot#'!A:AL,28,FALSE)</f>
        <v>50</v>
      </c>
      <c r="AJ313" s="4">
        <f>VLOOKUP(A313,'SegEnds_NonXtal_Prot#'!A:AL,34,FALSE)-VLOOKUP(A313,'SegEnds_NonXtal_Prot#'!A:AL,31,FALSE)</f>
        <v>33</v>
      </c>
      <c r="AK313" s="1">
        <f>VLOOKUP(A313,'SegEnds_NonXtal_Prot#'!A:AL,37,FALSE)-VLOOKUP(A313,'SegEnds_NonXtal_Prot#'!A:AL,34,FALSE)</f>
        <v>10</v>
      </c>
      <c r="AL313" s="1" t="str">
        <f>IF(ISERROR(MATCH(A313,'SegEnds_Xtal_Prot#'!B:B, 0)), "NoXtal", "Xtal")</f>
        <v>Xtal</v>
      </c>
    </row>
    <row r="314" spans="1:38" s="45" customFormat="1" x14ac:dyDescent="0.2">
      <c r="A314" s="45" t="s">
        <v>409</v>
      </c>
      <c r="B314" s="45" t="str">
        <f>VLOOKUP(A314,Xtal_Templ!A:B,2,FALSE)</f>
        <v>pth1r_human</v>
      </c>
      <c r="C314" s="46">
        <f>VLOOKUP($B314&amp;"__wt",'SegEnds_Xtal_BW#'!$A:$Z,3,FALSE)</f>
        <v>21</v>
      </c>
      <c r="D314" s="45">
        <f>VLOOKUP($B314&amp;"__wt",'SegEnds_Xtal_BW#'!$A:$Z,4,FALSE)</f>
        <v>60</v>
      </c>
      <c r="E314" s="45">
        <f>VLOOKUP($B314&amp;"__wt",'SegEnds_Xtal_BW#'!$A:$Z,5,FALSE)</f>
        <v>48</v>
      </c>
      <c r="F314" s="45">
        <f>VLOOKUP($B314&amp;"__wt",'SegEnds_Xtal_BW#'!$A:$Z,6,FALSE)</f>
        <v>51</v>
      </c>
      <c r="G314" s="45">
        <v>37</v>
      </c>
      <c r="H314" s="117">
        <v>69</v>
      </c>
      <c r="I314" s="45" t="str">
        <f>VLOOKUP($B314&amp;"__wt",'SegEnds_Xtal_BW#'!$A:$Z,9,FALSE)</f>
        <v>-</v>
      </c>
      <c r="J314" s="45" t="str">
        <f>VLOOKUP($B314&amp;"__wt",'SegEnds_Xtal_BW#'!$A:$Z,10,FALSE)</f>
        <v>-</v>
      </c>
      <c r="K314" s="115">
        <v>21</v>
      </c>
      <c r="L314" s="45">
        <f>VLOOKUP($B314&amp;"__wt",'SegEnds_Xtal_BW#'!$A:$Z,12,FALSE)</f>
        <v>56</v>
      </c>
      <c r="M314" s="45" t="str">
        <f>VLOOKUP($B314&amp;"__wt",'SegEnds_Xtal_BW#'!$A:$Z,13,FALSE)</f>
        <v>-</v>
      </c>
      <c r="N314" s="102" t="str">
        <f>VLOOKUP($B314&amp;"__wt",'SegEnds_Xtal_BW#'!$A:$Z,14,FALSE)</f>
        <v>-</v>
      </c>
      <c r="O314" s="90">
        <f>VLOOKUP($B314&amp;"__wt",'SegEnds_Xtal_BW#'!$A:$Z,15,FALSE)</f>
        <v>37</v>
      </c>
      <c r="P314" s="45">
        <f>VLOOKUP($B314&amp;"__wt",'SegEnds_Xtal_BW#'!$A:$Z,16,FALSE)</f>
        <v>68</v>
      </c>
      <c r="Q314" s="45">
        <f>VLOOKUP($B314&amp;"__wt",'SegEnds_Xtal_BW#'!$A:$Z,17,FALSE)</f>
        <v>50</v>
      </c>
      <c r="R314" s="45">
        <f>VLOOKUP($B314&amp;"__wt",'SegEnds_Xtal_BW#'!$A:$Z,18,FALSE)</f>
        <v>52</v>
      </c>
      <c r="S314" s="117">
        <v>39</v>
      </c>
      <c r="T314" s="45">
        <v>69</v>
      </c>
      <c r="U314" s="45">
        <v>25</v>
      </c>
      <c r="V314" s="45">
        <f>VLOOKUP($B314&amp;"__wt",'SegEnds_Xtal_BW#'!$A:$Z,22,FALSE)</f>
        <v>54</v>
      </c>
      <c r="W314" s="45">
        <v>28</v>
      </c>
      <c r="X314" s="45">
        <f>VLOOKUP($B314&amp;"__wt",'SegEnds_Xtal_BW#'!$A:$Z,24,FALSE)</f>
        <v>56</v>
      </c>
      <c r="Y314" s="45">
        <f>VLOOKUP($B314&amp;"__wt",'SegEnds_Xtal_BW#'!$A:$Z,25,FALSE)</f>
        <v>47</v>
      </c>
      <c r="Z314" s="45">
        <f>VLOOKUP($B314&amp;"__wt",'SegEnds_Xtal_BW#'!$A:$Z,26,FALSE)</f>
        <v>72</v>
      </c>
      <c r="AA314" s="4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5">
        <f>VLOOKUP(A314,'SegEnds_NonXtal_Prot#'!A:AL,10,FALSE)-VLOOKUP(A314,'SegEnds_NonXtal_Prot#'!A:AL,7,FALSE)</f>
        <v>15</v>
      </c>
      <c r="AD314" s="45" t="e">
        <f>VLOOKUP(A314,'SegEnds_NonXtal_Prot#'!A:AL,13,FALSE)-VLOOKUP(A314,'SegEnds_NonXtal_Prot#'!A:AL,10,FALSE)</f>
        <v>#VALUE!</v>
      </c>
      <c r="AE314" s="45">
        <f>VLOOKUP(A314,'SegEnds_NonXtal_Prot#'!A:AL,16,FALSE)-VLOOKUP(A314,'SegEnds_NonXtal_Prot#'!A:AL,10,FALSE)</f>
        <v>76</v>
      </c>
      <c r="AF314" s="45" t="e">
        <f>VLOOKUP(A314,'SegEnds_NonXtal_Prot#'!A:AL,22,FALSE)-VLOOKUP(A314,'SegEnds_NonXtal_Prot#'!A:AL,19,FALSE)</f>
        <v>#VALUE!</v>
      </c>
      <c r="AG314" s="45">
        <f>VLOOKUP(A314,'SegEnds_NonXtal_Prot#'!A:AL,28,FALSE)-VLOOKUP(A314,'SegEnds_NonXtal_Prot#'!A:AL,25,FALSE)</f>
        <v>19</v>
      </c>
      <c r="AH314" s="45">
        <f>VLOOKUP(A314,'SegEnds_NonXtal_Prot#'!A:AL,28,FALSE)-VLOOKUP(A314,'SegEnds_NonXtal_Prot#'!A:AL,22,FALSE)</f>
        <v>41</v>
      </c>
      <c r="AI314" s="45">
        <f>VLOOKUP(A314,'SegEnds_NonXtal_Prot#'!A:AL,31,FALSE)-VLOOKUP(A314,'SegEnds_NonXtal_Prot#'!A:AL,28,FALSE)</f>
        <v>53</v>
      </c>
      <c r="AJ314" s="45">
        <f>VLOOKUP(A314,'SegEnds_NonXtal_Prot#'!A:AL,34,FALSE)-VLOOKUP(A314,'SegEnds_NonXtal_Prot#'!A:AL,31,FALSE)</f>
        <v>33</v>
      </c>
      <c r="AK314" s="1">
        <f>VLOOKUP(A314,'SegEnds_NonXtal_Prot#'!A:AL,37,FALSE)-VLOOKUP(A314,'SegEnds_NonXtal_Prot#'!A:AL,34,FALSE)</f>
        <v>10</v>
      </c>
      <c r="AL314" s="45" t="str">
        <f>IF(ISERROR(MATCH(A314,'SegEnds_Xtal_Prot#'!B:B, 0)), "NoXtal", "Xtal")</f>
        <v>Xtal</v>
      </c>
    </row>
    <row r="315" spans="1:38" x14ac:dyDescent="0.2">
      <c r="A315" s="1" t="s">
        <v>1183</v>
      </c>
      <c r="B315" s="1" t="str">
        <f>VLOOKUP(A315,Xtal_Templ!A:B,2,FALSE)</f>
        <v>glp1r_human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7">
        <f>VLOOKUP($B315&amp;"__wt",'SegEnds_Xtal_BW#'!$A:$Z,15,FALSE)</f>
        <v>38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v>50</v>
      </c>
      <c r="W315" s="1">
        <v>33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>
        <f>VLOOKUP(A315,'SegEnds_NonXtal_Prot#'!A:AL,10,FALSE)-VLOOKUP(A315,'SegEnds_NonXtal_Prot#'!A:AL,4,FALSE)</f>
        <v>28</v>
      </c>
      <c r="AC315" s="1" t="e">
        <f>VLOOKUP(A315,'SegEnds_NonXtal_Prot#'!A:AL,10,FALSE)-VLOOKUP(A315,'SegEnds_NonXtal_Prot#'!A:AL,7,FALSE)</f>
        <v>#VALUE!</v>
      </c>
      <c r="AD315" s="1" t="e">
        <f>VLOOKUP(A315,'SegEnds_NonXtal_Prot#'!A:AL,13,FALSE)-VLOOKUP(A315,'SegEnds_NonXtal_Prot#'!A:AL,10,FALSE)</f>
        <v>#VALUE!</v>
      </c>
      <c r="AE315" s="1">
        <f>VLOOKUP(A315,'SegEnds_NonXtal_Prot#'!A:AL,16,FALSE)-VLOOKUP(A315,'SegEnds_NonXtal_Prot#'!A:AL,10,FALSE)</f>
        <v>45</v>
      </c>
      <c r="AF315" s="1" t="e">
        <f>VLOOKUP(A315,'SegEnds_NonXtal_Prot#'!A:AL,22,FALSE)-VLOOKUP(A315,'SegEnds_NonXtal_Prot#'!A:AL,19,FALSE)</f>
        <v>#VALUE!</v>
      </c>
      <c r="AG315" s="1">
        <f>VLOOKUP(A315,'SegEnds_NonXtal_Prot#'!A:AL,28,FALSE)-VLOOKUP(A315,'SegEnds_NonXtal_Prot#'!A:AL,25,FALSE)</f>
        <v>19</v>
      </c>
      <c r="AH315" s="1">
        <f>VLOOKUP(A315,'SegEnds_NonXtal_Prot#'!A:AL,28,FALSE)-VLOOKUP(A315,'SegEnds_NonXtal_Prot#'!A:AL,22,FALSE)</f>
        <v>43</v>
      </c>
      <c r="AI315" s="1">
        <f>VLOOKUP(A315,'SegEnds_NonXtal_Prot#'!A:AL,31,FALSE)-VLOOKUP(A315,'SegEnds_NonXtal_Prot#'!A:AL,28,FALSE)</f>
        <v>66</v>
      </c>
      <c r="AJ315" s="1">
        <f>VLOOKUP(A315,'SegEnds_NonXtal_Prot#'!A:AL,34,FALSE)-VLOOKUP(A315,'SegEnds_NonXtal_Prot#'!A:AL,31,FALSE)</f>
        <v>20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NoXtal</v>
      </c>
    </row>
    <row r="316" spans="1:38" x14ac:dyDescent="0.2">
      <c r="A316" s="1" t="s">
        <v>1189</v>
      </c>
      <c r="B316" s="1" t="str">
        <f>VLOOKUP(A316,Xtal_Templ!A:B,2,FALSE)</f>
        <v>calrl_human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7">
        <f>VLOOKUP($B316&amp;"__wt",'SegEnds_Xtal_BW#'!$A:$Z,15,FALSE)</f>
        <v>41</v>
      </c>
      <c r="P316" s="1">
        <f>VLOOKUP($B316&amp;"__wt",'SegEnds_Xtal_BW#'!$A:$Z,16,FALSE)</f>
        <v>67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08">
        <v>50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VLOOKUP(A316,'SegEnds_NonXtal_Prot#'!A:AL,10,FALSE)-VLOOKUP(A316,'SegEnds_NonXtal_Prot#'!A:AL,4,FALSE)</f>
        <v>31</v>
      </c>
      <c r="AC316" s="1" t="e">
        <f>VLOOKUP(A316,'SegEnds_NonXtal_Prot#'!A:AL,10,FALSE)-VLOOKUP(A316,'SegEnds_NonXtal_Prot#'!A:AL,7,FALSE)</f>
        <v>#VALUE!</v>
      </c>
      <c r="AD316" s="1" t="e">
        <f>VLOOKUP(A316,'SegEnds_NonXtal_Prot#'!A:AL,13,FALSE)-VLOOKUP(A316,'SegEnds_NonXtal_Prot#'!A:AL,10,FALSE)</f>
        <v>#VALUE!</v>
      </c>
      <c r="AE316" s="1">
        <f>VLOOKUP(A316,'SegEnds_NonXtal_Prot#'!A:AL,16,FALSE)-VLOOKUP(A316,'SegEnds_NonXtal_Prot#'!A:AL,10,FALSE)</f>
        <v>51</v>
      </c>
      <c r="AF316" s="1" t="e">
        <f>VLOOKUP(A316,'SegEnds_NonXtal_Prot#'!A:AL,22,FALSE)-VLOOKUP(A316,'SegEnds_NonXtal_Prot#'!A:AL,19,FALSE)</f>
        <v>#VALUE!</v>
      </c>
      <c r="AG316" s="1">
        <f>VLOOKUP(A316,'SegEnds_NonXtal_Prot#'!A:AL,28,FALSE)-VLOOKUP(A316,'SegEnds_NonXtal_Prot#'!A:AL,25,FALSE)</f>
        <v>20</v>
      </c>
      <c r="AH316" s="1">
        <f>VLOOKUP(A316,'SegEnds_NonXtal_Prot#'!A:AL,28,FALSE)-VLOOKUP(A316,'SegEnds_NonXtal_Prot#'!A:AL,22,FALSE)</f>
        <v>46</v>
      </c>
      <c r="AI316" s="1">
        <f>VLOOKUP(A316,'SegEnds_NonXtal_Prot#'!A:AL,31,FALSE)-VLOOKUP(A316,'SegEnds_NonXtal_Prot#'!A:AL,28,FALSE)</f>
        <v>57</v>
      </c>
      <c r="AJ316" s="1">
        <f>VLOOKUP(A316,'SegEnds_NonXtal_Prot#'!A:AL,34,FALSE)-VLOOKUP(A316,'SegEnds_NonXtal_Prot#'!A:AL,31,FALSE)</f>
        <v>23</v>
      </c>
      <c r="AK316" s="1" t="e">
        <f>VLOOKUP(A316,'SegEnds_NonXtal_Prot#'!A:AL,37,FALSE)-VLOOKUP(A316,'SegEnds_NonXtal_Prot#'!A:AL,34,FALSE)</f>
        <v>#VALUE!</v>
      </c>
      <c r="AL316" s="1" t="str">
        <f>IF(ISERROR(MATCH(A316,'SegEnds_Xtal_Prot#'!B:B, 0)), "NoXtal", "Xtal")</f>
        <v>NoXtal</v>
      </c>
    </row>
    <row r="317" spans="1:38" x14ac:dyDescent="0.2">
      <c r="A317" s="1" t="s">
        <v>1195</v>
      </c>
      <c r="B317" s="1" t="str">
        <f>VLOOKUP(A317,Xtal_Templ!A:B,2,FALSE)</f>
        <v>pth1r_human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7">
        <f>VLOOKUP($B317&amp;"__wt",'SegEnds_Xtal_BW#'!$A:$Z,15,FALSE)</f>
        <v>37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v>50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VLOOKUP(A317,'SegEnds_NonXtal_Prot#'!A:AL,10,FALSE)-VLOOKUP(A317,'SegEnds_NonXtal_Prot#'!A:AL,4,FALSE)</f>
        <v>33</v>
      </c>
      <c r="AC317" s="1" t="e">
        <f>VLOOKUP(A317,'SegEnds_NonXtal_Prot#'!A:AL,10,FALSE)-VLOOKUP(A317,'SegEnds_NonXtal_Prot#'!A:AL,7,FALSE)</f>
        <v>#VALUE!</v>
      </c>
      <c r="AD317" s="1" t="e">
        <f>VLOOKUP(A317,'SegEnds_NonXtal_Prot#'!A:AL,13,FALSE)-VLOOKUP(A317,'SegEnds_NonXtal_Prot#'!A:AL,10,FALSE)</f>
        <v>#VALUE!</v>
      </c>
      <c r="AE317" s="1">
        <f>VLOOKUP(A317,'SegEnds_NonXtal_Prot#'!A:AL,16,FALSE)-VLOOKUP(A317,'SegEnds_NonXtal_Prot#'!A:AL,10,FALSE)</f>
        <v>47</v>
      </c>
      <c r="AF317" s="1" t="e">
        <f>VLOOKUP(A317,'SegEnds_NonXtal_Prot#'!A:AL,22,FALSE)-VLOOKUP(A317,'SegEnds_NonXtal_Prot#'!A:AL,19,FALSE)</f>
        <v>#VALUE!</v>
      </c>
      <c r="AG317" s="1">
        <f>VLOOKUP(A317,'SegEnds_NonXtal_Prot#'!A:AL,28,FALSE)-VLOOKUP(A317,'SegEnds_NonXtal_Prot#'!A:AL,25,FALSE)</f>
        <v>18</v>
      </c>
      <c r="AH317" s="1">
        <f>VLOOKUP(A317,'SegEnds_NonXtal_Prot#'!A:AL,28,FALSE)-VLOOKUP(A317,'SegEnds_NonXtal_Prot#'!A:AL,22,FALSE)</f>
        <v>51</v>
      </c>
      <c r="AI317" s="1">
        <f>VLOOKUP(A317,'SegEnds_NonXtal_Prot#'!A:AL,31,FALSE)-VLOOKUP(A317,'SegEnds_NonXtal_Prot#'!A:AL,28,FALSE)</f>
        <v>54</v>
      </c>
      <c r="AJ317" s="1">
        <f>VLOOKUP(A317,'SegEnds_NonXtal_Prot#'!A:AL,34,FALSE)-VLOOKUP(A317,'SegEnds_NonXtal_Prot#'!A:AL,31,FALSE)</f>
        <v>26</v>
      </c>
      <c r="AK317" s="1">
        <f>VLOOKUP(A317,'SegEnds_NonXtal_Prot#'!A:AL,37,FALSE)-VLOOKUP(A317,'SegEnds_NonXtal_Prot#'!A:AL,34,FALSE)</f>
        <v>10</v>
      </c>
      <c r="AL317" s="1" t="str">
        <f>IF(ISERROR(MATCH(A317,'SegEnds_Xtal_Prot#'!B:B, 0)), "NoXtal", "Xtal")</f>
        <v>NoXtal</v>
      </c>
    </row>
    <row r="318" spans="1:38" x14ac:dyDescent="0.2">
      <c r="A318" s="1" t="s">
        <v>1182</v>
      </c>
      <c r="B318" s="1" t="str">
        <f>VLOOKUP(A318,Xtal_Templ!A:B,2,FALSE)</f>
        <v>crfr1_human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7">
        <f>VLOOKUP($B318&amp;"__wt",'SegEnds_Xtal_BW#'!$A:$Z,15,FALSE)</f>
        <v>40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VLOOKUP(A318,'SegEnds_NonXtal_Prot#'!A:AL,10,FALSE)-VLOOKUP(A318,'SegEnds_NonXtal_Prot#'!A:AL,4,FALSE)</f>
        <v>31</v>
      </c>
      <c r="AC318" s="1">
        <f>VLOOKUP(A318,'SegEnds_NonXtal_Prot#'!A:AL,10,FALSE)-VLOOKUP(A318,'SegEnds_NonXtal_Prot#'!A:AL,7,FALSE)</f>
        <v>18</v>
      </c>
      <c r="AD318" s="1" t="e">
        <f>VLOOKUP(A318,'SegEnds_NonXtal_Prot#'!A:AL,13,FALSE)-VLOOKUP(A318,'SegEnds_NonXtal_Prot#'!A:AL,10,FALSE)</f>
        <v>#VALUE!</v>
      </c>
      <c r="AE318" s="1">
        <f>VLOOKUP(A318,'SegEnds_NonXtal_Prot#'!A:AL,16,FALSE)-VLOOKUP(A318,'SegEnds_NonXtal_Prot#'!A:AL,10,FALSE)</f>
        <v>45</v>
      </c>
      <c r="AF318" s="1" t="e">
        <f>VLOOKUP(A318,'SegEnds_NonXtal_Prot#'!A:AL,22,FALSE)-VLOOKUP(A318,'SegEnds_NonXtal_Prot#'!A:AL,19,FALSE)</f>
        <v>#VALUE!</v>
      </c>
      <c r="AG318" s="1">
        <f>VLOOKUP(A318,'SegEnds_NonXtal_Prot#'!A:AL,28,FALSE)-VLOOKUP(A318,'SegEnds_NonXtal_Prot#'!A:AL,25,FALSE)</f>
        <v>19</v>
      </c>
      <c r="AH318" s="1">
        <f>VLOOKUP(A318,'SegEnds_NonXtal_Prot#'!A:AL,28,FALSE)-VLOOKUP(A318,'SegEnds_NonXtal_Prot#'!A:AL,22,FALSE)</f>
        <v>43</v>
      </c>
      <c r="AI318" s="1">
        <f>VLOOKUP(A318,'SegEnds_NonXtal_Prot#'!A:AL,31,FALSE)-VLOOKUP(A318,'SegEnds_NonXtal_Prot#'!A:AL,28,FALSE)</f>
        <v>52</v>
      </c>
      <c r="AJ318" s="1">
        <f>VLOOKUP(A318,'SegEnds_NonXtal_Prot#'!A:AL,34,FALSE)-VLOOKUP(A318,'SegEnds_NonXtal_Prot#'!A:AL,31,FALSE)</f>
        <v>28</v>
      </c>
      <c r="AK318" s="1">
        <f>VLOOKUP(A318,'SegEnds_NonXtal_Prot#'!A:AL,37,FALSE)-VLOOKUP(A318,'SegEnds_NonXtal_Prot#'!A:AL,34,FALSE)</f>
        <v>10</v>
      </c>
      <c r="AL318" s="1" t="str">
        <f>IF(ISERROR(MATCH(A318,'SegEnds_Xtal_Prot#'!B:B, 0)), "NoXtal", "Xtal")</f>
        <v>NoXtal</v>
      </c>
    </row>
    <row r="319" spans="1:38" x14ac:dyDescent="0.2">
      <c r="A319" s="4" t="s">
        <v>1184</v>
      </c>
      <c r="B319" s="4" t="str">
        <f>VLOOKUP(A319,Xtal_Templ!A:B,2,FALSE)</f>
        <v>pth1r_human</v>
      </c>
      <c r="C319" s="5">
        <v>23</v>
      </c>
      <c r="D319" s="4">
        <f>VLOOKUP($B319&amp;"__wt",'SegEnds_Xtal_BW#'!$A:$Z,4,FALSE)</f>
        <v>60</v>
      </c>
      <c r="E319" s="4">
        <f>VLOOKUP($B319&amp;"__wt",'SegEnds_Xtal_BW#'!$A:$Z,5,FALSE)</f>
        <v>48</v>
      </c>
      <c r="F319" s="4">
        <f>VLOOKUP($B319&amp;"__wt",'SegEnds_Xtal_BW#'!$A:$Z,6,FALSE)</f>
        <v>51</v>
      </c>
      <c r="G319" s="4">
        <v>37</v>
      </c>
      <c r="H319" s="11">
        <v>63</v>
      </c>
      <c r="I319" s="4" t="str">
        <f>VLOOKUP($B319&amp;"__wt",'SegEnds_Xtal_BW#'!$A:$Z,9,FALSE)</f>
        <v>-</v>
      </c>
      <c r="J319" s="4" t="str">
        <f>VLOOKUP($B319&amp;"__wt",'SegEnds_Xtal_BW#'!$A:$Z,10,FALSE)</f>
        <v>-</v>
      </c>
      <c r="K319" s="11">
        <v>23</v>
      </c>
      <c r="L319" s="4">
        <f>VLOOKUP($B319&amp;"__wt",'SegEnds_Xtal_BW#'!$A:$Z,12,FALSE)</f>
        <v>56</v>
      </c>
      <c r="M319" s="4" t="str">
        <f>VLOOKUP($B319&amp;"__wt",'SegEnds_Xtal_BW#'!$A:$Z,13,FALSE)</f>
        <v>-</v>
      </c>
      <c r="N319" s="11" t="str">
        <f>VLOOKUP($B319&amp;"__wt",'SegEnds_Xtal_BW#'!$A:$Z,14,FALSE)</f>
        <v>-</v>
      </c>
      <c r="O319" s="88">
        <f>VLOOKUP($B319&amp;"__wt",'SegEnds_Xtal_BW#'!$A:$Z,15,FALSE)</f>
        <v>37</v>
      </c>
      <c r="P319" s="4">
        <f>VLOOKUP($B319&amp;"__wt",'SegEnds_Xtal_BW#'!$A:$Z,16,FALSE)</f>
        <v>68</v>
      </c>
      <c r="Q319" s="4">
        <f>VLOOKUP($B319&amp;"__wt",'SegEnds_Xtal_BW#'!$A:$Z,17,FALSE)</f>
        <v>50</v>
      </c>
      <c r="R319" s="4">
        <f>VLOOKUP($B319&amp;"__wt",'SegEnds_Xtal_BW#'!$A:$Z,18,FALSE)</f>
        <v>52</v>
      </c>
      <c r="S319" s="4">
        <v>36</v>
      </c>
      <c r="T319" s="4">
        <v>69</v>
      </c>
      <c r="U319" s="4">
        <v>29</v>
      </c>
      <c r="V319" s="4">
        <f>VLOOKUP($B319&amp;"__wt",'SegEnds_Xtal_BW#'!$A:$Z,22,FALSE)</f>
        <v>54</v>
      </c>
      <c r="W319" s="4">
        <v>31</v>
      </c>
      <c r="X319" s="4">
        <f>VLOOKUP($B319&amp;"__wt",'SegEnds_Xtal_BW#'!$A:$Z,24,FALSE)</f>
        <v>56</v>
      </c>
      <c r="Y319" s="4">
        <f>VLOOKUP($B319&amp;"__wt",'SegEnds_Xtal_BW#'!$A:$Z,25,FALSE)</f>
        <v>47</v>
      </c>
      <c r="Z319" s="4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VLOOKUP(A319,'SegEnds_NonXtal_Prot#'!A:AL,10,FALSE)-VLOOKUP(A319,'SegEnds_NonXtal_Prot#'!A:AL,4,FALSE)</f>
        <v>28</v>
      </c>
      <c r="AC319" s="4" t="e">
        <f>VLOOKUP(A319,'SegEnds_NonXtal_Prot#'!A:AL,10,FALSE)-VLOOKUP(A319,'SegEnds_NonXtal_Prot#'!A:AL,7,FALSE)</f>
        <v>#VALUE!</v>
      </c>
      <c r="AD319" s="4" t="e">
        <f>VLOOKUP(A319,'SegEnds_NonXtal_Prot#'!A:AL,13,FALSE)-VLOOKUP(A319,'SegEnds_NonXtal_Prot#'!A:AL,10,FALSE)</f>
        <v>#VALUE!</v>
      </c>
      <c r="AE319" s="4">
        <f>VLOOKUP(A319,'SegEnds_NonXtal_Prot#'!A:AL,16,FALSE)-VLOOKUP(A319,'SegEnds_NonXtal_Prot#'!A:AL,10,FALSE)</f>
        <v>45</v>
      </c>
      <c r="AF319" s="1" t="e">
        <f>VLOOKUP(A319,'SegEnds_NonXtal_Prot#'!A:AL,22,FALSE)-VLOOKUP(A319,'SegEnds_NonXtal_Prot#'!A:AL,19,FALSE)</f>
        <v>#VALUE!</v>
      </c>
      <c r="AG319" s="4">
        <f>VLOOKUP(A319,'SegEnds_NonXtal_Prot#'!A:AL,28,FALSE)-VLOOKUP(A319,'SegEnds_NonXtal_Prot#'!A:AL,25,FALSE)</f>
        <v>19</v>
      </c>
      <c r="AH319" s="1">
        <f>VLOOKUP(A319,'SegEnds_NonXtal_Prot#'!A:AL,28,FALSE)-VLOOKUP(A319,'SegEnds_NonXtal_Prot#'!A:AL,22,FALSE)</f>
        <v>43</v>
      </c>
      <c r="AI319" s="4">
        <f>VLOOKUP(A319,'SegEnds_NonXtal_Prot#'!A:AL,31,FALSE)-VLOOKUP(A319,'SegEnds_NonXtal_Prot#'!A:AL,28,FALSE)</f>
        <v>52</v>
      </c>
      <c r="AJ319" s="4">
        <f>VLOOKUP(A319,'SegEnds_NonXtal_Prot#'!A:AL,34,FALSE)-VLOOKUP(A319,'SegEnds_NonXtal_Prot#'!A:AL,31,FALSE)</f>
        <v>28</v>
      </c>
      <c r="AK319" s="1">
        <f>VLOOKUP(A319,'SegEnds_NonXtal_Prot#'!A:AL,37,FALSE)-VLOOKUP(A319,'SegEnds_NonXtal_Prot#'!A:AL,34,FALSE)</f>
        <v>10</v>
      </c>
      <c r="AL319" s="1" t="str">
        <f>IF(ISERROR(MATCH(A319,'SegEnds_Xtal_Prot#'!B:B, 0)), "NoXtal", "Xtal")</f>
        <v>NoXtal</v>
      </c>
    </row>
    <row r="320" spans="1:38" x14ac:dyDescent="0.2">
      <c r="A320" s="1" t="s">
        <v>1185</v>
      </c>
      <c r="B320" s="1" t="str">
        <f>VLOOKUP(A320,Xtal_Templ!A:B,2,FALSE)</f>
        <v>glp1r_human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7">
        <f>VLOOKUP($B320&amp;"__wt",'SegEnds_Xtal_BW#'!$A:$Z,15,FALSE)</f>
        <v>38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28</v>
      </c>
      <c r="AC320" s="1">
        <f>VLOOKUP(A320,'SegEnds_NonXtal_Prot#'!A:AL,10,FALSE)-VLOOKUP(A320,'SegEnds_NonXtal_Prot#'!A:AL,7,FALSE)</f>
        <v>15</v>
      </c>
      <c r="AD320" s="1" t="e">
        <f>VLOOKUP(A320,'SegEnds_NonXtal_Prot#'!A:AL,13,FALSE)-VLOOKUP(A320,'SegEnds_NonXtal_Prot#'!A:AL,10,FALSE)</f>
        <v>#VALUE!</v>
      </c>
      <c r="AE320" s="1">
        <f>VLOOKUP(A320,'SegEnds_NonXtal_Prot#'!A:AL,16,FALSE)-VLOOKUP(A320,'SegEnds_NonXtal_Prot#'!A:AL,10,FALSE)</f>
        <v>45</v>
      </c>
      <c r="AF320" s="1" t="e">
        <f>VLOOKUP(A320,'SegEnds_NonXtal_Prot#'!A:AL,22,FALSE)-VLOOKUP(A320,'SegEnds_NonXtal_Prot#'!A:AL,19,FALSE)</f>
        <v>#VALUE!</v>
      </c>
      <c r="AG320" s="1">
        <f>VLOOKUP(A320,'SegEnds_NonXtal_Prot#'!A:AL,28,FALSE)-VLOOKUP(A320,'SegEnds_NonXtal_Prot#'!A:AL,25,FALSE)</f>
        <v>19</v>
      </c>
      <c r="AH320" s="1">
        <f>VLOOKUP(A320,'SegEnds_NonXtal_Prot#'!A:AL,28,FALSE)-VLOOKUP(A320,'SegEnds_NonXtal_Prot#'!A:AL,22,FALSE)</f>
        <v>43</v>
      </c>
      <c r="AI320" s="1">
        <f>VLOOKUP(A320,'SegEnds_NonXtal_Prot#'!A:AL,31,FALSE)-VLOOKUP(A320,'SegEnds_NonXtal_Prot#'!A:AL,28,FALSE)</f>
        <v>52</v>
      </c>
      <c r="AJ320" s="1">
        <f>VLOOKUP(A320,'SegEnds_NonXtal_Prot#'!A:AL,34,FALSE)-VLOOKUP(A320,'SegEnds_NonXtal_Prot#'!A:AL,31,FALSE)</f>
        <v>28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1" t="s">
        <v>1186</v>
      </c>
      <c r="B321" s="1" t="str">
        <f>VLOOKUP(A321,Xtal_Templ!A:B,2,FALSE)</f>
        <v>crfr1_human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28</v>
      </c>
      <c r="AC321" s="1">
        <f>VLOOKUP(A321,'SegEnds_NonXtal_Prot#'!A:AL,10,FALSE)-VLOOKUP(A321,'SegEnds_NonXtal_Prot#'!A:AL,7,FALSE)</f>
        <v>15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45</v>
      </c>
      <c r="AF321" s="1" t="e">
        <f>VLOOKUP(A321,'SegEnds_NonXtal_Prot#'!A:AL,22,FALSE)-VLOOKUP(A321,'SegEnds_NonXtal_Prot#'!A:AL,19,FALSE)</f>
        <v>#VALUE!</v>
      </c>
      <c r="AG321" s="1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43</v>
      </c>
      <c r="AI321" s="1">
        <f>VLOOKUP(A321,'SegEnds_NonXtal_Prot#'!A:AL,31,FALSE)-VLOOKUP(A321,'SegEnds_NonXtal_Prot#'!A:AL,28,FALSE)</f>
        <v>52</v>
      </c>
      <c r="AJ321" s="1">
        <f>VLOOKUP(A321,'SegEnds_NonXtal_Prot#'!A:AL,34,FALSE)-VLOOKUP(A321,'SegEnds_NonXtal_Prot#'!A:AL,31,FALSE)</f>
        <v>28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4" t="s">
        <v>1194</v>
      </c>
      <c r="B322" s="4" t="str">
        <f>VLOOKUP(A322,Xtal_Templ!A:B,2,FALSE)</f>
        <v>pth1r_human</v>
      </c>
      <c r="C322" s="5">
        <v>23</v>
      </c>
      <c r="D322" s="4">
        <f>VLOOKUP($B322&amp;"__wt",'SegEnds_Xtal_BW#'!$A:$Z,4,FALSE)</f>
        <v>60</v>
      </c>
      <c r="E322" s="4">
        <f>VLOOKUP($B322&amp;"__wt",'SegEnds_Xtal_BW#'!$A:$Z,5,FALSE)</f>
        <v>48</v>
      </c>
      <c r="F322" s="4">
        <f>VLOOKUP($B322&amp;"__wt",'SegEnds_Xtal_BW#'!$A:$Z,6,FALSE)</f>
        <v>51</v>
      </c>
      <c r="G322" s="4">
        <v>37</v>
      </c>
      <c r="H322" s="11">
        <v>63</v>
      </c>
      <c r="I322" s="4" t="str">
        <f>VLOOKUP($B322&amp;"__wt",'SegEnds_Xtal_BW#'!$A:$Z,9,FALSE)</f>
        <v>-</v>
      </c>
      <c r="J322" s="4" t="str">
        <f>VLOOKUP($B322&amp;"__wt",'SegEnds_Xtal_BW#'!$A:$Z,10,FALSE)</f>
        <v>-</v>
      </c>
      <c r="K322" s="11">
        <v>23</v>
      </c>
      <c r="L322" s="4">
        <f>VLOOKUP($B322&amp;"__wt",'SegEnds_Xtal_BW#'!$A:$Z,12,FALSE)</f>
        <v>56</v>
      </c>
      <c r="M322" s="4" t="str">
        <f>VLOOKUP($B322&amp;"__wt",'SegEnds_Xtal_BW#'!$A:$Z,13,FALSE)</f>
        <v>-</v>
      </c>
      <c r="N322" s="11" t="str">
        <f>VLOOKUP($B322&amp;"__wt",'SegEnds_Xtal_BW#'!$A:$Z,14,FALSE)</f>
        <v>-</v>
      </c>
      <c r="O322" s="88">
        <f>VLOOKUP($B322&amp;"__wt",'SegEnds_Xtal_BW#'!$A:$Z,15,FALSE)</f>
        <v>37</v>
      </c>
      <c r="P322" s="4">
        <f>VLOOKUP($B322&amp;"__wt",'SegEnds_Xtal_BW#'!$A:$Z,16,FALSE)</f>
        <v>68</v>
      </c>
      <c r="Q322" s="4">
        <f>VLOOKUP($B322&amp;"__wt",'SegEnds_Xtal_BW#'!$A:$Z,17,FALSE)</f>
        <v>50</v>
      </c>
      <c r="R322" s="4">
        <f>VLOOKUP($B322&amp;"__wt",'SegEnds_Xtal_BW#'!$A:$Z,18,FALSE)</f>
        <v>52</v>
      </c>
      <c r="S322" s="4">
        <v>36</v>
      </c>
      <c r="T322" s="4">
        <v>69</v>
      </c>
      <c r="U322" s="4">
        <v>29</v>
      </c>
      <c r="V322" s="4">
        <f>VLOOKUP($B322&amp;"__wt",'SegEnds_Xtal_BW#'!$A:$Z,22,FALSE)</f>
        <v>54</v>
      </c>
      <c r="W322" s="4">
        <v>31</v>
      </c>
      <c r="X322" s="4">
        <f>VLOOKUP($B322&amp;"__wt",'SegEnds_Xtal_BW#'!$A:$Z,24,FALSE)</f>
        <v>56</v>
      </c>
      <c r="Y322" s="4">
        <f>VLOOKUP($B322&amp;"__wt",'SegEnds_Xtal_BW#'!$A:$Z,25,FALSE)</f>
        <v>47</v>
      </c>
      <c r="Z322" s="4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29</v>
      </c>
      <c r="AC322" s="4" t="e">
        <f>VLOOKUP(A322,'SegEnds_NonXtal_Prot#'!A:AL,10,FALSE)-VLOOKUP(A322,'SegEnds_NonXtal_Prot#'!A:AL,7,FALSE)</f>
        <v>#VALUE!</v>
      </c>
      <c r="AD322" s="4" t="e">
        <f>VLOOKUP(A322,'SegEnds_NonXtal_Prot#'!A:AL,13,FALSE)-VLOOKUP(A322,'SegEnds_NonXtal_Prot#'!A:AL,10,FALSE)</f>
        <v>#VALUE!</v>
      </c>
      <c r="AE322" s="4">
        <f>VLOOKUP(A322,'SegEnds_NonXtal_Prot#'!A:AL,16,FALSE)-VLOOKUP(A322,'SegEnds_NonXtal_Prot#'!A:AL,10,FALSE)</f>
        <v>47</v>
      </c>
      <c r="AF322" s="1" t="e">
        <f>VLOOKUP(A322,'SegEnds_NonXtal_Prot#'!A:AL,22,FALSE)-VLOOKUP(A322,'SegEnds_NonXtal_Prot#'!A:AL,19,FALSE)</f>
        <v>#VALUE!</v>
      </c>
      <c r="AG322" s="4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54</v>
      </c>
      <c r="AI322" s="4">
        <f>VLOOKUP(A322,'SegEnds_NonXtal_Prot#'!A:AL,31,FALSE)-VLOOKUP(A322,'SegEnds_NonXtal_Prot#'!A:AL,28,FALSE)</f>
        <v>51</v>
      </c>
      <c r="AJ322" s="4">
        <f>VLOOKUP(A322,'SegEnds_NonXtal_Prot#'!A:AL,34,FALSE)-VLOOKUP(A322,'SegEnds_NonXtal_Prot#'!A:AL,31,FALSE)</f>
        <v>28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4" t="s">
        <v>1196</v>
      </c>
      <c r="B323" s="4" t="str">
        <f>VLOOKUP(A323,Xtal_Templ!A:B,2,FALSE)</f>
        <v>pth1r_human</v>
      </c>
      <c r="C323" s="5">
        <v>23</v>
      </c>
      <c r="D323" s="4">
        <f>VLOOKUP($B323&amp;"__wt",'SegEnds_Xtal_BW#'!$A:$Z,4,FALSE)</f>
        <v>60</v>
      </c>
      <c r="E323" s="4">
        <f>VLOOKUP($B323&amp;"__wt",'SegEnds_Xtal_BW#'!$A:$Z,5,FALSE)</f>
        <v>48</v>
      </c>
      <c r="F323" s="4">
        <f>VLOOKUP($B323&amp;"__wt",'SegEnds_Xtal_BW#'!$A:$Z,6,FALSE)</f>
        <v>51</v>
      </c>
      <c r="G323" s="4">
        <v>37</v>
      </c>
      <c r="H323" s="11">
        <v>63</v>
      </c>
      <c r="I323" s="4" t="str">
        <f>VLOOKUP($B323&amp;"__wt",'SegEnds_Xtal_BW#'!$A:$Z,9,FALSE)</f>
        <v>-</v>
      </c>
      <c r="J323" s="4" t="str">
        <f>VLOOKUP($B323&amp;"__wt",'SegEnds_Xtal_BW#'!$A:$Z,10,FALSE)</f>
        <v>-</v>
      </c>
      <c r="K323" s="11">
        <v>23</v>
      </c>
      <c r="L323" s="4">
        <f>VLOOKUP($B323&amp;"__wt",'SegEnds_Xtal_BW#'!$A:$Z,12,FALSE)</f>
        <v>56</v>
      </c>
      <c r="M323" s="4" t="str">
        <f>VLOOKUP($B323&amp;"__wt",'SegEnds_Xtal_BW#'!$A:$Z,13,FALSE)</f>
        <v>-</v>
      </c>
      <c r="N323" s="11" t="str">
        <f>VLOOKUP($B323&amp;"__wt",'SegEnds_Xtal_BW#'!$A:$Z,14,FALSE)</f>
        <v>-</v>
      </c>
      <c r="O323" s="88">
        <f>VLOOKUP($B323&amp;"__wt",'SegEnds_Xtal_BW#'!$A:$Z,15,FALSE)</f>
        <v>37</v>
      </c>
      <c r="P323" s="4">
        <f>VLOOKUP($B323&amp;"__wt",'SegEnds_Xtal_BW#'!$A:$Z,16,FALSE)</f>
        <v>68</v>
      </c>
      <c r="Q323" s="4">
        <f>VLOOKUP($B323&amp;"__wt",'SegEnds_Xtal_BW#'!$A:$Z,17,FALSE)</f>
        <v>50</v>
      </c>
      <c r="R323" s="4">
        <f>VLOOKUP($B323&amp;"__wt",'SegEnds_Xtal_BW#'!$A:$Z,18,FALSE)</f>
        <v>52</v>
      </c>
      <c r="S323" s="4">
        <v>36</v>
      </c>
      <c r="T323" s="4">
        <v>69</v>
      </c>
      <c r="U323" s="4">
        <v>29</v>
      </c>
      <c r="V323" s="4">
        <f>VLOOKUP($B323&amp;"__wt",'SegEnds_Xtal_BW#'!$A:$Z,22,FALSE)</f>
        <v>54</v>
      </c>
      <c r="W323" s="4">
        <v>31</v>
      </c>
      <c r="X323" s="4">
        <f>VLOOKUP($B323&amp;"__wt",'SegEnds_Xtal_BW#'!$A:$Z,24,FALSE)</f>
        <v>56</v>
      </c>
      <c r="Y323" s="4">
        <f>VLOOKUP($B323&amp;"__wt",'SegEnds_Xtal_BW#'!$A:$Z,25,FALSE)</f>
        <v>47</v>
      </c>
      <c r="Z323" s="4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29</v>
      </c>
      <c r="AC323" s="4" t="e">
        <f>VLOOKUP(A323,'SegEnds_NonXtal_Prot#'!A:AL,10,FALSE)-VLOOKUP(A323,'SegEnds_NonXtal_Prot#'!A:AL,7,FALSE)</f>
        <v>#VALUE!</v>
      </c>
      <c r="AD323" s="4" t="e">
        <f>VLOOKUP(A323,'SegEnds_NonXtal_Prot#'!A:AL,13,FALSE)-VLOOKUP(A323,'SegEnds_NonXtal_Prot#'!A:AL,10,FALSE)</f>
        <v>#VALUE!</v>
      </c>
      <c r="AE323" s="4">
        <f>VLOOKUP(A323,'SegEnds_NonXtal_Prot#'!A:AL,16,FALSE)-VLOOKUP(A323,'SegEnds_NonXtal_Prot#'!A:AL,10,FALSE)</f>
        <v>47</v>
      </c>
      <c r="AF323" s="1" t="e">
        <f>VLOOKUP(A323,'SegEnds_NonXtal_Prot#'!A:AL,22,FALSE)-VLOOKUP(A323,'SegEnds_NonXtal_Prot#'!A:AL,19,FALSE)</f>
        <v>#VALUE!</v>
      </c>
      <c r="AG323" s="4">
        <f>VLOOKUP(A323,'SegEnds_NonXtal_Prot#'!A:AL,28,FALSE)-VLOOKUP(A323,'SegEnds_NonXtal_Prot#'!A:AL,25,FALSE)</f>
        <v>19</v>
      </c>
      <c r="AH323" s="1">
        <f>VLOOKUP(A323,'SegEnds_NonXtal_Prot#'!A:AL,28,FALSE)-VLOOKUP(A323,'SegEnds_NonXtal_Prot#'!A:AL,22,FALSE)</f>
        <v>47</v>
      </c>
      <c r="AI323" s="4">
        <f>VLOOKUP(A323,'SegEnds_NonXtal_Prot#'!A:AL,31,FALSE)-VLOOKUP(A323,'SegEnds_NonXtal_Prot#'!A:AL,28,FALSE)</f>
        <v>50</v>
      </c>
      <c r="AJ323" s="4">
        <f>VLOOKUP(A323,'SegEnds_NonXtal_Prot#'!A:AL,34,FALSE)-VLOOKUP(A323,'SegEnds_NonXtal_Prot#'!A:AL,31,FALSE)</f>
        <v>28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1" t="s">
        <v>1197</v>
      </c>
      <c r="B324" s="1" t="str">
        <f>VLOOKUP(A324,Xtal_Templ!A:B,2,FALSE)</f>
        <v>pth1r_human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7">
        <f>VLOOKUP($B324&amp;"__wt",'SegEnds_Xtal_BW#'!$A:$Z,15,FALSE)</f>
        <v>37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54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1" t="e">
        <f>VLOOKUP(A324,'SegEnds_NonXtal_Prot#'!A:AL,10,FALSE)-VLOOKUP(A324,'SegEnds_NonXtal_Prot#'!A:AL,7,FALSE)</f>
        <v>#VALUE!</v>
      </c>
      <c r="AD324" s="1" t="e">
        <f>VLOOKUP(A324,'SegEnds_NonXtal_Prot#'!A:AL,13,FALSE)-VLOOKUP(A324,'SegEnds_NonXtal_Prot#'!A:AL,10,FALSE)</f>
        <v>#VALUE!</v>
      </c>
      <c r="AE324" s="1">
        <f>VLOOKUP(A324,'SegEnds_NonXtal_Prot#'!A:AL,16,FALSE)-VLOOKUP(A324,'SegEnds_NonXtal_Prot#'!A:AL,10,FALSE)</f>
        <v>48</v>
      </c>
      <c r="AF324" s="1" t="e">
        <f>VLOOKUP(A324,'SegEnds_NonXtal_Prot#'!A:AL,22,FALSE)-VLOOKUP(A324,'SegEnds_NonXtal_Prot#'!A:AL,19,FALSE)</f>
        <v>#VALUE!</v>
      </c>
      <c r="AG324" s="1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60</v>
      </c>
      <c r="AI324" s="1">
        <f>VLOOKUP(A324,'SegEnds_NonXtal_Prot#'!A:AL,31,FALSE)-VLOOKUP(A324,'SegEnds_NonXtal_Prot#'!A:AL,28,FALSE)</f>
        <v>49</v>
      </c>
      <c r="AJ324" s="1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1414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29</v>
      </c>
      <c r="AC325" s="1">
        <f>VLOOKUP(A325,'SegEnds_NonXtal_Prot#'!A:AL,10,FALSE)-VLOOKUP(A325,'SegEnds_NonXtal_Prot#'!A:AL,7,FALSE)</f>
        <v>16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47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53</v>
      </c>
      <c r="AI325" s="1">
        <f>VLOOKUP(A325,'SegEnds_NonXtal_Prot#'!A:AL,31,FALSE)-VLOOKUP(A325,'SegEnds_NonXtal_Prot#'!A:AL,28,FALSE)</f>
        <v>51</v>
      </c>
      <c r="AJ325" s="1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1199</v>
      </c>
      <c r="B326" s="1" t="str">
        <f>VLOOKUP(A326,Xtal_Templ!A:B,2,FALSE)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28</v>
      </c>
      <c r="AC326" s="1">
        <f>VLOOKUP(A326,'SegEnds_NonXtal_Prot#'!A:AL,10,FALSE)-VLOOKUP(A326,'SegEnds_NonXtal_Prot#'!A:AL,7,FALSE)</f>
        <v>15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45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19</v>
      </c>
      <c r="AH326" s="1">
        <f>VLOOKUP(A326,'SegEnds_NonXtal_Prot#'!A:AL,28,FALSE)-VLOOKUP(A326,'SegEnds_NonXtal_Prot#'!A:AL,22,FALSE)</f>
        <v>43</v>
      </c>
      <c r="AI326" s="1">
        <f>VLOOKUP(A326,'SegEnds_NonXtal_Prot#'!A:AL,31,FALSE)-VLOOKUP(A326,'SegEnds_NonXtal_Prot#'!A:AL,28,FALSE)</f>
        <v>52</v>
      </c>
      <c r="AJ326" s="1">
        <f>VLOOKUP(A326,'SegEnds_NonXtal_Prot#'!A:AL,34,FALSE)-VLOOKUP(A326,'SegEnds_NonXtal_Prot#'!A:AL,31,FALSE)</f>
        <v>28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1200</v>
      </c>
      <c r="B327" s="1" t="str">
        <f>VLOOKUP(A327,Xtal_Templ!A:B,2,FALSE)</f>
        <v>calcr_human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41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28</v>
      </c>
      <c r="AC327" s="1" t="e">
        <f>VLOOKUP(A327,'SegEnds_NonXtal_Prot#'!A:AL,10,FALSE)-VLOOKUP(A327,'SegEnds_NonXtal_Prot#'!A:AL,7,FALSE)</f>
        <v>#VALUE!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45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43</v>
      </c>
      <c r="AI327" s="1">
        <f>VLOOKUP(A327,'SegEnds_NonXtal_Prot#'!A:AL,31,FALSE)-VLOOKUP(A327,'SegEnds_NonXtal_Prot#'!A:AL,28,FALSE)</f>
        <v>52</v>
      </c>
      <c r="AJ327" s="1">
        <f>VLOOKUP(A327,'SegEnds_NonXtal_Prot#'!A:AL,34,FALSE)-VLOOKUP(A327,'SegEnds_NonXtal_Prot#'!A:AL,31,FALSE)</f>
        <v>28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1" t="s">
        <v>1201</v>
      </c>
      <c r="B328" s="1" t="str">
        <f>VLOOKUP(A328,Xtal_Templ!A:B,2,FALSE)</f>
        <v>crfr1_human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7">
        <f>VLOOKUP($B328&amp;"__wt",'SegEnds_Xtal_BW#'!$A:$Z,15,FALSE)</f>
        <v>40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1">
        <f>VLOOKUP(A328,'SegEnds_NonXtal_Prot#'!A:AL,10,FALSE)-VLOOKUP(A328,'SegEnds_NonXtal_Prot#'!A:AL,7,FALSE)</f>
        <v>15</v>
      </c>
      <c r="AD328" s="1" t="e">
        <f>VLOOKUP(A328,'SegEnds_NonXtal_Prot#'!A:AL,13,FALSE)-VLOOKUP(A328,'SegEnds_NonXtal_Prot#'!A:AL,10,FALSE)</f>
        <v>#VALUE!</v>
      </c>
      <c r="AE328" s="1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1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43</v>
      </c>
      <c r="AI328" s="1">
        <f>VLOOKUP(A328,'SegEnds_NonXtal_Prot#'!A:AL,31,FALSE)-VLOOKUP(A328,'SegEnds_NonXtal_Prot#'!A:AL,28,FALSE)</f>
        <v>52</v>
      </c>
      <c r="AJ328" s="1">
        <f>VLOOKUP(A328,'SegEnds_NonXtal_Prot#'!A:AL,34,FALSE)-VLOOKUP(A328,'SegEnds_NonXtal_Prot#'!A:AL,31,FALSE)</f>
        <v>28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1202</v>
      </c>
      <c r="B329" s="1" t="str">
        <f>VLOOKUP(A329,Xtal_Templ!A:B,2,FALSE)</f>
        <v>crfr1_human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40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1" t="e">
        <f>VLOOKUP(A329,'SegEnds_NonXtal_Prot#'!A:AL,10,FALSE)-VLOOKUP(A329,'SegEnds_NonXtal_Prot#'!A:AL,7,FALSE)</f>
        <v>#VALUE!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45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1">
        <f>VLOOKUP(A329,'SegEnds_NonXtal_Prot#'!A:AL,31,FALSE)-VLOOKUP(A329,'SegEnds_NonXtal_Prot#'!A:AL,28,FALSE)</f>
        <v>52</v>
      </c>
      <c r="AJ329" s="1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4" t="s">
        <v>417</v>
      </c>
      <c r="B330" s="4" t="str">
        <f>VLOOKUP(A330,Xtal_Templ!A:B,2,FALSE)</f>
        <v>glp1r_human</v>
      </c>
      <c r="C330" s="5">
        <v>23</v>
      </c>
      <c r="D330" s="4">
        <f>VLOOKUP($B330&amp;"__wt",'SegEnds_Xtal_BW#'!$A:$Z,4,FALSE)</f>
        <v>60</v>
      </c>
      <c r="E330" s="4">
        <f>VLOOKUP($B330&amp;"__wt",'SegEnds_Xtal_BW#'!$A:$Z,5,FALSE)</f>
        <v>48</v>
      </c>
      <c r="F330" s="4">
        <f>VLOOKUP($B330&amp;"__wt",'SegEnds_Xtal_BW#'!$A:$Z,6,FALSE)</f>
        <v>51</v>
      </c>
      <c r="G330" s="4">
        <v>37</v>
      </c>
      <c r="H330" s="11">
        <v>63</v>
      </c>
      <c r="I330" s="4" t="str">
        <f>VLOOKUP($B330&amp;"__wt",'SegEnds_Xtal_BW#'!$A:$Z,9,FALSE)</f>
        <v>-</v>
      </c>
      <c r="J330" s="4" t="str">
        <f>VLOOKUP($B330&amp;"__wt",'SegEnds_Xtal_BW#'!$A:$Z,10,FALSE)</f>
        <v>-</v>
      </c>
      <c r="K330" s="11">
        <v>23</v>
      </c>
      <c r="L330" s="4">
        <f>VLOOKUP($B330&amp;"__wt",'SegEnds_Xtal_BW#'!$A:$Z,12,FALSE)</f>
        <v>56</v>
      </c>
      <c r="M330" s="4" t="str">
        <f>VLOOKUP($B330&amp;"__wt",'SegEnds_Xtal_BW#'!$A:$Z,13,FALSE)</f>
        <v>-</v>
      </c>
      <c r="N330" s="11" t="str">
        <f>VLOOKUP($B330&amp;"__wt",'SegEnds_Xtal_BW#'!$A:$Z,14,FALSE)</f>
        <v>-</v>
      </c>
      <c r="O330" s="88">
        <f>VLOOKUP($B330&amp;"__wt",'SegEnds_Xtal_BW#'!$A:$Z,15,FALSE)</f>
        <v>38</v>
      </c>
      <c r="P330" s="4">
        <f>VLOOKUP($B330&amp;"__wt",'SegEnds_Xtal_BW#'!$A:$Z,16,FALSE)</f>
        <v>68</v>
      </c>
      <c r="Q330" s="4">
        <f>VLOOKUP($B330&amp;"__wt",'SegEnds_Xtal_BW#'!$A:$Z,17,FALSE)</f>
        <v>50</v>
      </c>
      <c r="R330" s="4">
        <f>VLOOKUP($B330&amp;"__wt",'SegEnds_Xtal_BW#'!$A:$Z,18,FALSE)</f>
        <v>52</v>
      </c>
      <c r="S330" s="4">
        <v>36</v>
      </c>
      <c r="T330" s="4">
        <v>69</v>
      </c>
      <c r="U330" s="4">
        <v>29</v>
      </c>
      <c r="V330" s="4">
        <f>VLOOKUP($B330&amp;"__wt",'SegEnds_Xtal_BW#'!$A:$Z,22,FALSE)</f>
        <v>53</v>
      </c>
      <c r="W330" s="4">
        <v>31</v>
      </c>
      <c r="X330" s="4">
        <f>VLOOKUP($B330&amp;"__wt",'SegEnds_Xtal_BW#'!$A:$Z,24,FALSE)</f>
        <v>56</v>
      </c>
      <c r="Y330" s="4">
        <f>VLOOKUP($B330&amp;"__wt",'SegEnds_Xtal_BW#'!$A:$Z,25,FALSE)</f>
        <v>47</v>
      </c>
      <c r="Z330" s="4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4" t="e">
        <f>VLOOKUP(A330,'SegEnds_NonXtal_Prot#'!A:AL,10,FALSE)-VLOOKUP(A330,'SegEnds_NonXtal_Prot#'!A:AL,7,FALSE)</f>
        <v>#VALUE!</v>
      </c>
      <c r="AD330" s="4" t="e">
        <f>VLOOKUP(A330,'SegEnds_NonXtal_Prot#'!A:AL,13,FALSE)-VLOOKUP(A330,'SegEnds_NonXtal_Prot#'!A:AL,10,FALSE)</f>
        <v>#VALUE!</v>
      </c>
      <c r="AE330" s="4">
        <f>VLOOKUP(A330,'SegEnds_NonXtal_Prot#'!A:AL,16,FALSE)-VLOOKUP(A330,'SegEnds_NonXtal_Prot#'!A:AL,10,FALSE)</f>
        <v>47</v>
      </c>
      <c r="AF330" s="1" t="e">
        <f>VLOOKUP(A330,'SegEnds_NonXtal_Prot#'!A:AL,22,FALSE)-VLOOKUP(A330,'SegEnds_NonXtal_Prot#'!A:AL,19,FALSE)</f>
        <v>#VALUE!</v>
      </c>
      <c r="AG330" s="4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4">
        <f>VLOOKUP(A330,'SegEnds_NonXtal_Prot#'!A:AL,31,FALSE)-VLOOKUP(A330,'SegEnds_NonXtal_Prot#'!A:AL,28,FALSE)</f>
        <v>52</v>
      </c>
      <c r="AJ330" s="4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1" t="s">
        <v>418</v>
      </c>
      <c r="B331" s="1" t="str">
        <f>VLOOKUP(A331,Xtal_Templ!A:B,2,FALSE)</f>
        <v>calcr_human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7">
        <f>VLOOKUP($B331&amp;"__wt",'SegEnds_Xtal_BW#'!$A:$Z,15,FALSE)</f>
        <v>41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28</v>
      </c>
      <c r="AC331" s="1">
        <f>VLOOKUP(A331,'SegEnds_NonXtal_Prot#'!A:AL,10,FALSE)-VLOOKUP(A331,'SegEnds_NonXtal_Prot#'!A:AL,7,FALSE)</f>
        <v>15</v>
      </c>
      <c r="AD331" s="1" t="e">
        <f>VLOOKUP(A331,'SegEnds_NonXtal_Prot#'!A:AL,13,FALSE)-VLOOKUP(A331,'SegEnds_NonXtal_Prot#'!A:AL,10,FALSE)</f>
        <v>#VALUE!</v>
      </c>
      <c r="AE331" s="1">
        <f>VLOOKUP(A331,'SegEnds_NonXtal_Prot#'!A:AL,16,FALSE)-VLOOKUP(A331,'SegEnds_NonXtal_Prot#'!A:AL,10,FALSE)</f>
        <v>45</v>
      </c>
      <c r="AF331" s="1" t="e">
        <f>VLOOKUP(A331,'SegEnds_NonXtal_Prot#'!A:AL,22,FALSE)-VLOOKUP(A331,'SegEnds_NonXtal_Prot#'!A:AL,19,FALSE)</f>
        <v>#VALUE!</v>
      </c>
      <c r="AG331" s="1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43</v>
      </c>
      <c r="AI331" s="1">
        <f>VLOOKUP(A331,'SegEnds_NonXtal_Prot#'!A:AL,31,FALSE)-VLOOKUP(A331,'SegEnds_NonXtal_Prot#'!A:AL,28,FALSE)</f>
        <v>48</v>
      </c>
      <c r="AJ331" s="1">
        <f>VLOOKUP(A331,'SegEnds_NonXtal_Prot#'!A:AL,34,FALSE)-VLOOKUP(A331,'SegEnds_NonXtal_Prot#'!A:AL,31,FALSE)</f>
        <v>28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4" t="s">
        <v>419</v>
      </c>
      <c r="B332" s="4" t="str">
        <f>VLOOKUP(A332,Xtal_Templ!A:B,2,FALSE)</f>
        <v>calrl_human</v>
      </c>
      <c r="C332" s="5">
        <v>23</v>
      </c>
      <c r="D332" s="4">
        <f>VLOOKUP($B332&amp;"__wt",'SegEnds_Xtal_BW#'!$A:$Z,4,FALSE)</f>
        <v>60</v>
      </c>
      <c r="E332" s="4">
        <f>VLOOKUP($B332&amp;"__wt",'SegEnds_Xtal_BW#'!$A:$Z,5,FALSE)</f>
        <v>48</v>
      </c>
      <c r="F332" s="4">
        <f>VLOOKUP($B332&amp;"__wt",'SegEnds_Xtal_BW#'!$A:$Z,6,FALSE)</f>
        <v>51</v>
      </c>
      <c r="G332" s="4">
        <v>37</v>
      </c>
      <c r="H332" s="11">
        <v>63</v>
      </c>
      <c r="I332" s="4" t="str">
        <f>VLOOKUP($B332&amp;"__wt",'SegEnds_Xtal_BW#'!$A:$Z,9,FALSE)</f>
        <v>-</v>
      </c>
      <c r="J332" s="4" t="str">
        <f>VLOOKUP($B332&amp;"__wt",'SegEnds_Xtal_BW#'!$A:$Z,10,FALSE)</f>
        <v>-</v>
      </c>
      <c r="K332" s="11">
        <v>23</v>
      </c>
      <c r="L332" s="4">
        <f>VLOOKUP($B332&amp;"__wt",'SegEnds_Xtal_BW#'!$A:$Z,12,FALSE)</f>
        <v>56</v>
      </c>
      <c r="M332" s="4" t="str">
        <f>VLOOKUP($B332&amp;"__wt",'SegEnds_Xtal_BW#'!$A:$Z,13,FALSE)</f>
        <v>-</v>
      </c>
      <c r="N332" s="11" t="str">
        <f>VLOOKUP($B332&amp;"__wt",'SegEnds_Xtal_BW#'!$A:$Z,14,FALSE)</f>
        <v>-</v>
      </c>
      <c r="O332" s="88">
        <f>VLOOKUP($B332&amp;"__wt",'SegEnds_Xtal_BW#'!$A:$Z,15,FALSE)</f>
        <v>41</v>
      </c>
      <c r="P332" s="4">
        <f>VLOOKUP($B332&amp;"__wt",'SegEnds_Xtal_BW#'!$A:$Z,16,FALSE)</f>
        <v>67</v>
      </c>
      <c r="Q332" s="4">
        <f>VLOOKUP($B332&amp;"__wt",'SegEnds_Xtal_BW#'!$A:$Z,17,FALSE)</f>
        <v>50</v>
      </c>
      <c r="R332" s="4">
        <f>VLOOKUP($B332&amp;"__wt",'SegEnds_Xtal_BW#'!$A:$Z,18,FALSE)</f>
        <v>52</v>
      </c>
      <c r="S332" s="4">
        <v>36</v>
      </c>
      <c r="T332" s="4">
        <v>69</v>
      </c>
      <c r="U332" s="4">
        <v>29</v>
      </c>
      <c r="V332" s="4">
        <f>VLOOKUP($B332&amp;"__wt",'SegEnds_Xtal_BW#'!$A:$Z,22,FALSE)</f>
        <v>53</v>
      </c>
      <c r="W332" s="4">
        <v>31</v>
      </c>
      <c r="X332" s="4">
        <f>VLOOKUP($B332&amp;"__wt",'SegEnds_Xtal_BW#'!$A:$Z,24,FALSE)</f>
        <v>56</v>
      </c>
      <c r="Y332" s="4">
        <f>VLOOKUP($B332&amp;"__wt",'SegEnds_Xtal_BW#'!$A:$Z,25,FALSE)</f>
        <v>47</v>
      </c>
      <c r="Z332" s="4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28</v>
      </c>
      <c r="AC332" s="4">
        <f>VLOOKUP(A332,'SegEnds_NonXtal_Prot#'!A:AL,10,FALSE)-VLOOKUP(A332,'SegEnds_NonXtal_Prot#'!A:AL,7,FALSE)</f>
        <v>15</v>
      </c>
      <c r="AD332" s="4" t="e">
        <f>VLOOKUP(A332,'SegEnds_NonXtal_Prot#'!A:AL,13,FALSE)-VLOOKUP(A332,'SegEnds_NonXtal_Prot#'!A:AL,10,FALSE)</f>
        <v>#VALUE!</v>
      </c>
      <c r="AE332" s="4">
        <f>VLOOKUP(A332,'SegEnds_NonXtal_Prot#'!A:AL,16,FALSE)-VLOOKUP(A332,'SegEnds_NonXtal_Prot#'!A:AL,10,FALSE)</f>
        <v>45</v>
      </c>
      <c r="AF332" s="1" t="e">
        <f>VLOOKUP(A332,'SegEnds_NonXtal_Prot#'!A:AL,22,FALSE)-VLOOKUP(A332,'SegEnds_NonXtal_Prot#'!A:AL,19,FALSE)</f>
        <v>#VALUE!</v>
      </c>
      <c r="AG332" s="4">
        <f>VLOOKUP(A332,'SegEnds_NonXtal_Prot#'!A:AL,28,FALSE)-VLOOKUP(A332,'SegEnds_NonXtal_Prot#'!A:AL,25,FALSE)</f>
        <v>19</v>
      </c>
      <c r="AH332" s="1">
        <f>VLOOKUP(A332,'SegEnds_NonXtal_Prot#'!A:AL,28,FALSE)-VLOOKUP(A332,'SegEnds_NonXtal_Prot#'!A:AL,22,FALSE)</f>
        <v>43</v>
      </c>
      <c r="AI332" s="4">
        <f>VLOOKUP(A332,'SegEnds_NonXtal_Prot#'!A:AL,31,FALSE)-VLOOKUP(A332,'SegEnds_NonXtal_Prot#'!A:AL,28,FALSE)</f>
        <v>48</v>
      </c>
      <c r="AJ332" s="4">
        <f>VLOOKUP(A332,'SegEnds_NonXtal_Prot#'!A:AL,34,FALSE)-VLOOKUP(A332,'SegEnds_NonXtal_Prot#'!A:AL,31,FALSE)</f>
        <v>28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420</v>
      </c>
      <c r="B333" s="1" t="str">
        <f>VLOOKUP(A333,Xtal_Templ!A:B,2,FALSE)</f>
        <v>crfr1_human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28</v>
      </c>
      <c r="AC333" s="1">
        <f>VLOOKUP(A333,'SegEnds_NonXtal_Prot#'!A:AL,10,FALSE)-VLOOKUP(A333,'SegEnds_NonXtal_Prot#'!A:AL,7,FALSE)</f>
        <v>15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45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43</v>
      </c>
      <c r="AI333" s="1">
        <f>VLOOKUP(A333,'SegEnds_NonXtal_Prot#'!A:AL,31,FALSE)-VLOOKUP(A333,'SegEnds_NonXtal_Prot#'!A:AL,28,FALSE)</f>
        <v>47</v>
      </c>
      <c r="AJ333" s="1">
        <f>VLOOKUP(A333,'SegEnds_NonXtal_Prot#'!A:AL,34,FALSE)-VLOOKUP(A333,'SegEnds_NonXtal_Prot#'!A:AL,31,FALSE)</f>
        <v>28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1" t="s">
        <v>442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7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26</v>
      </c>
      <c r="AC334" s="1" t="e">
        <f>VLOOKUP(A334,'SegEnds_NonXtal_Prot#'!A:AL,10,FALSE)-VLOOKUP(A334,'SegEnds_NonXtal_Prot#'!A:AL,7,FALSE)</f>
        <v>#VALUE!</v>
      </c>
      <c r="AD334" s="1" t="e">
        <f>VLOOKUP(A334,'SegEnds_NonXtal_Prot#'!A:AL,13,FALSE)-VLOOKUP(A334,'SegEnds_NonXtal_Prot#'!A:AL,10,FALSE)</f>
        <v>#VALUE!</v>
      </c>
      <c r="AE334" s="1">
        <f>VLOOKUP(A334,'SegEnds_NonXtal_Prot#'!A:AL,16,FALSE)-VLOOKUP(A334,'SegEnds_NonXtal_Prot#'!A:AL,10,FALSE)</f>
        <v>47</v>
      </c>
      <c r="AF334" s="1" t="e">
        <f>VLOOKUP(A334,'SegEnds_NonXtal_Prot#'!A:AL,22,FALSE)-VLOOKUP(A334,'SegEnds_NonXtal_Prot#'!A:AL,19,FALSE)</f>
        <v>#VALUE!</v>
      </c>
      <c r="AG334" s="1">
        <f>VLOOKUP(A334,'SegEnds_NonXtal_Prot#'!A:AL,28,FALSE)-VLOOKUP(A334,'SegEnds_NonXtal_Prot#'!A:AL,25,FALSE)</f>
        <v>20</v>
      </c>
      <c r="AH334" s="1">
        <f>VLOOKUP(A334,'SegEnds_NonXtal_Prot#'!A:AL,28,FALSE)-VLOOKUP(A334,'SegEnds_NonXtal_Prot#'!A:AL,22,FALSE)</f>
        <v>54</v>
      </c>
      <c r="AI334" s="1">
        <f>VLOOKUP(A334,'SegEnds_NonXtal_Prot#'!A:AL,31,FALSE)-VLOOKUP(A334,'SegEnds_NonXtal_Prot#'!A:AL,28,FALSE)</f>
        <v>49</v>
      </c>
      <c r="AJ334" s="1">
        <f>VLOOKUP(A334,'SegEnds_NonXtal_Prot#'!A:AL,34,FALSE)-VLOOKUP(A334,'SegEnds_NonXtal_Prot#'!A:AL,31,FALSE)</f>
        <v>28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1180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29</v>
      </c>
      <c r="AC335" s="1" t="e">
        <f>VLOOKUP(A335,'SegEnds_NonXtal_Prot#'!A:AL,10,FALSE)-VLOOKUP(A335,'SegEnds_NonXtal_Prot#'!A:AL,7,FALSE)</f>
        <v>#VALUE!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45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44</v>
      </c>
      <c r="AI335" s="1">
        <f>VLOOKUP(A335,'SegEnds_NonXtal_Prot#'!A:AL,31,FALSE)-VLOOKUP(A335,'SegEnds_NonXtal_Prot#'!A:AL,28,FALSE)</f>
        <v>83</v>
      </c>
      <c r="AJ335" s="1">
        <f>VLOOKUP(A335,'SegEnds_NonXtal_Prot#'!A:AL,34,FALSE)-VLOOKUP(A335,'SegEnds_NonXtal_Prot#'!A:AL,31,FALSE)</f>
        <v>29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1181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29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45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19</v>
      </c>
      <c r="AH336" s="1">
        <f>VLOOKUP(A336,'SegEnds_NonXtal_Prot#'!A:AL,28,FALSE)-VLOOKUP(A336,'SegEnds_NonXtal_Prot#'!A:AL,22,FALSE)</f>
        <v>44</v>
      </c>
      <c r="AI336" s="1">
        <f>VLOOKUP(A336,'SegEnds_NonXtal_Prot#'!A:AL,31,FALSE)-VLOOKUP(A336,'SegEnds_NonXtal_Prot#'!A:AL,28,FALSE)</f>
        <v>83</v>
      </c>
      <c r="AJ336" s="1">
        <f>VLOOKUP(A336,'SegEnds_NonXtal_Prot#'!A:AL,34,FALSE)-VLOOKUP(A336,'SegEnds_NonXtal_Prot#'!A:AL,31,FALSE)</f>
        <v>29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1" t="s">
        <v>1188</v>
      </c>
      <c r="B337" s="1" t="str">
        <f>VLOOKUP(A337,Xtal_Templ!A:B,2,FALSE)</f>
        <v>pth1r_human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37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54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31</v>
      </c>
      <c r="AC337" s="1" t="e">
        <f>VLOOKUP(A337,'SegEnds_NonXtal_Prot#'!A:AL,10,FALSE)-VLOOKUP(A337,'SegEnds_NonXtal_Prot#'!A:AL,7,FALSE)</f>
        <v>#VALUE!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51</v>
      </c>
      <c r="AF337" s="1" t="e">
        <f>VLOOKUP(A337,'SegEnds_NonXtal_Prot#'!A:AL,22,FALSE)-VLOOKUP(A337,'SegEnds_NonXtal_Prot#'!A:AL,19,FALSE)</f>
        <v>#VALUE!</v>
      </c>
      <c r="AG337" s="1">
        <f>VLOOKUP(A337,'SegEnds_NonXtal_Prot#'!A:AL,28,FALSE)-VLOOKUP(A337,'SegEnds_NonXtal_Prot#'!A:AL,25,FALSE)</f>
        <v>21</v>
      </c>
      <c r="AH337" s="1">
        <f>VLOOKUP(A337,'SegEnds_NonXtal_Prot#'!A:AL,28,FALSE)-VLOOKUP(A337,'SegEnds_NonXtal_Prot#'!A:AL,22,FALSE)</f>
        <v>47</v>
      </c>
      <c r="AI337" s="1">
        <f>VLOOKUP(A337,'SegEnds_NonXtal_Prot#'!A:AL,31,FALSE)-VLOOKUP(A337,'SegEnds_NonXtal_Prot#'!A:AL,28,FALSE)</f>
        <v>52</v>
      </c>
      <c r="AJ337" s="1">
        <f>VLOOKUP(A337,'SegEnds_NonXtal_Prot#'!A:AL,34,FALSE)-VLOOKUP(A337,'SegEnds_NonXtal_Prot#'!A:AL,31,FALSE)</f>
        <v>29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1190</v>
      </c>
      <c r="B338" s="1" t="str">
        <f>VLOOKUP(A338,Xtal_Templ!A:B,2,FALSE)</f>
        <v>calrl_human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41</v>
      </c>
      <c r="P338" s="1">
        <f>VLOOKUP($B338&amp;"__wt",'SegEnds_Xtal_BW#'!$A:$Z,16,FALSE)</f>
        <v>67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31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50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19</v>
      </c>
      <c r="AH338" s="1">
        <f>VLOOKUP(A338,'SegEnds_NonXtal_Prot#'!A:AL,28,FALSE)-VLOOKUP(A338,'SegEnds_NonXtal_Prot#'!A:AL,22,FALSE)</f>
        <v>45</v>
      </c>
      <c r="AI338" s="1">
        <f>VLOOKUP(A338,'SegEnds_NonXtal_Prot#'!A:AL,31,FALSE)-VLOOKUP(A338,'SegEnds_NonXtal_Prot#'!A:AL,28,FALSE)</f>
        <v>52</v>
      </c>
      <c r="AJ338" s="1">
        <f>VLOOKUP(A338,'SegEnds_NonXtal_Prot#'!A:AL,34,FALSE)-VLOOKUP(A338,'SegEnds_NonXtal_Prot#'!A:AL,31,FALSE)</f>
        <v>29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1" t="s">
        <v>1191</v>
      </c>
      <c r="B339" s="1" t="str">
        <f>VLOOKUP(A339,Xtal_Templ!A:B,2,FALSE)</f>
        <v>crfr1_human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7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31</v>
      </c>
      <c r="AC339" s="1" t="e">
        <f>VLOOKUP(A339,'SegEnds_NonXtal_Prot#'!A:AL,10,FALSE)-VLOOKUP(A339,'SegEnds_NonXtal_Prot#'!A:AL,7,FALSE)</f>
        <v>#VALUE!</v>
      </c>
      <c r="AD339" s="1" t="e">
        <f>VLOOKUP(A339,'SegEnds_NonXtal_Prot#'!A:AL,13,FALSE)-VLOOKUP(A339,'SegEnds_NonXtal_Prot#'!A:AL,10,FALSE)</f>
        <v>#VALUE!</v>
      </c>
      <c r="AE339" s="1">
        <f>VLOOKUP(A339,'SegEnds_NonXtal_Prot#'!A:AL,16,FALSE)-VLOOKUP(A339,'SegEnds_NonXtal_Prot#'!A:AL,10,FALSE)</f>
        <v>51</v>
      </c>
      <c r="AF339" s="1" t="e">
        <f>VLOOKUP(A339,'SegEnds_NonXtal_Prot#'!A:AL,22,FALSE)-VLOOKUP(A339,'SegEnds_NonXtal_Prot#'!A:AL,19,FALSE)</f>
        <v>#VALUE!</v>
      </c>
      <c r="AG339" s="1">
        <f>VLOOKUP(A339,'SegEnds_NonXtal_Prot#'!A:AL,28,FALSE)-VLOOKUP(A339,'SegEnds_NonXtal_Prot#'!A:AL,25,FALSE)</f>
        <v>20</v>
      </c>
      <c r="AH339" s="1">
        <f>VLOOKUP(A339,'SegEnds_NonXtal_Prot#'!A:AL,28,FALSE)-VLOOKUP(A339,'SegEnds_NonXtal_Prot#'!A:AL,22,FALSE)</f>
        <v>46</v>
      </c>
      <c r="AI339" s="1">
        <f>VLOOKUP(A339,'SegEnds_NonXtal_Prot#'!A:AL,31,FALSE)-VLOOKUP(A339,'SegEnds_NonXtal_Prot#'!A:AL,28,FALSE)</f>
        <v>51</v>
      </c>
      <c r="AJ339" s="1">
        <f>VLOOKUP(A339,'SegEnds_NonXtal_Prot#'!A:AL,34,FALSE)-VLOOKUP(A339,'SegEnds_NonXtal_Prot#'!A:AL,31,FALSE)</f>
        <v>29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1" t="s">
        <v>1192</v>
      </c>
      <c r="B340" s="1" t="str">
        <f>VLOOKUP(A340,Xtal_Templ!A:B,2,FALSE)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31</v>
      </c>
      <c r="AC340" s="1">
        <f>VLOOKUP(A340,'SegEnds_NonXtal_Prot#'!A:AL,10,FALSE)-VLOOKUP(A340,'SegEnds_NonXtal_Prot#'!A:AL,7,FALSE)</f>
        <v>17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53</v>
      </c>
      <c r="AF340" s="1" t="e">
        <f>VLOOKUP(A340,'SegEnds_NonXtal_Prot#'!A:AL,22,FALSE)-VLOOKUP(A340,'SegEnds_NonXtal_Prot#'!A:AL,19,FALSE)</f>
        <v>#VALUE!</v>
      </c>
      <c r="AG340" s="1">
        <f>VLOOKUP(A340,'SegEnds_NonXtal_Prot#'!A:AL,28,FALSE)-VLOOKUP(A340,'SegEnds_NonXtal_Prot#'!A:AL,25,FALSE)</f>
        <v>20</v>
      </c>
      <c r="AH340" s="1">
        <f>VLOOKUP(A340,'SegEnds_NonXtal_Prot#'!A:AL,28,FALSE)-VLOOKUP(A340,'SegEnds_NonXtal_Prot#'!A:AL,22,FALSE)</f>
        <v>46</v>
      </c>
      <c r="AI340" s="1">
        <f>VLOOKUP(A340,'SegEnds_NonXtal_Prot#'!A:AL,31,FALSE)-VLOOKUP(A340,'SegEnds_NonXtal_Prot#'!A:AL,28,FALSE)</f>
        <v>52</v>
      </c>
      <c r="AJ340" s="1">
        <f>VLOOKUP(A340,'SegEnds_NonXtal_Prot#'!A:AL,34,FALSE)-VLOOKUP(A340,'SegEnds_NonXtal_Prot#'!A:AL,31,FALSE)</f>
        <v>29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1" t="s">
        <v>414</v>
      </c>
      <c r="B341" s="1" t="str">
        <f>VLOOKUP(A341,Xtal_Templ!A:B,2,FALSE)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29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45</v>
      </c>
      <c r="AF341" s="1" t="e">
        <f>VLOOKUP(A341,'SegEnds_NonXtal_Prot#'!A:AL,22,FALSE)-VLOOKUP(A341,'SegEnds_NonXtal_Prot#'!A:AL,19,FALSE)</f>
        <v>#VALUE!</v>
      </c>
      <c r="AG341" s="1">
        <f>VLOOKUP(A341,'SegEnds_NonXtal_Prot#'!A:AL,28,FALSE)-VLOOKUP(A341,'SegEnds_NonXtal_Prot#'!A:AL,25,FALSE)</f>
        <v>19</v>
      </c>
      <c r="AH341" s="1">
        <f>VLOOKUP(A341,'SegEnds_NonXtal_Prot#'!A:AL,28,FALSE)-VLOOKUP(A341,'SegEnds_NonXtal_Prot#'!A:AL,22,FALSE)</f>
        <v>44</v>
      </c>
      <c r="AI341" s="1">
        <f>VLOOKUP(A341,'SegEnds_NonXtal_Prot#'!A:AL,31,FALSE)-VLOOKUP(A341,'SegEnds_NonXtal_Prot#'!A:AL,28,FALSE)</f>
        <v>50</v>
      </c>
      <c r="AJ341" s="1">
        <f>VLOOKUP(A341,'SegEnds_NonXtal_Prot#'!A:AL,34,FALSE)-VLOOKUP(A341,'SegEnds_NonXtal_Prot#'!A:AL,31,FALSE)</f>
        <v>29</v>
      </c>
      <c r="AK341" s="1">
        <f>VLOOKUP(A341,'SegEnds_NonXtal_Prot#'!A:AL,37,FALSE)-VLOOKUP(A341,'SegEnds_NonXtal_Prot#'!A:AL,34,FALSE)</f>
        <v>10</v>
      </c>
      <c r="AL341" s="1" t="str">
        <f>IF(ISERROR(MATCH(A341,'SegEnds_Xtal_Prot#'!B:B, 0)), "NoXtal", "Xtal")</f>
        <v>NoXtal</v>
      </c>
    </row>
    <row r="342" spans="1:38" x14ac:dyDescent="0.2">
      <c r="A342" s="4" t="s">
        <v>1193</v>
      </c>
      <c r="B342" s="4" t="str">
        <f>VLOOKUP(A342,Xtal_Templ!A:B,2,FALSE)</f>
        <v>crfr1_human</v>
      </c>
      <c r="C342" s="5">
        <v>23</v>
      </c>
      <c r="D342" s="4">
        <f>VLOOKUP($B342&amp;"__wt",'SegEnds_Xtal_BW#'!$A:$Z,4,FALSE)</f>
        <v>60</v>
      </c>
      <c r="E342" s="4">
        <f>VLOOKUP($B342&amp;"__wt",'SegEnds_Xtal_BW#'!$A:$Z,5,FALSE)</f>
        <v>48</v>
      </c>
      <c r="F342" s="4">
        <f>VLOOKUP($B342&amp;"__wt",'SegEnds_Xtal_BW#'!$A:$Z,6,FALSE)</f>
        <v>51</v>
      </c>
      <c r="G342" s="4">
        <v>37</v>
      </c>
      <c r="H342" s="11">
        <v>63</v>
      </c>
      <c r="I342" s="4" t="str">
        <f>VLOOKUP($B342&amp;"__wt",'SegEnds_Xtal_BW#'!$A:$Z,9,FALSE)</f>
        <v>-</v>
      </c>
      <c r="J342" s="4" t="str">
        <f>VLOOKUP($B342&amp;"__wt",'SegEnds_Xtal_BW#'!$A:$Z,10,FALSE)</f>
        <v>-</v>
      </c>
      <c r="K342" s="11">
        <v>23</v>
      </c>
      <c r="L342" s="4">
        <f>VLOOKUP($B342&amp;"__wt",'SegEnds_Xtal_BW#'!$A:$Z,12,FALSE)</f>
        <v>56</v>
      </c>
      <c r="M342" s="4" t="str">
        <f>VLOOKUP($B342&amp;"__wt",'SegEnds_Xtal_BW#'!$A:$Z,13,FALSE)</f>
        <v>-</v>
      </c>
      <c r="N342" s="11" t="str">
        <f>VLOOKUP($B342&amp;"__wt",'SegEnds_Xtal_BW#'!$A:$Z,14,FALSE)</f>
        <v>-</v>
      </c>
      <c r="O342" s="88">
        <f>VLOOKUP($B342&amp;"__wt",'SegEnds_Xtal_BW#'!$A:$Z,15,FALSE)</f>
        <v>40</v>
      </c>
      <c r="P342" s="4">
        <f>VLOOKUP($B342&amp;"__wt",'SegEnds_Xtal_BW#'!$A:$Z,16,FALSE)</f>
        <v>68</v>
      </c>
      <c r="Q342" s="4">
        <f>VLOOKUP($B342&amp;"__wt",'SegEnds_Xtal_BW#'!$A:$Z,17,FALSE)</f>
        <v>50</v>
      </c>
      <c r="R342" s="4">
        <f>VLOOKUP($B342&amp;"__wt",'SegEnds_Xtal_BW#'!$A:$Z,18,FALSE)</f>
        <v>52</v>
      </c>
      <c r="S342" s="4">
        <v>36</v>
      </c>
      <c r="T342" s="4">
        <v>69</v>
      </c>
      <c r="U342" s="4">
        <v>29</v>
      </c>
      <c r="V342" s="4">
        <f>VLOOKUP($B342&amp;"__wt",'SegEnds_Xtal_BW#'!$A:$Z,22,FALSE)</f>
        <v>53</v>
      </c>
      <c r="W342" s="115">
        <v>28</v>
      </c>
      <c r="X342" s="4">
        <f>VLOOKUP($B342&amp;"__wt",'SegEnds_Xtal_BW#'!$A:$Z,24,FALSE)</f>
        <v>56</v>
      </c>
      <c r="Y342" s="4">
        <f>VLOOKUP($B342&amp;"__wt",'SegEnds_Xtal_BW#'!$A:$Z,25,FALSE)</f>
        <v>47</v>
      </c>
      <c r="Z342" s="4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35</v>
      </c>
      <c r="AC342" s="4">
        <f>VLOOKUP(A342,'SegEnds_NonXtal_Prot#'!A:AL,10,FALSE)-VLOOKUP(A342,'SegEnds_NonXtal_Prot#'!A:AL,7,FALSE)</f>
        <v>21</v>
      </c>
      <c r="AD342" s="4" t="e">
        <f>VLOOKUP(A342,'SegEnds_NonXtal_Prot#'!A:AL,13,FALSE)-VLOOKUP(A342,'SegEnds_NonXtal_Prot#'!A:AL,10,FALSE)</f>
        <v>#VALUE!</v>
      </c>
      <c r="AE342" s="4">
        <f>VLOOKUP(A342,'SegEnds_NonXtal_Prot#'!A:AL,16,FALSE)-VLOOKUP(A342,'SegEnds_NonXtal_Prot#'!A:AL,10,FALSE)</f>
        <v>47</v>
      </c>
      <c r="AF342" s="1" t="e">
        <f>VLOOKUP(A342,'SegEnds_NonXtal_Prot#'!A:AL,22,FALSE)-VLOOKUP(A342,'SegEnds_NonXtal_Prot#'!A:AL,19,FALSE)</f>
        <v>#VALUE!</v>
      </c>
      <c r="AG342" s="4">
        <f>VLOOKUP(A342,'SegEnds_NonXtal_Prot#'!A:AL,28,FALSE)-VLOOKUP(A342,'SegEnds_NonXtal_Prot#'!A:AL,25,FALSE)</f>
        <v>19</v>
      </c>
      <c r="AH342" s="1">
        <f>VLOOKUP(A342,'SegEnds_NonXtal_Prot#'!A:AL,28,FALSE)-VLOOKUP(A342,'SegEnds_NonXtal_Prot#'!A:AL,22,FALSE)</f>
        <v>57</v>
      </c>
      <c r="AI342" s="4">
        <f>VLOOKUP(A342,'SegEnds_NonXtal_Prot#'!A:AL,31,FALSE)-VLOOKUP(A342,'SegEnds_NonXtal_Prot#'!A:AL,28,FALSE)</f>
        <v>44</v>
      </c>
      <c r="AJ342" s="4">
        <f>VLOOKUP(A342,'SegEnds_NonXtal_Prot#'!A:AL,34,FALSE)-VLOOKUP(A342,'SegEnds_NonXtal_Prot#'!A:AL,31,FALSE)</f>
        <v>30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1" t="s">
        <v>1177</v>
      </c>
      <c r="B343" s="1" t="str">
        <f>VLOOKUP(A343,Xtal_Templ!A:B,2,FALSE)</f>
        <v>crfr1_human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7">
        <f>VLOOKUP($B343&amp;"__wt",'SegEnds_Xtal_BW#'!$A:$Z,15,FALSE)</f>
        <v>40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29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26</v>
      </c>
      <c r="AC343" s="1" t="e">
        <f>VLOOKUP(A343,'SegEnds_NonXtal_Prot#'!A:AL,10,FALSE)-VLOOKUP(A343,'SegEnds_NonXtal_Prot#'!A:AL,7,FALSE)</f>
        <v>#VALUE!</v>
      </c>
      <c r="AD343" s="1" t="e">
        <f>VLOOKUP(A343,'SegEnds_NonXtal_Prot#'!A:AL,13,FALSE)-VLOOKUP(A343,'SegEnds_NonXtal_Prot#'!A:AL,10,FALSE)</f>
        <v>#VALUE!</v>
      </c>
      <c r="AE343" s="1">
        <f>VLOOKUP(A343,'SegEnds_NonXtal_Prot#'!A:AL,16,FALSE)-VLOOKUP(A343,'SegEnds_NonXtal_Prot#'!A:AL,10,FALSE)</f>
        <v>47</v>
      </c>
      <c r="AF343" s="1" t="e">
        <f>VLOOKUP(A343,'SegEnds_NonXtal_Prot#'!A:AL,22,FALSE)-VLOOKUP(A343,'SegEnds_NonXtal_Prot#'!A:AL,19,FALSE)</f>
        <v>#VALUE!</v>
      </c>
      <c r="AG343" s="1">
        <f>VLOOKUP(A343,'SegEnds_NonXtal_Prot#'!A:AL,28,FALSE)-VLOOKUP(A343,'SegEnds_NonXtal_Prot#'!A:AL,25,FALSE)</f>
        <v>18</v>
      </c>
      <c r="AH343" s="1">
        <f>VLOOKUP(A343,'SegEnds_NonXtal_Prot#'!A:AL,28,FALSE)-VLOOKUP(A343,'SegEnds_NonXtal_Prot#'!A:AL,22,FALSE)</f>
        <v>46</v>
      </c>
      <c r="AI343" s="1">
        <f>VLOOKUP(A343,'SegEnds_NonXtal_Prot#'!A:AL,31,FALSE)-VLOOKUP(A343,'SegEnds_NonXtal_Prot#'!A:AL,28,FALSE)</f>
        <v>86</v>
      </c>
      <c r="AJ343" s="1">
        <f>VLOOKUP(A343,'SegEnds_NonXtal_Prot#'!A:AL,34,FALSE)-VLOOKUP(A343,'SegEnds_NonXtal_Prot#'!A:AL,31,FALSE)</f>
        <v>31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4" t="s">
        <v>1178</v>
      </c>
      <c r="B344" s="4" t="str">
        <f>VLOOKUP(A344,Xtal_Templ!A:B,2,FALSE)</f>
        <v>crfr1_human</v>
      </c>
      <c r="C344" s="5">
        <v>23</v>
      </c>
      <c r="D344" s="4">
        <f>VLOOKUP($B344&amp;"__wt",'SegEnds_Xtal_BW#'!$A:$Z,4,FALSE)</f>
        <v>60</v>
      </c>
      <c r="E344" s="4">
        <f>VLOOKUP($B344&amp;"__wt",'SegEnds_Xtal_BW#'!$A:$Z,5,FALSE)</f>
        <v>48</v>
      </c>
      <c r="F344" s="4">
        <f>VLOOKUP($B344&amp;"__wt",'SegEnds_Xtal_BW#'!$A:$Z,6,FALSE)</f>
        <v>51</v>
      </c>
      <c r="G344" s="4">
        <v>37</v>
      </c>
      <c r="H344" s="11">
        <v>63</v>
      </c>
      <c r="I344" s="4" t="str">
        <f>VLOOKUP($B344&amp;"__wt",'SegEnds_Xtal_BW#'!$A:$Z,9,FALSE)</f>
        <v>-</v>
      </c>
      <c r="J344" s="4" t="str">
        <f>VLOOKUP($B344&amp;"__wt",'SegEnds_Xtal_BW#'!$A:$Z,10,FALSE)</f>
        <v>-</v>
      </c>
      <c r="K344" s="11">
        <v>23</v>
      </c>
      <c r="L344" s="4">
        <f>VLOOKUP($B344&amp;"__wt",'SegEnds_Xtal_BW#'!$A:$Z,12,FALSE)</f>
        <v>56</v>
      </c>
      <c r="M344" s="4" t="str">
        <f>VLOOKUP($B344&amp;"__wt",'SegEnds_Xtal_BW#'!$A:$Z,13,FALSE)</f>
        <v>-</v>
      </c>
      <c r="N344" s="11" t="str">
        <f>VLOOKUP($B344&amp;"__wt",'SegEnds_Xtal_BW#'!$A:$Z,14,FALSE)</f>
        <v>-</v>
      </c>
      <c r="O344" s="88">
        <f>VLOOKUP($B344&amp;"__wt",'SegEnds_Xtal_BW#'!$A:$Z,15,FALSE)</f>
        <v>40</v>
      </c>
      <c r="P344" s="4">
        <f>VLOOKUP($B344&amp;"__wt",'SegEnds_Xtal_BW#'!$A:$Z,16,FALSE)</f>
        <v>68</v>
      </c>
      <c r="Q344" s="4">
        <f>VLOOKUP($B344&amp;"__wt",'SegEnds_Xtal_BW#'!$A:$Z,17,FALSE)</f>
        <v>50</v>
      </c>
      <c r="R344" s="4">
        <f>VLOOKUP($B344&amp;"__wt",'SegEnds_Xtal_BW#'!$A:$Z,18,FALSE)</f>
        <v>52</v>
      </c>
      <c r="S344" s="4">
        <v>36</v>
      </c>
      <c r="T344" s="4">
        <v>69</v>
      </c>
      <c r="U344" s="4">
        <v>29</v>
      </c>
      <c r="V344" s="4">
        <f>VLOOKUP($B344&amp;"__wt",'SegEnds_Xtal_BW#'!$A:$Z,22,FALSE)</f>
        <v>53</v>
      </c>
      <c r="W344" s="4">
        <v>29</v>
      </c>
      <c r="X344" s="4">
        <f>VLOOKUP($B344&amp;"__wt",'SegEnds_Xtal_BW#'!$A:$Z,24,FALSE)</f>
        <v>56</v>
      </c>
      <c r="Y344" s="4">
        <f>VLOOKUP($B344&amp;"__wt",'SegEnds_Xtal_BW#'!$A:$Z,25,FALSE)</f>
        <v>47</v>
      </c>
      <c r="Z344" s="4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26</v>
      </c>
      <c r="AC344" s="4" t="e">
        <f>VLOOKUP(A344,'SegEnds_NonXtal_Prot#'!A:AL,10,FALSE)-VLOOKUP(A344,'SegEnds_NonXtal_Prot#'!A:AL,7,FALSE)</f>
        <v>#VALUE!</v>
      </c>
      <c r="AD344" s="4" t="e">
        <f>VLOOKUP(A344,'SegEnds_NonXtal_Prot#'!A:AL,13,FALSE)-VLOOKUP(A344,'SegEnds_NonXtal_Prot#'!A:AL,10,FALSE)</f>
        <v>#VALUE!</v>
      </c>
      <c r="AE344" s="4">
        <f>VLOOKUP(A344,'SegEnds_NonXtal_Prot#'!A:AL,16,FALSE)-VLOOKUP(A344,'SegEnds_NonXtal_Prot#'!A:AL,10,FALSE)</f>
        <v>47</v>
      </c>
      <c r="AF344" s="1" t="e">
        <f>VLOOKUP(A344,'SegEnds_NonXtal_Prot#'!A:AL,22,FALSE)-VLOOKUP(A344,'SegEnds_NonXtal_Prot#'!A:AL,19,FALSE)</f>
        <v>#VALUE!</v>
      </c>
      <c r="AG344" s="4">
        <f>VLOOKUP(A344,'SegEnds_NonXtal_Prot#'!A:AL,28,FALSE)-VLOOKUP(A344,'SegEnds_NonXtal_Prot#'!A:AL,25,FALSE)</f>
        <v>18</v>
      </c>
      <c r="AH344" s="1">
        <f>VLOOKUP(A344,'SegEnds_NonXtal_Prot#'!A:AL,28,FALSE)-VLOOKUP(A344,'SegEnds_NonXtal_Prot#'!A:AL,22,FALSE)</f>
        <v>43</v>
      </c>
      <c r="AI344" s="4">
        <f>VLOOKUP(A344,'SegEnds_NonXtal_Prot#'!A:AL,31,FALSE)-VLOOKUP(A344,'SegEnds_NonXtal_Prot#'!A:AL,28,FALSE)</f>
        <v>100</v>
      </c>
      <c r="AJ344" s="4">
        <f>VLOOKUP(A344,'SegEnds_NonXtal_Prot#'!A:AL,34,FALSE)-VLOOKUP(A344,'SegEnds_NonXtal_Prot#'!A:AL,31,FALSE)</f>
        <v>31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1" t="s">
        <v>1179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29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26</v>
      </c>
      <c r="AC345" s="1" t="e">
        <f>VLOOKUP(A345,'SegEnds_NonXtal_Prot#'!A:AL,10,FALSE)-VLOOKUP(A345,'SegEnds_NonXtal_Prot#'!A:AL,7,FALSE)</f>
        <v>#VALUE!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47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18</v>
      </c>
      <c r="AH345" s="1">
        <f>VLOOKUP(A345,'SegEnds_NonXtal_Prot#'!A:AL,28,FALSE)-VLOOKUP(A345,'SegEnds_NonXtal_Prot#'!A:AL,22,FALSE)</f>
        <v>45</v>
      </c>
      <c r="AI345" s="1">
        <f>VLOOKUP(A345,'SegEnds_NonXtal_Prot#'!A:AL,31,FALSE)-VLOOKUP(A345,'SegEnds_NonXtal_Prot#'!A:AL,28,FALSE)</f>
        <v>85</v>
      </c>
      <c r="AJ345" s="1">
        <f>VLOOKUP(A345,'SegEnds_NonXtal_Prot#'!A:AL,34,FALSE)-VLOOKUP(A345,'SegEnds_NonXtal_Prot#'!A:AL,31,FALSE)</f>
        <v>31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1198</v>
      </c>
      <c r="B346" s="1" t="str">
        <f>VLOOKUP(A346,Xtal_Templ!A:B,2,FALSE)</f>
        <v>pth1r_human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65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18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37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54</v>
      </c>
      <c r="W346" s="1">
        <v>29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29</v>
      </c>
      <c r="AC346" s="1" t="e">
        <f>VLOOKUP(A346,'SegEnds_NonXtal_Prot#'!A:AL,10,FALSE)-VLOOKUP(A346,'SegEnds_NonXtal_Prot#'!A:AL,7,FALSE)</f>
        <v>#VALUE!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73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26</v>
      </c>
      <c r="AH346" s="1">
        <f>VLOOKUP(A346,'SegEnds_NonXtal_Prot#'!A:AL,28,FALSE)-VLOOKUP(A346,'SegEnds_NonXtal_Prot#'!A:AL,22,FALSE)</f>
        <v>60</v>
      </c>
      <c r="AI346" s="1">
        <f>VLOOKUP(A346,'SegEnds_NonXtal_Prot#'!A:AL,31,FALSE)-VLOOKUP(A346,'SegEnds_NonXtal_Prot#'!A:AL,28,FALSE)</f>
        <v>51</v>
      </c>
      <c r="AJ346" s="1">
        <f>VLOOKUP(A346,'SegEnds_NonXtal_Prot#'!A:AL,34,FALSE)-VLOOKUP(A346,'SegEnds_NonXtal_Prot#'!A:AL,31,FALSE)</f>
        <v>31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1" t="s">
        <v>1187</v>
      </c>
      <c r="B347" s="1" t="str">
        <f>VLOOKUP(A347,Xtal_Templ!A:B,2,FALSE)</f>
        <v>glp1r_human</v>
      </c>
      <c r="C347" s="5">
        <v>23</v>
      </c>
      <c r="D347" s="1">
        <f>VLOOKUP($B347&amp;"__wt",'SegEnds_Xtal_BW#'!$A:$Z,4,FALSE)</f>
        <v>60</v>
      </c>
      <c r="E347" s="1">
        <f>VLOOKUP($B347&amp;"__wt",'SegEnds_Xtal_BW#'!$A:$Z,5,FALSE)</f>
        <v>48</v>
      </c>
      <c r="F347" s="1">
        <f>VLOOKUP($B347&amp;"__wt",'SegEnds_Xtal_BW#'!$A:$Z,6,FALSE)</f>
        <v>51</v>
      </c>
      <c r="G347" s="1">
        <v>37</v>
      </c>
      <c r="H347" s="12">
        <v>63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v>23</v>
      </c>
      <c r="L347" s="1">
        <f>VLOOKUP($B347&amp;"__wt",'SegEnds_Xtal_BW#'!$A:$Z,12,FALSE)</f>
        <v>56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7">
        <f>VLOOKUP($B347&amp;"__wt",'SegEnds_Xtal_BW#'!$A:$Z,15,FALSE)</f>
        <v>38</v>
      </c>
      <c r="P347" s="1">
        <f>VLOOKUP($B347&amp;"__wt",'SegEnds_Xtal_BW#'!$A:$Z,16,FALSE)</f>
        <v>68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v>36</v>
      </c>
      <c r="T347" s="1">
        <v>69</v>
      </c>
      <c r="U347" s="1">
        <v>29</v>
      </c>
      <c r="V347" s="1">
        <f>VLOOKUP($B347&amp;"__wt",'SegEnds_Xtal_BW#'!$A:$Z,22,FALSE)</f>
        <v>53</v>
      </c>
      <c r="W347" s="1">
        <v>28</v>
      </c>
      <c r="X347" s="1">
        <f>VLOOKUP($B347&amp;"__wt",'SegEnds_Xtal_BW#'!$A:$Z,24,FALSE)</f>
        <v>56</v>
      </c>
      <c r="Y347" s="1">
        <f>VLOOKUP($B347&amp;"__wt",'SegEnds_Xtal_BW#'!$A:$Z,25,FALSE)</f>
        <v>47</v>
      </c>
      <c r="Z347" s="1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28</v>
      </c>
      <c r="AC347" s="1">
        <f>VLOOKUP(A347,'SegEnds_NonXtal_Prot#'!A:AL,10,FALSE)-VLOOKUP(A347,'SegEnds_NonXtal_Prot#'!A:AL,7,FALSE)</f>
        <v>15</v>
      </c>
      <c r="AD347" s="1" t="e">
        <f>VLOOKUP(A347,'SegEnds_NonXtal_Prot#'!A:AL,13,FALSE)-VLOOKUP(A347,'SegEnds_NonXtal_Prot#'!A:AL,10,FALSE)</f>
        <v>#VALUE!</v>
      </c>
      <c r="AE347" s="1">
        <f>VLOOKUP(A347,'SegEnds_NonXtal_Prot#'!A:AL,16,FALSE)-VLOOKUP(A347,'SegEnds_NonXtal_Prot#'!A:AL,10,FALSE)</f>
        <v>45</v>
      </c>
      <c r="AF347" s="1" t="e">
        <f>VLOOKUP(A347,'SegEnds_NonXtal_Prot#'!A:AL,22,FALSE)-VLOOKUP(A347,'SegEnds_NonXtal_Prot#'!A:AL,19,FALSE)</f>
        <v>#VALUE!</v>
      </c>
      <c r="AG347" s="1">
        <f>VLOOKUP(A347,'SegEnds_NonXtal_Prot#'!A:AL,28,FALSE)-VLOOKUP(A347,'SegEnds_NonXtal_Prot#'!A:AL,25,FALSE)</f>
        <v>19</v>
      </c>
      <c r="AH347" s="1">
        <f>VLOOKUP(A347,'SegEnds_NonXtal_Prot#'!A:AL,28,FALSE)-VLOOKUP(A347,'SegEnds_NonXtal_Prot#'!A:AL,22,FALSE)</f>
        <v>42</v>
      </c>
      <c r="AI347" s="1">
        <f>VLOOKUP(A347,'SegEnds_NonXtal_Prot#'!A:AL,31,FALSE)-VLOOKUP(A347,'SegEnds_NonXtal_Prot#'!A:AL,28,FALSE)</f>
        <v>52</v>
      </c>
      <c r="AJ347" s="1">
        <f>VLOOKUP(A347,'SegEnds_NonXtal_Prot#'!A:AL,34,FALSE)-VLOOKUP(A347,'SegEnds_NonXtal_Prot#'!A:AL,31,FALSE)</f>
        <v>32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s="42" customFormat="1" x14ac:dyDescent="0.2">
      <c r="A348" s="42" t="s">
        <v>40</v>
      </c>
      <c r="B348" s="42" t="str">
        <f>VLOOKUP(A348,Xtal_Templ!A:B,2,FALSE)</f>
        <v>grm1_human</v>
      </c>
      <c r="C348" s="43">
        <f>VLOOKUP($B348&amp;"__wt",'SegEnds_Xtal_BW#'!$A:$Z,3,FALSE)</f>
        <v>34</v>
      </c>
      <c r="D348" s="42">
        <f>VLOOKUP($B348&amp;"__wt",'SegEnds_Xtal_BW#'!$A:$Z,4,FALSE)</f>
        <v>60</v>
      </c>
      <c r="E348" s="42">
        <f>VLOOKUP($B348&amp;"__wt",'SegEnds_Xtal_BW#'!$A:$Z,5,FALSE)</f>
        <v>47</v>
      </c>
      <c r="F348" s="42">
        <f>VLOOKUP($B348&amp;"__wt",'SegEnds_Xtal_BW#'!$A:$Z,6,FALSE)</f>
        <v>53</v>
      </c>
      <c r="G348" s="42">
        <v>39</v>
      </c>
      <c r="H348" s="101">
        <f>VLOOKUP($B348&amp;"__wt",'SegEnds_Xtal_BW#'!$A:$Z,8,FALSE)</f>
        <v>61</v>
      </c>
      <c r="I348" s="42" t="str">
        <f>VLOOKUP($B348&amp;"__wt",'SegEnds_Xtal_BW#'!$A:$Z,9,FALSE)</f>
        <v>-</v>
      </c>
      <c r="J348" s="42" t="str">
        <f>VLOOKUP($B348&amp;"__wt",'SegEnds_Xtal_BW#'!$A:$Z,10,FALSE)</f>
        <v>-</v>
      </c>
      <c r="K348" s="101">
        <f>VLOOKUP($B348&amp;"__wt",'SegEnds_Xtal_BW#'!$A:$Z,11,FALSE)</f>
        <v>22</v>
      </c>
      <c r="L348" s="42">
        <f>VLOOKUP($B348&amp;"__wt",'SegEnds_Xtal_BW#'!$A:$Z,12,FALSE)</f>
        <v>54</v>
      </c>
      <c r="M348" s="42" t="str">
        <f>VLOOKUP($B348&amp;"__wt",'SegEnds_Xtal_BW#'!$A:$Z,13,FALSE)</f>
        <v>-</v>
      </c>
      <c r="N348" s="101" t="str">
        <f>VLOOKUP($B348&amp;"__wt",'SegEnds_Xtal_BW#'!$A:$Z,14,FALSE)</f>
        <v>-</v>
      </c>
      <c r="O348" s="89">
        <f>VLOOKUP($B348&amp;"__wt",'SegEnds_Xtal_BW#'!$A:$Z,15,FALSE)</f>
        <v>38</v>
      </c>
      <c r="P348" s="42">
        <f>VLOOKUP($B348&amp;"__wt",'SegEnds_Xtal_BW#'!$A:$Z,16,FALSE)</f>
        <v>64</v>
      </c>
      <c r="Q348" s="42">
        <f>VLOOKUP($B348&amp;"__wt",'SegEnds_Xtal_BW#'!$A:$Z,17,FALSE)</f>
        <v>50</v>
      </c>
      <c r="R348" s="42">
        <f>VLOOKUP($B348&amp;"__wt",'SegEnds_Xtal_BW#'!$A:$Z,18,FALSE)</f>
        <v>52</v>
      </c>
      <c r="S348" s="42">
        <f>VLOOKUP($B348&amp;"__wt",'SegEnds_Xtal_BW#'!$A:$Z,19,FALSE)</f>
        <v>36</v>
      </c>
      <c r="T348" s="42">
        <f>VLOOKUP($B348&amp;"__wt",'SegEnds_Xtal_BW#'!$A:$Z,20,FALSE)</f>
        <v>61</v>
      </c>
      <c r="U348" s="42">
        <f>VLOOKUP($B348&amp;"__wt",'SegEnds_Xtal_BW#'!$A:$Z,21,FALSE)</f>
        <v>33</v>
      </c>
      <c r="V348" s="42">
        <f>VLOOKUP($B348&amp;"__wt",'SegEnds_Xtal_BW#'!$A:$Z,22,FALSE)</f>
        <v>57</v>
      </c>
      <c r="W348" s="42">
        <f>VLOOKUP($B348&amp;"__wt",'SegEnds_Xtal_BW#'!$A:$Z,23,FALSE)</f>
        <v>33</v>
      </c>
      <c r="X348" s="42">
        <f>VLOOKUP($B348&amp;"__wt",'SegEnds_Xtal_BW#'!$A:$Z,24,FALSE)</f>
        <v>64</v>
      </c>
      <c r="Y348" s="42">
        <f>VLOOKUP($B348&amp;"__wt",'SegEnds_Xtal_BW#'!$A:$Z,25,FALSE)</f>
        <v>46</v>
      </c>
      <c r="Z348" s="42">
        <f>VLOOKUP($B348&amp;"__wt",'SegEnds_Xtal_BW#'!$A:$Z,26,FALSE)</f>
        <v>57</v>
      </c>
      <c r="AA348" s="44" t="str">
        <f>VLOOKUP(A348,Classification!A:B,2,FALSE)</f>
        <v>C</v>
      </c>
      <c r="AB348" s="1">
        <f>VLOOKUP(A348,'SegEnds_NonXtal_Prot#'!A:AL,10,FALSE)-VLOOKUP(A348,'SegEnds_NonXtal_Prot#'!A:AL,4,FALSE)</f>
        <v>31</v>
      </c>
      <c r="AC348" s="42">
        <f>VLOOKUP(A348,'SegEnds_NonXtal_Prot#'!A:AL,10,FALSE)-VLOOKUP(A348,'SegEnds_NonXtal_Prot#'!A:AL,7,FALSE)</f>
        <v>15</v>
      </c>
      <c r="AD348" s="42" t="e">
        <f>VLOOKUP(A348,'SegEnds_NonXtal_Prot#'!A:AL,13,FALSE)-VLOOKUP(A348,'SegEnds_NonXtal_Prot#'!A:AL,10,FALSE)</f>
        <v>#VALUE!</v>
      </c>
      <c r="AE348" s="42">
        <f>VLOOKUP(A348,'SegEnds_NonXtal_Prot#'!A:AL,16,FALSE)-VLOOKUP(A348,'SegEnds_NonXtal_Prot#'!A:AL,10,FALSE)</f>
        <v>44</v>
      </c>
      <c r="AF348" s="1" t="e">
        <f>VLOOKUP(A348,'SegEnds_NonXtal_Prot#'!A:AL,22,FALSE)-VLOOKUP(A348,'SegEnds_NonXtal_Prot#'!A:AL,19,FALSE)</f>
        <v>#VALUE!</v>
      </c>
      <c r="AG348" s="42">
        <f>VLOOKUP(A348,'SegEnds_NonXtal_Prot#'!A:AL,28,FALSE)-VLOOKUP(A348,'SegEnds_NonXtal_Prot#'!A:AL,25,FALSE)</f>
        <v>17</v>
      </c>
      <c r="AH348" s="1">
        <f>VLOOKUP(A348,'SegEnds_NonXtal_Prot#'!A:AL,28,FALSE)-VLOOKUP(A348,'SegEnds_NonXtal_Prot#'!A:AL,22,FALSE)</f>
        <v>49</v>
      </c>
      <c r="AI348" s="42">
        <f>VLOOKUP(A348,'SegEnds_NonXtal_Prot#'!A:AL,31,FALSE)-VLOOKUP(A348,'SegEnds_NonXtal_Prot#'!A:AL,28,FALSE)</f>
        <v>37</v>
      </c>
      <c r="AJ348" s="42">
        <f>VLOOKUP(A348,'SegEnds_NonXtal_Prot#'!A:AL,34,FALSE)-VLOOKUP(A348,'SegEnds_NonXtal_Prot#'!A:AL,31,FALSE)</f>
        <v>27</v>
      </c>
      <c r="AK348" s="1">
        <f>VLOOKUP(A348,'SegEnds_NonXtal_Prot#'!A:AL,37,FALSE)-VLOOKUP(A348,'SegEnds_NonXtal_Prot#'!A:AL,34,FALSE)</f>
        <v>19</v>
      </c>
      <c r="AL348" s="1" t="str">
        <f>IF(ISERROR(MATCH(A348,'SegEnds_Xtal_Prot#'!B:B, 0)), "NoXtal", "Xtal")</f>
        <v>Xtal</v>
      </c>
    </row>
    <row r="349" spans="1:38" x14ac:dyDescent="0.2">
      <c r="A349" s="1" t="s">
        <v>41</v>
      </c>
      <c r="B349" s="1" t="str">
        <f>VLOOKUP(A349,Xtal_Templ!A:B,2,FALSE)</f>
        <v>grm5_human</v>
      </c>
      <c r="C349" s="5">
        <f>VLOOKUP($B349&amp;"__wt",'SegEnds_Xtal_BW#'!$A:$Z,3,FALSE)</f>
        <v>34</v>
      </c>
      <c r="D349" s="1">
        <f>VLOOKUP($B349&amp;"__wt",'SegEnds_Xtal_BW#'!$A:$Z,4,FALSE)</f>
        <v>60</v>
      </c>
      <c r="E349" s="1">
        <f>VLOOKUP($B349&amp;"__wt",'SegEnds_Xtal_BW#'!$A:$Z,5,FALSE)</f>
        <v>47</v>
      </c>
      <c r="F349" s="1">
        <f>VLOOKUP($B349&amp;"__wt",'SegEnds_Xtal_BW#'!$A:$Z,6,FALSE)</f>
        <v>53</v>
      </c>
      <c r="G349" s="1">
        <v>39</v>
      </c>
      <c r="H349" s="12">
        <f>VLOOKUP($B349&amp;"__wt",'SegEnds_Xtal_BW#'!$A:$Z,8,FALSE)</f>
        <v>61</v>
      </c>
      <c r="I349" s="1" t="str">
        <f>VLOOKUP($B349&amp;"__wt",'SegEnds_Xtal_BW#'!$A:$Z,9,FALSE)</f>
        <v>-</v>
      </c>
      <c r="J349" s="1" t="str">
        <f>VLOOKUP($B349&amp;"__wt",'SegEnds_Xtal_BW#'!$A:$Z,10,FALSE)</f>
        <v>-</v>
      </c>
      <c r="K349" s="12">
        <f>VLOOKUP($B349&amp;"__wt",'SegEnds_Xtal_BW#'!$A:$Z,11,FALSE)</f>
        <v>21</v>
      </c>
      <c r="L349" s="1">
        <f>VLOOKUP($B349&amp;"__wt",'SegEnds_Xtal_BW#'!$A:$Z,12,FALSE)</f>
        <v>54</v>
      </c>
      <c r="M349" s="1" t="str">
        <f>VLOOKUP($B349&amp;"__wt",'SegEnds_Xtal_BW#'!$A:$Z,13,FALSE)</f>
        <v>-</v>
      </c>
      <c r="N349" s="12" t="str">
        <f>VLOOKUP($B349&amp;"__wt",'SegEnds_Xtal_BW#'!$A:$Z,14,FALSE)</f>
        <v>-</v>
      </c>
      <c r="O349" s="87">
        <f>VLOOKUP($B349&amp;"__wt",'SegEnds_Xtal_BW#'!$A:$Z,15,FALSE)</f>
        <v>38</v>
      </c>
      <c r="P349" s="1">
        <f>VLOOKUP($B349&amp;"__wt",'SegEnds_Xtal_BW#'!$A:$Z,16,FALSE)</f>
        <v>64</v>
      </c>
      <c r="Q349" s="1">
        <f>VLOOKUP($B349&amp;"__wt",'SegEnds_Xtal_BW#'!$A:$Z,17,FALSE)</f>
        <v>50</v>
      </c>
      <c r="R349" s="1">
        <f>VLOOKUP($B349&amp;"__wt",'SegEnds_Xtal_BW#'!$A:$Z,18,FALSE)</f>
        <v>52</v>
      </c>
      <c r="S349" s="1">
        <f>VLOOKUP($B349&amp;"__wt",'SegEnds_Xtal_BW#'!$A:$Z,19,FALSE)</f>
        <v>36</v>
      </c>
      <c r="T349" s="1">
        <f>VLOOKUP($B349&amp;"__wt",'SegEnds_Xtal_BW#'!$A:$Z,20,FALSE)</f>
        <v>61</v>
      </c>
      <c r="U349" s="1">
        <f>VLOOKUP($B349&amp;"__wt",'SegEnds_Xtal_BW#'!$A:$Z,21,FALSE)</f>
        <v>33</v>
      </c>
      <c r="V349" s="1">
        <f>VLOOKUP($B349&amp;"__wt",'SegEnds_Xtal_BW#'!$A:$Z,22,FALSE)</f>
        <v>57</v>
      </c>
      <c r="W349" s="1">
        <f>VLOOKUP($B349&amp;"__wt",'SegEnds_Xtal_BW#'!$A:$Z,23,FALSE)</f>
        <v>33</v>
      </c>
      <c r="X349" s="1">
        <f>VLOOKUP($B349&amp;"__wt",'SegEnds_Xtal_BW#'!$A:$Z,24,FALSE)</f>
        <v>64</v>
      </c>
      <c r="Y349" s="1">
        <f>VLOOKUP($B349&amp;"__wt",'SegEnds_Xtal_BW#'!$A:$Z,25,FALSE)</f>
        <v>46</v>
      </c>
      <c r="Z349" s="1">
        <f>VLOOKUP($B349&amp;"__wt",'SegEnds_Xtal_BW#'!$A:$Z,26,FALSE)</f>
        <v>57</v>
      </c>
      <c r="AA349" s="27" t="str">
        <f>VLOOKUP(A349,Classification!A:B,2,FALSE)</f>
        <v>C</v>
      </c>
      <c r="AB349" s="1">
        <f>VLOOKUP(A349,'SegEnds_NonXtal_Prot#'!A:AL,10,FALSE)-VLOOKUP(A349,'SegEnds_NonXtal_Prot#'!A:AL,4,FALSE)</f>
        <v>31</v>
      </c>
      <c r="AC349" s="1">
        <f>VLOOKUP(A349,'SegEnds_NonXtal_Prot#'!A:AL,10,FALSE)-VLOOKUP(A349,'SegEnds_NonXtal_Prot#'!A:AL,7,FALSE)</f>
        <v>15</v>
      </c>
      <c r="AD349" s="1" t="e">
        <f>VLOOKUP(A349,'SegEnds_NonXtal_Prot#'!A:AL,13,FALSE)-VLOOKUP(A349,'SegEnds_NonXtal_Prot#'!A:AL,10,FALSE)</f>
        <v>#VALUE!</v>
      </c>
      <c r="AE349" s="1">
        <f>VLOOKUP(A349,'SegEnds_NonXtal_Prot#'!A:AL,16,FALSE)-VLOOKUP(A349,'SegEnds_NonXtal_Prot#'!A:AL,10,FALSE)</f>
        <v>44</v>
      </c>
      <c r="AF349" s="1" t="e">
        <f>VLOOKUP(A349,'SegEnds_NonXtal_Prot#'!A:AL,22,FALSE)-VLOOKUP(A349,'SegEnds_NonXtal_Prot#'!A:AL,19,FALSE)</f>
        <v>#VALUE!</v>
      </c>
      <c r="AG349" s="1">
        <f>VLOOKUP(A349,'SegEnds_NonXtal_Prot#'!A:AL,28,FALSE)-VLOOKUP(A349,'SegEnds_NonXtal_Prot#'!A:AL,25,FALSE)</f>
        <v>17</v>
      </c>
      <c r="AH349" s="1">
        <f>VLOOKUP(A349,'SegEnds_NonXtal_Prot#'!A:AL,28,FALSE)-VLOOKUP(A349,'SegEnds_NonXtal_Prot#'!A:AL,22,FALSE)</f>
        <v>49</v>
      </c>
      <c r="AI349" s="1">
        <f>VLOOKUP(A349,'SegEnds_NonXtal_Prot#'!A:AL,31,FALSE)-VLOOKUP(A349,'SegEnds_NonXtal_Prot#'!A:AL,28,FALSE)</f>
        <v>37</v>
      </c>
      <c r="AJ349" s="1">
        <f>VLOOKUP(A349,'SegEnds_NonXtal_Prot#'!A:AL,34,FALSE)-VLOOKUP(A349,'SegEnds_NonXtal_Prot#'!A:AL,31,FALSE)</f>
        <v>27</v>
      </c>
      <c r="AK349" s="1">
        <f>VLOOKUP(A349,'SegEnds_NonXtal_Prot#'!A:AL,37,FALSE)-VLOOKUP(A349,'SegEnds_NonXtal_Prot#'!A:AL,34,FALSE)</f>
        <v>19</v>
      </c>
      <c r="AL349" s="1" t="str">
        <f>IF(ISERROR(MATCH(A349,'SegEnds_Xtal_Prot#'!B:B, 0)), "NoXtal", "Xtal")</f>
        <v>Xtal</v>
      </c>
    </row>
    <row r="350" spans="1:38" x14ac:dyDescent="0.2">
      <c r="A350" s="4" t="s">
        <v>105</v>
      </c>
      <c r="B350" s="4" t="str">
        <f>VLOOKUP(A350,Xtal_Templ!A:B,2,FALSE)</f>
        <v>grm5_human</v>
      </c>
      <c r="C350" s="5">
        <f>VLOOKUP($B350&amp;"__wt",'SegEnds_Xtal_BW#'!$A:$Z,3,FALSE)</f>
        <v>34</v>
      </c>
      <c r="D350" s="4">
        <f>VLOOKUP($B350&amp;"__wt",'SegEnds_Xtal_BW#'!$A:$Z,4,FALSE)</f>
        <v>60</v>
      </c>
      <c r="E350" s="4">
        <f>VLOOKUP($B350&amp;"__wt",'SegEnds_Xtal_BW#'!$A:$Z,5,FALSE)</f>
        <v>47</v>
      </c>
      <c r="F350" s="4">
        <f>VLOOKUP($B350&amp;"__wt",'SegEnds_Xtal_BW#'!$A:$Z,6,FALSE)</f>
        <v>53</v>
      </c>
      <c r="G350" s="4">
        <v>39</v>
      </c>
      <c r="H350" s="11">
        <f>VLOOKUP($B350&amp;"__wt",'SegEnds_Xtal_BW#'!$A:$Z,8,FALSE)</f>
        <v>61</v>
      </c>
      <c r="I350" s="4" t="str">
        <f>VLOOKUP($B350&amp;"__wt",'SegEnds_Xtal_BW#'!$A:$Z,9,FALSE)</f>
        <v>-</v>
      </c>
      <c r="J350" s="4" t="str">
        <f>VLOOKUP($B350&amp;"__wt",'SegEnds_Xtal_BW#'!$A:$Z,10,FALSE)</f>
        <v>-</v>
      </c>
      <c r="K350" s="11">
        <f>VLOOKUP($B350&amp;"__wt",'SegEnds_Xtal_BW#'!$A:$Z,11,FALSE)</f>
        <v>21</v>
      </c>
      <c r="L350" s="4">
        <f>VLOOKUP($B350&amp;"__wt",'SegEnds_Xtal_BW#'!$A:$Z,12,FALSE)</f>
        <v>54</v>
      </c>
      <c r="M350" s="4" t="str">
        <f>VLOOKUP($B350&amp;"__wt",'SegEnds_Xtal_BW#'!$A:$Z,13,FALSE)</f>
        <v>-</v>
      </c>
      <c r="N350" s="11" t="str">
        <f>VLOOKUP($B350&amp;"__wt",'SegEnds_Xtal_BW#'!$A:$Z,14,FALSE)</f>
        <v>-</v>
      </c>
      <c r="O350" s="88">
        <f>VLOOKUP($B350&amp;"__wt",'SegEnds_Xtal_BW#'!$A:$Z,15,FALSE)</f>
        <v>38</v>
      </c>
      <c r="P350" s="4">
        <f>VLOOKUP($B350&amp;"__wt",'SegEnds_Xtal_BW#'!$A:$Z,16,FALSE)</f>
        <v>64</v>
      </c>
      <c r="Q350" s="4">
        <f>VLOOKUP($B350&amp;"__wt",'SegEnds_Xtal_BW#'!$A:$Z,17,FALSE)</f>
        <v>50</v>
      </c>
      <c r="R350" s="4">
        <f>VLOOKUP($B350&amp;"__wt",'SegEnds_Xtal_BW#'!$A:$Z,18,FALSE)</f>
        <v>52</v>
      </c>
      <c r="S350" s="4">
        <f>VLOOKUP($B350&amp;"__wt",'SegEnds_Xtal_BW#'!$A:$Z,19,FALSE)</f>
        <v>36</v>
      </c>
      <c r="T350" s="4">
        <f>VLOOKUP($B350&amp;"__wt",'SegEnds_Xtal_BW#'!$A:$Z,20,FALSE)</f>
        <v>61</v>
      </c>
      <c r="U350" s="4">
        <f>VLOOKUP($B350&amp;"__wt",'SegEnds_Xtal_BW#'!$A:$Z,21,FALSE)</f>
        <v>33</v>
      </c>
      <c r="V350" s="4">
        <f>VLOOKUP($B350&amp;"__wt",'SegEnds_Xtal_BW#'!$A:$Z,22,FALSE)</f>
        <v>57</v>
      </c>
      <c r="W350" s="4">
        <f>VLOOKUP($B350&amp;"__wt",'SegEnds_Xtal_BW#'!$A:$Z,23,FALSE)</f>
        <v>33</v>
      </c>
      <c r="X350" s="4">
        <f>VLOOKUP($B350&amp;"__wt",'SegEnds_Xtal_BW#'!$A:$Z,24,FALSE)</f>
        <v>64</v>
      </c>
      <c r="Y350" s="4">
        <f>VLOOKUP($B350&amp;"__wt",'SegEnds_Xtal_BW#'!$A:$Z,25,FALSE)</f>
        <v>46</v>
      </c>
      <c r="Z350" s="4">
        <f>VLOOKUP($B350&amp;"__wt",'SegEnds_Xtal_BW#'!$A:$Z,26,FALSE)</f>
        <v>57</v>
      </c>
      <c r="AA350" s="27" t="str">
        <f>VLOOKUP(A350,Classification!A:B,2,FALSE)</f>
        <v>C</v>
      </c>
      <c r="AB350" s="1">
        <f>VLOOKUP(A350,'SegEnds_NonXtal_Prot#'!A:AL,10,FALSE)-VLOOKUP(A350,'SegEnds_NonXtal_Prot#'!A:AL,4,FALSE)</f>
        <v>31</v>
      </c>
      <c r="AC350" s="4">
        <f>VLOOKUP(A350,'SegEnds_NonXtal_Prot#'!A:AL,10,FALSE)-VLOOKUP(A350,'SegEnds_NonXtal_Prot#'!A:AL,7,FALSE)</f>
        <v>15</v>
      </c>
      <c r="AD350" s="4" t="e">
        <f>VLOOKUP(A350,'SegEnds_NonXtal_Prot#'!A:AL,13,FALSE)-VLOOKUP(A350,'SegEnds_NonXtal_Prot#'!A:AL,10,FALSE)</f>
        <v>#VALUE!</v>
      </c>
      <c r="AE350" s="4">
        <f>VLOOKUP(A350,'SegEnds_NonXtal_Prot#'!A:AL,16,FALSE)-VLOOKUP(A350,'SegEnds_NonXtal_Prot#'!A:AL,10,FALSE)</f>
        <v>44</v>
      </c>
      <c r="AF350" s="1" t="e">
        <f>VLOOKUP(A350,'SegEnds_NonXtal_Prot#'!A:AL,22,FALSE)-VLOOKUP(A350,'SegEnds_NonXtal_Prot#'!A:AL,19,FALSE)</f>
        <v>#VALUE!</v>
      </c>
      <c r="AG350" s="4">
        <f>VLOOKUP(A350,'SegEnds_NonXtal_Prot#'!A:AL,28,FALSE)-VLOOKUP(A350,'SegEnds_NonXtal_Prot#'!A:AL,25,FALSE)</f>
        <v>18</v>
      </c>
      <c r="AH350" s="1">
        <f>VLOOKUP(A350,'SegEnds_NonXtal_Prot#'!A:AL,28,FALSE)-VLOOKUP(A350,'SegEnds_NonXtal_Prot#'!A:AL,22,FALSE)</f>
        <v>51</v>
      </c>
      <c r="AI350" s="4">
        <f>VLOOKUP(A350,'SegEnds_NonXtal_Prot#'!A:AL,31,FALSE)-VLOOKUP(A350,'SegEnds_NonXtal_Prot#'!A:AL,28,FALSE)</f>
        <v>37</v>
      </c>
      <c r="AJ350" s="4">
        <f>VLOOKUP(A350,'SegEnds_NonXtal_Prot#'!A:AL,34,FALSE)-VLOOKUP(A350,'SegEnds_NonXtal_Prot#'!A:AL,31,FALSE)</f>
        <v>29</v>
      </c>
      <c r="AK350" s="1">
        <f>VLOOKUP(A350,'SegEnds_NonXtal_Prot#'!A:AL,37,FALSE)-VLOOKUP(A350,'SegEnds_NonXtal_Prot#'!A:AL,34,FALSE)</f>
        <v>19</v>
      </c>
      <c r="AL350" s="1" t="str">
        <f>IF(ISERROR(MATCH(A350,'SegEnds_Xtal_Prot#'!B:B, 0)), "NoXtal", "Xtal")</f>
        <v>NoXtal</v>
      </c>
    </row>
    <row r="351" spans="1:38" x14ac:dyDescent="0.2">
      <c r="A351" s="4" t="s">
        <v>114</v>
      </c>
      <c r="B351" s="4" t="str">
        <f>VLOOKUP(A351,Xtal_Templ!A:B,2,FALSE)</f>
        <v>grm1_human</v>
      </c>
      <c r="C351" s="5">
        <f>VLOOKUP($B351&amp;"__wt",'SegEnds_Xtal_BW#'!$A:$Z,3,FALSE)</f>
        <v>34</v>
      </c>
      <c r="D351" s="4">
        <f>VLOOKUP($B351&amp;"__wt",'SegEnds_Xtal_BW#'!$A:$Z,4,FALSE)</f>
        <v>60</v>
      </c>
      <c r="E351" s="4">
        <f>VLOOKUP($B351&amp;"__wt",'SegEnds_Xtal_BW#'!$A:$Z,5,FALSE)</f>
        <v>47</v>
      </c>
      <c r="F351" s="4">
        <f>VLOOKUP($B351&amp;"__wt",'SegEnds_Xtal_BW#'!$A:$Z,6,FALSE)</f>
        <v>53</v>
      </c>
      <c r="G351" s="4">
        <v>39</v>
      </c>
      <c r="H351" s="11">
        <f>VLOOKUP($B351&amp;"__wt",'SegEnds_Xtal_BW#'!$A:$Z,8,FALSE)</f>
        <v>61</v>
      </c>
      <c r="I351" s="4" t="str">
        <f>VLOOKUP($B351&amp;"__wt",'SegEnds_Xtal_BW#'!$A:$Z,9,FALSE)</f>
        <v>-</v>
      </c>
      <c r="J351" s="4" t="str">
        <f>VLOOKUP($B351&amp;"__wt",'SegEnds_Xtal_BW#'!$A:$Z,10,FALSE)</f>
        <v>-</v>
      </c>
      <c r="K351" s="11">
        <f>VLOOKUP($B351&amp;"__wt",'SegEnds_Xtal_BW#'!$A:$Z,11,FALSE)</f>
        <v>22</v>
      </c>
      <c r="L351" s="4">
        <f>VLOOKUP($B351&amp;"__wt",'SegEnds_Xtal_BW#'!$A:$Z,12,FALSE)</f>
        <v>54</v>
      </c>
      <c r="M351" s="4" t="str">
        <f>VLOOKUP($B351&amp;"__wt",'SegEnds_Xtal_BW#'!$A:$Z,13,FALSE)</f>
        <v>-</v>
      </c>
      <c r="N351" s="11" t="str">
        <f>VLOOKUP($B351&amp;"__wt",'SegEnds_Xtal_BW#'!$A:$Z,14,FALSE)</f>
        <v>-</v>
      </c>
      <c r="O351" s="88">
        <f>VLOOKUP($B351&amp;"__wt",'SegEnds_Xtal_BW#'!$A:$Z,15,FALSE)</f>
        <v>38</v>
      </c>
      <c r="P351" s="4">
        <f>VLOOKUP($B351&amp;"__wt",'SegEnds_Xtal_BW#'!$A:$Z,16,FALSE)</f>
        <v>64</v>
      </c>
      <c r="Q351" s="4">
        <f>VLOOKUP($B351&amp;"__wt",'SegEnds_Xtal_BW#'!$A:$Z,17,FALSE)</f>
        <v>50</v>
      </c>
      <c r="R351" s="4">
        <f>VLOOKUP($B351&amp;"__wt",'SegEnds_Xtal_BW#'!$A:$Z,18,FALSE)</f>
        <v>52</v>
      </c>
      <c r="S351" s="4">
        <f>VLOOKUP($B351&amp;"__wt",'SegEnds_Xtal_BW#'!$A:$Z,19,FALSE)</f>
        <v>36</v>
      </c>
      <c r="T351" s="4">
        <f>VLOOKUP($B351&amp;"__wt",'SegEnds_Xtal_BW#'!$A:$Z,20,FALSE)</f>
        <v>61</v>
      </c>
      <c r="U351" s="4">
        <f>VLOOKUP($B351&amp;"__wt",'SegEnds_Xtal_BW#'!$A:$Z,21,FALSE)</f>
        <v>33</v>
      </c>
      <c r="V351" s="4">
        <f>VLOOKUP($B351&amp;"__wt",'SegEnds_Xtal_BW#'!$A:$Z,22,FALSE)</f>
        <v>57</v>
      </c>
      <c r="W351" s="4">
        <f>VLOOKUP($B351&amp;"__wt",'SegEnds_Xtal_BW#'!$A:$Z,23,FALSE)</f>
        <v>33</v>
      </c>
      <c r="X351" s="4">
        <f>VLOOKUP($B351&amp;"__wt",'SegEnds_Xtal_BW#'!$A:$Z,24,FALSE)</f>
        <v>64</v>
      </c>
      <c r="Y351" s="4">
        <f>VLOOKUP($B351&amp;"__wt",'SegEnds_Xtal_BW#'!$A:$Z,25,FALSE)</f>
        <v>46</v>
      </c>
      <c r="Z351" s="4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VLOOKUP(A351,'SegEnds_NonXtal_Prot#'!A:AL,10,FALSE)-VLOOKUP(A351,'SegEnds_NonXtal_Prot#'!A:AL,4,FALSE)</f>
        <v>32</v>
      </c>
      <c r="AC351" s="4">
        <f>VLOOKUP(A351,'SegEnds_NonXtal_Prot#'!A:AL,10,FALSE)-VLOOKUP(A351,'SegEnds_NonXtal_Prot#'!A:AL,7,FALSE)</f>
        <v>16</v>
      </c>
      <c r="AD351" s="4" t="e">
        <f>VLOOKUP(A351,'SegEnds_NonXtal_Prot#'!A:AL,13,FALSE)-VLOOKUP(A351,'SegEnds_NonXtal_Prot#'!A:AL,10,FALSE)</f>
        <v>#VALUE!</v>
      </c>
      <c r="AE351" s="4">
        <f>VLOOKUP(A351,'SegEnds_NonXtal_Prot#'!A:AL,16,FALSE)-VLOOKUP(A351,'SegEnds_NonXtal_Prot#'!A:AL,10,FALSE)</f>
        <v>44</v>
      </c>
      <c r="AF351" s="1" t="e">
        <f>VLOOKUP(A351,'SegEnds_NonXtal_Prot#'!A:AL,22,FALSE)-VLOOKUP(A351,'SegEnds_NonXtal_Prot#'!A:AL,19,FALSE)</f>
        <v>#VALUE!</v>
      </c>
      <c r="AG351" s="4">
        <f>VLOOKUP(A351,'SegEnds_NonXtal_Prot#'!A:AL,28,FALSE)-VLOOKUP(A351,'SegEnds_NonXtal_Prot#'!A:AL,25,FALSE)</f>
        <v>18</v>
      </c>
      <c r="AH351" s="1">
        <f>VLOOKUP(A351,'SegEnds_NonXtal_Prot#'!A:AL,28,FALSE)-VLOOKUP(A351,'SegEnds_NonXtal_Prot#'!A:AL,22,FALSE)</f>
        <v>50</v>
      </c>
      <c r="AI351" s="4">
        <f>VLOOKUP(A351,'SegEnds_NonXtal_Prot#'!A:AL,31,FALSE)-VLOOKUP(A351,'SegEnds_NonXtal_Prot#'!A:AL,28,FALSE)</f>
        <v>35</v>
      </c>
      <c r="AJ351" s="4">
        <f>VLOOKUP(A351,'SegEnds_NonXtal_Prot#'!A:AL,34,FALSE)-VLOOKUP(A351,'SegEnds_NonXtal_Prot#'!A:AL,31,FALSE)</f>
        <v>29</v>
      </c>
      <c r="AK351" s="1">
        <f>VLOOKUP(A351,'SegEnds_NonXtal_Prot#'!A:AL,37,FALSE)-VLOOKUP(A351,'SegEnds_NonXtal_Prot#'!A:AL,34,FALSE)</f>
        <v>19</v>
      </c>
      <c r="AL351" s="1" t="str">
        <f>IF(ISERROR(MATCH(A351,'SegEnds_Xtal_Prot#'!B:B, 0)), "NoXtal", "Xtal")</f>
        <v>NoXtal</v>
      </c>
    </row>
    <row r="352" spans="1:38" x14ac:dyDescent="0.2">
      <c r="A352" s="1" t="s">
        <v>122</v>
      </c>
      <c r="B352" s="1" t="str">
        <f>VLOOKUP(A352,Xtal_Templ!A:B,2,FALSE)</f>
        <v>grm1_human</v>
      </c>
      <c r="C352" s="5">
        <f>VLOOKUP($B352&amp;"__wt",'SegEnds_Xtal_BW#'!$A:$Z,3,FALSE)</f>
        <v>34</v>
      </c>
      <c r="D352" s="1">
        <f>VLOOKUP($B352&amp;"__wt",'SegEnds_Xtal_BW#'!$A:$Z,4,FALSE)</f>
        <v>60</v>
      </c>
      <c r="E352" s="1">
        <f>VLOOKUP($B352&amp;"__wt",'SegEnds_Xtal_BW#'!$A:$Z,5,FALSE)</f>
        <v>47</v>
      </c>
      <c r="F352" s="1">
        <f>VLOOKUP($B352&amp;"__wt",'SegEnds_Xtal_BW#'!$A:$Z,6,FALSE)</f>
        <v>53</v>
      </c>
      <c r="G352" s="1">
        <v>39</v>
      </c>
      <c r="H352" s="12">
        <f>VLOOKUP($B352&amp;"__wt",'SegEnds_Xtal_BW#'!$A:$Z,8,FALSE)</f>
        <v>61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f>VLOOKUP($B352&amp;"__wt",'SegEnds_Xtal_BW#'!$A:$Z,11,FALSE)</f>
        <v>22</v>
      </c>
      <c r="L352" s="1">
        <f>VLOOKUP($B352&amp;"__wt",'SegEnds_Xtal_BW#'!$A:$Z,12,FALSE)</f>
        <v>54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7">
        <f>VLOOKUP($B352&amp;"__wt",'SegEnds_Xtal_BW#'!$A:$Z,15,FALSE)</f>
        <v>38</v>
      </c>
      <c r="P352" s="1">
        <f>VLOOKUP($B352&amp;"__wt",'SegEnds_Xtal_BW#'!$A:$Z,16,FALSE)</f>
        <v>64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f>VLOOKUP($B352&amp;"__wt",'SegEnds_Xtal_BW#'!$A:$Z,19,FALSE)</f>
        <v>36</v>
      </c>
      <c r="T352" s="1">
        <f>VLOOKUP($B352&amp;"__wt",'SegEnds_Xtal_BW#'!$A:$Z,20,FALSE)</f>
        <v>61</v>
      </c>
      <c r="U352" s="1">
        <f>VLOOKUP($B352&amp;"__wt",'SegEnds_Xtal_BW#'!$A:$Z,21,FALSE)</f>
        <v>33</v>
      </c>
      <c r="V352" s="1">
        <f>VLOOKUP($B352&amp;"__wt",'SegEnds_Xtal_BW#'!$A:$Z,22,FALSE)</f>
        <v>57</v>
      </c>
      <c r="W352" s="1">
        <f>VLOOKUP($B352&amp;"__wt",'SegEnds_Xtal_BW#'!$A:$Z,23,FALSE)</f>
        <v>33</v>
      </c>
      <c r="X352" s="1">
        <f>VLOOKUP($B352&amp;"__wt",'SegEnds_Xtal_BW#'!$A:$Z,24,FALSE)</f>
        <v>64</v>
      </c>
      <c r="Y352" s="1">
        <f>VLOOKUP($B352&amp;"__wt",'SegEnds_Xtal_BW#'!$A:$Z,25,FALSE)</f>
        <v>46</v>
      </c>
      <c r="Z352" s="1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VLOOKUP(A352,'SegEnds_NonXtal_Prot#'!A:AL,10,FALSE)-VLOOKUP(A352,'SegEnds_NonXtal_Prot#'!A:AL,4,FALSE)</f>
        <v>31</v>
      </c>
      <c r="AC352" s="1">
        <f>VLOOKUP(A352,'SegEnds_NonXtal_Prot#'!A:AL,10,FALSE)-VLOOKUP(A352,'SegEnds_NonXtal_Prot#'!A:AL,7,FALSE)</f>
        <v>15</v>
      </c>
      <c r="AD352" s="1" t="e">
        <f>VLOOKUP(A352,'SegEnds_NonXtal_Prot#'!A:AL,13,FALSE)-VLOOKUP(A352,'SegEnds_NonXtal_Prot#'!A:AL,10,FALSE)</f>
        <v>#VALUE!</v>
      </c>
      <c r="AE352" s="1">
        <f>VLOOKUP(A352,'SegEnds_NonXtal_Prot#'!A:AL,16,FALSE)-VLOOKUP(A352,'SegEnds_NonXtal_Prot#'!A:AL,10,FALSE)</f>
        <v>44</v>
      </c>
      <c r="AF352" s="1" t="e">
        <f>VLOOKUP(A352,'SegEnds_NonXtal_Prot#'!A:AL,22,FALSE)-VLOOKUP(A352,'SegEnds_NonXtal_Prot#'!A:AL,19,FALSE)</f>
        <v>#VALUE!</v>
      </c>
      <c r="AG352" s="1">
        <f>VLOOKUP(A352,'SegEnds_NonXtal_Prot#'!A:AL,28,FALSE)-VLOOKUP(A352,'SegEnds_NonXtal_Prot#'!A:AL,25,FALSE)</f>
        <v>18</v>
      </c>
      <c r="AH352" s="1">
        <f>VLOOKUP(A352,'SegEnds_NonXtal_Prot#'!A:AL,28,FALSE)-VLOOKUP(A352,'SegEnds_NonXtal_Prot#'!A:AL,22,FALSE)</f>
        <v>51</v>
      </c>
      <c r="AI352" s="1">
        <f>VLOOKUP(A352,'SegEnds_NonXtal_Prot#'!A:AL,31,FALSE)-VLOOKUP(A352,'SegEnds_NonXtal_Prot#'!A:AL,28,FALSE)</f>
        <v>37</v>
      </c>
      <c r="AJ352" s="1">
        <f>VLOOKUP(A352,'SegEnds_NonXtal_Prot#'!A:AL,34,FALSE)-VLOOKUP(A352,'SegEnds_NonXtal_Prot#'!A:AL,31,FALSE)</f>
        <v>29</v>
      </c>
      <c r="AK352" s="1">
        <f>VLOOKUP(A352,'SegEnds_NonXtal_Prot#'!A:AL,37,FALSE)-VLOOKUP(A352,'SegEnds_NonXtal_Prot#'!A:AL,34,FALSE)</f>
        <v>19</v>
      </c>
      <c r="AL352" s="1" t="str">
        <f>IF(ISERROR(MATCH(A352,'SegEnds_Xtal_Prot#'!B:B, 0)), "NoXtal", "Xtal")</f>
        <v>NoXtal</v>
      </c>
    </row>
    <row r="353" spans="1:38" x14ac:dyDescent="0.2">
      <c r="A353" s="1" t="s">
        <v>123</v>
      </c>
      <c r="B353" s="1" t="str">
        <f>VLOOKUP(A353,Xtal_Templ!A:B,2,FALSE)</f>
        <v>grm1_human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7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36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33</v>
      </c>
      <c r="X353" s="1">
        <f>VLOOKUP($B353&amp;"__wt",'SegEnds_Xtal_BW#'!$A:$Z,24,FALSE)</f>
        <v>64</v>
      </c>
      <c r="Y353" s="1">
        <f>VLOOKUP($B353&amp;"__wt",'SegEnds_Xtal_BW#'!$A:$Z,25,FALSE)</f>
        <v>46</v>
      </c>
      <c r="Z353" s="1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1">
        <f>VLOOKUP(A353,'SegEnds_NonXtal_Prot#'!A:AL,10,FALSE)-VLOOKUP(A353,'SegEnds_NonXtal_Prot#'!A:AL,7,FALSE)</f>
        <v>15</v>
      </c>
      <c r="AD353" s="1" t="e">
        <f>VLOOKUP(A353,'SegEnds_NonXtal_Prot#'!A:AL,13,FALSE)-VLOOKUP(A353,'SegEnds_NonXtal_Prot#'!A:AL,10,FALSE)</f>
        <v>#VALUE!</v>
      </c>
      <c r="AE353" s="1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1">
        <f>VLOOKUP(A353,'SegEnds_NonXtal_Prot#'!A:AL,28,FALSE)-VLOOKUP(A353,'SegEnds_NonXtal_Prot#'!A:AL,25,FALSE)</f>
        <v>18</v>
      </c>
      <c r="AH353" s="1">
        <f>VLOOKUP(A353,'SegEnds_NonXtal_Prot#'!A:AL,28,FALSE)-VLOOKUP(A353,'SegEnds_NonXtal_Prot#'!A:AL,22,FALSE)</f>
        <v>52</v>
      </c>
      <c r="AI353" s="1">
        <f>VLOOKUP(A353,'SegEnds_NonXtal_Prot#'!A:AL,31,FALSE)-VLOOKUP(A353,'SegEnds_NonXtal_Prot#'!A:AL,28,FALSE)</f>
        <v>37</v>
      </c>
      <c r="AJ353" s="1">
        <f>VLOOKUP(A353,'SegEnds_NonXtal_Prot#'!A:AL,34,FALSE)-VLOOKUP(A353,'SegEnds_NonXtal_Prot#'!A:AL,31,FALSE)</f>
        <v>29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NoXtal</v>
      </c>
    </row>
    <row r="354" spans="1:38" x14ac:dyDescent="0.2">
      <c r="A354" s="1" t="s">
        <v>124</v>
      </c>
      <c r="B354" s="1" t="str">
        <f>VLOOKUP(A354,Xtal_Templ!A:B,2,FALSE)</f>
        <v>grm1_human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22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7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36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33</v>
      </c>
      <c r="X354" s="1">
        <f>VLOOKUP($B354&amp;"__wt",'SegEnds_Xtal_BW#'!$A:$Z,24,FALSE)</f>
        <v>64</v>
      </c>
      <c r="Y354" s="1">
        <f>VLOOKUP($B354&amp;"__wt",'SegEnds_Xtal_BW#'!$A:$Z,25,FALSE)</f>
        <v>46</v>
      </c>
      <c r="Z354" s="1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31</v>
      </c>
      <c r="AC354" s="1">
        <f>VLOOKUP(A354,'SegEnds_NonXtal_Prot#'!A:AL,10,FALSE)-VLOOKUP(A354,'SegEnds_NonXtal_Prot#'!A:AL,7,FALSE)</f>
        <v>15</v>
      </c>
      <c r="AD354" s="1" t="e">
        <f>VLOOKUP(A354,'SegEnds_NonXtal_Prot#'!A:AL,13,FALSE)-VLOOKUP(A354,'SegEnds_NonXtal_Prot#'!A:AL,10,FALSE)</f>
        <v>#VALUE!</v>
      </c>
      <c r="AE354" s="1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1">
        <f>VLOOKUP(A354,'SegEnds_NonXtal_Prot#'!A:AL,28,FALSE)-VLOOKUP(A354,'SegEnds_NonXtal_Prot#'!A:AL,25,FALSE)</f>
        <v>18</v>
      </c>
      <c r="AH354" s="1">
        <f>VLOOKUP(A354,'SegEnds_NonXtal_Prot#'!A:AL,28,FALSE)-VLOOKUP(A354,'SegEnds_NonXtal_Prot#'!A:AL,22,FALSE)</f>
        <v>51</v>
      </c>
      <c r="AI354" s="1">
        <f>VLOOKUP(A354,'SegEnds_NonXtal_Prot#'!A:AL,31,FALSE)-VLOOKUP(A354,'SegEnds_NonXtal_Prot#'!A:AL,28,FALSE)</f>
        <v>37</v>
      </c>
      <c r="AJ354" s="1">
        <f>VLOOKUP(A354,'SegEnds_NonXtal_Prot#'!A:AL,34,FALSE)-VLOOKUP(A354,'SegEnds_NonXtal_Prot#'!A:AL,31,FALSE)</f>
        <v>29</v>
      </c>
      <c r="AK354" s="1">
        <f>VLOOKUP(A354,'SegEnds_NonXtal_Prot#'!A:AL,37,FALSE)-VLOOKUP(A354,'SegEnds_NonXtal_Prot#'!A:AL,34,FALSE)</f>
        <v>19</v>
      </c>
      <c r="AL354" s="1" t="str">
        <f>IF(ISERROR(MATCH(A354,'SegEnds_Xtal_Prot#'!B:B, 0)), "NoXtal", "Xtal")</f>
        <v>NoXtal</v>
      </c>
    </row>
    <row r="355" spans="1:38" x14ac:dyDescent="0.2">
      <c r="A355" s="1" t="s">
        <v>108</v>
      </c>
      <c r="B355" s="1" t="str">
        <f>VLOOKUP(A355,Xtal_Templ!A:B,2,FALSE)</f>
        <v>grm1_human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7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36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33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1">
        <f>VLOOKUP(A355,'SegEnds_NonXtal_Prot#'!A:AL,10,FALSE)-VLOOKUP(A355,'SegEnds_NonXtal_Prot#'!A:AL,7,FALSE)</f>
        <v>15</v>
      </c>
      <c r="AD355" s="1" t="e">
        <f>VLOOKUP(A355,'SegEnds_NonXtal_Prot#'!A:AL,13,FALSE)-VLOOKUP(A355,'SegEnds_NonXtal_Prot#'!A:AL,10,FALSE)</f>
        <v>#VALUE!</v>
      </c>
      <c r="AE355" s="1">
        <f>VLOOKUP(A355,'SegEnds_NonXtal_Prot#'!A:AL,16,FALSE)-VLOOKUP(A355,'SegEnds_NonXtal_Prot#'!A:AL,10,FALSE)</f>
        <v>50</v>
      </c>
      <c r="AF355" s="1" t="e">
        <f>VLOOKUP(A355,'SegEnds_NonXtal_Prot#'!A:AL,22,FALSE)-VLOOKUP(A355,'SegEnds_NonXtal_Prot#'!A:AL,19,FALSE)</f>
        <v>#VALUE!</v>
      </c>
      <c r="AG355" s="1">
        <f>VLOOKUP(A355,'SegEnds_NonXtal_Prot#'!A:AL,28,FALSE)-VLOOKUP(A355,'SegEnds_NonXtal_Prot#'!A:AL,25,FALSE)</f>
        <v>19</v>
      </c>
      <c r="AH355" s="1">
        <f>VLOOKUP(A355,'SegEnds_NonXtal_Prot#'!A:AL,28,FALSE)-VLOOKUP(A355,'SegEnds_NonXtal_Prot#'!A:AL,22,FALSE)</f>
        <v>62</v>
      </c>
      <c r="AI355" s="1">
        <f>VLOOKUP(A355,'SegEnds_NonXtal_Prot#'!A:AL,31,FALSE)-VLOOKUP(A355,'SegEnds_NonXtal_Prot#'!A:AL,28,FALSE)</f>
        <v>39</v>
      </c>
      <c r="AJ355" s="1">
        <f>VLOOKUP(A355,'SegEnds_NonXtal_Prot#'!A:AL,34,FALSE)-VLOOKUP(A355,'SegEnds_NonXtal_Prot#'!A:AL,31,FALSE)</f>
        <v>30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NoXtal</v>
      </c>
    </row>
    <row r="356" spans="1:38" x14ac:dyDescent="0.2">
      <c r="A356" s="4" t="s">
        <v>106</v>
      </c>
      <c r="B356" s="4" t="str">
        <f>VLOOKUP(A356,Xtal_Templ!A:B,2,FALSE)</f>
        <v>grm5_human</v>
      </c>
      <c r="C356" s="5">
        <f>VLOOKUP($B356&amp;"__wt",'SegEnds_Xtal_BW#'!$A:$Z,3,FALSE)</f>
        <v>34</v>
      </c>
      <c r="D356" s="4">
        <f>VLOOKUP($B356&amp;"__wt",'SegEnds_Xtal_BW#'!$A:$Z,4,FALSE)</f>
        <v>60</v>
      </c>
      <c r="E356" s="4">
        <f>VLOOKUP($B356&amp;"__wt",'SegEnds_Xtal_BW#'!$A:$Z,5,FALSE)</f>
        <v>47</v>
      </c>
      <c r="F356" s="4">
        <f>VLOOKUP($B356&amp;"__wt",'SegEnds_Xtal_BW#'!$A:$Z,6,FALSE)</f>
        <v>53</v>
      </c>
      <c r="G356" s="4">
        <v>39</v>
      </c>
      <c r="H356" s="11">
        <f>VLOOKUP($B356&amp;"__wt",'SegEnds_Xtal_BW#'!$A:$Z,8,FALSE)</f>
        <v>61</v>
      </c>
      <c r="I356" s="4" t="str">
        <f>VLOOKUP($B356&amp;"__wt",'SegEnds_Xtal_BW#'!$A:$Z,9,FALSE)</f>
        <v>-</v>
      </c>
      <c r="J356" s="4" t="str">
        <f>VLOOKUP($B356&amp;"__wt",'SegEnds_Xtal_BW#'!$A:$Z,10,FALSE)</f>
        <v>-</v>
      </c>
      <c r="K356" s="11">
        <f>VLOOKUP($B356&amp;"__wt",'SegEnds_Xtal_BW#'!$A:$Z,11,FALSE)</f>
        <v>21</v>
      </c>
      <c r="L356" s="4">
        <f>VLOOKUP($B356&amp;"__wt",'SegEnds_Xtal_BW#'!$A:$Z,12,FALSE)</f>
        <v>54</v>
      </c>
      <c r="M356" s="4" t="str">
        <f>VLOOKUP($B356&amp;"__wt",'SegEnds_Xtal_BW#'!$A:$Z,13,FALSE)</f>
        <v>-</v>
      </c>
      <c r="N356" s="11" t="str">
        <f>VLOOKUP($B356&amp;"__wt",'SegEnds_Xtal_BW#'!$A:$Z,14,FALSE)</f>
        <v>-</v>
      </c>
      <c r="O356" s="88">
        <f>VLOOKUP($B356&amp;"__wt",'SegEnds_Xtal_BW#'!$A:$Z,15,FALSE)</f>
        <v>38</v>
      </c>
      <c r="P356" s="4">
        <f>VLOOKUP($B356&amp;"__wt",'SegEnds_Xtal_BW#'!$A:$Z,16,FALSE)</f>
        <v>64</v>
      </c>
      <c r="Q356" s="4">
        <f>VLOOKUP($B356&amp;"__wt",'SegEnds_Xtal_BW#'!$A:$Z,17,FALSE)</f>
        <v>50</v>
      </c>
      <c r="R356" s="4">
        <f>VLOOKUP($B356&amp;"__wt",'SegEnds_Xtal_BW#'!$A:$Z,18,FALSE)</f>
        <v>52</v>
      </c>
      <c r="S356" s="4">
        <f>VLOOKUP($B356&amp;"__wt",'SegEnds_Xtal_BW#'!$A:$Z,19,FALSE)</f>
        <v>36</v>
      </c>
      <c r="T356" s="4">
        <f>VLOOKUP($B356&amp;"__wt",'SegEnds_Xtal_BW#'!$A:$Z,20,FALSE)</f>
        <v>61</v>
      </c>
      <c r="U356" s="4">
        <f>VLOOKUP($B356&amp;"__wt",'SegEnds_Xtal_BW#'!$A:$Z,21,FALSE)</f>
        <v>33</v>
      </c>
      <c r="V356" s="4">
        <f>VLOOKUP($B356&amp;"__wt",'SegEnds_Xtal_BW#'!$A:$Z,22,FALSE)</f>
        <v>57</v>
      </c>
      <c r="W356" s="4">
        <f>VLOOKUP($B356&amp;"__wt",'SegEnds_Xtal_BW#'!$A:$Z,23,FALSE)</f>
        <v>33</v>
      </c>
      <c r="X356" s="4">
        <f>VLOOKUP($B356&amp;"__wt",'SegEnds_Xtal_BW#'!$A:$Z,24,FALSE)</f>
        <v>64</v>
      </c>
      <c r="Y356" s="4">
        <f>VLOOKUP($B356&amp;"__wt",'SegEnds_Xtal_BW#'!$A:$Z,25,FALSE)</f>
        <v>46</v>
      </c>
      <c r="Z356" s="4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31</v>
      </c>
      <c r="AC356" s="4">
        <f>VLOOKUP(A356,'SegEnds_NonXtal_Prot#'!A:AL,10,FALSE)-VLOOKUP(A356,'SegEnds_NonXtal_Prot#'!A:AL,7,FALSE)</f>
        <v>15</v>
      </c>
      <c r="AD356" s="4" t="e">
        <f>VLOOKUP(A356,'SegEnds_NonXtal_Prot#'!A:AL,13,FALSE)-VLOOKUP(A356,'SegEnds_NonXtal_Prot#'!A:AL,10,FALSE)</f>
        <v>#VALUE!</v>
      </c>
      <c r="AE356" s="4">
        <f>VLOOKUP(A356,'SegEnds_NonXtal_Prot#'!A:AL,16,FALSE)-VLOOKUP(A356,'SegEnds_NonXtal_Prot#'!A:AL,10,FALSE)</f>
        <v>51</v>
      </c>
      <c r="AF356" s="1" t="e">
        <f>VLOOKUP(A356,'SegEnds_NonXtal_Prot#'!A:AL,22,FALSE)-VLOOKUP(A356,'SegEnds_NonXtal_Prot#'!A:AL,19,FALSE)</f>
        <v>#VALUE!</v>
      </c>
      <c r="AG356" s="4">
        <f>VLOOKUP(A356,'SegEnds_NonXtal_Prot#'!A:AL,28,FALSE)-VLOOKUP(A356,'SegEnds_NonXtal_Prot#'!A:AL,25,FALSE)</f>
        <v>19</v>
      </c>
      <c r="AH356" s="1">
        <f>VLOOKUP(A356,'SegEnds_NonXtal_Prot#'!A:AL,28,FALSE)-VLOOKUP(A356,'SegEnds_NonXtal_Prot#'!A:AL,22,FALSE)</f>
        <v>62</v>
      </c>
      <c r="AI356" s="4">
        <f>VLOOKUP(A356,'SegEnds_NonXtal_Prot#'!A:AL,31,FALSE)-VLOOKUP(A356,'SegEnds_NonXtal_Prot#'!A:AL,28,FALSE)</f>
        <v>38</v>
      </c>
      <c r="AJ356" s="4">
        <f>VLOOKUP(A356,'SegEnds_NonXtal_Prot#'!A:AL,34,FALSE)-VLOOKUP(A356,'SegEnds_NonXtal_Prot#'!A:AL,31,FALSE)</f>
        <v>31</v>
      </c>
      <c r="AK356" s="1">
        <f>VLOOKUP(A356,'SegEnds_NonXtal_Prot#'!A:AL,37,FALSE)-VLOOKUP(A356,'SegEnds_NonXtal_Prot#'!A:AL,34,FALSE)</f>
        <v>19</v>
      </c>
      <c r="AL356" s="1" t="str">
        <f>IF(ISERROR(MATCH(A356,'SegEnds_Xtal_Prot#'!B:B, 0)), "NoXtal", "Xtal")</f>
        <v>NoXtal</v>
      </c>
    </row>
    <row r="357" spans="1:38" x14ac:dyDescent="0.2">
      <c r="A357" s="1" t="s">
        <v>107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21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7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31</v>
      </c>
      <c r="AC357" s="1">
        <f>VLOOKUP(A357,'SegEnds_NonXtal_Prot#'!A:AL,10,FALSE)-VLOOKUP(A357,'SegEnds_NonXtal_Prot#'!A:AL,7,FALSE)</f>
        <v>15</v>
      </c>
      <c r="AD357" s="1" t="e">
        <f>VLOOKUP(A357,'SegEnds_NonXtal_Prot#'!A:AL,13,FALSE)-VLOOKUP(A357,'SegEnds_NonXtal_Prot#'!A:AL,10,FALSE)</f>
        <v>#VALUE!</v>
      </c>
      <c r="AE357" s="1">
        <f>VLOOKUP(A357,'SegEnds_NonXtal_Prot#'!A:AL,16,FALSE)-VLOOKUP(A357,'SegEnds_NonXtal_Prot#'!A:AL,10,FALSE)</f>
        <v>51</v>
      </c>
      <c r="AF357" s="1" t="e">
        <f>VLOOKUP(A357,'SegEnds_NonXtal_Prot#'!A:AL,22,FALSE)-VLOOKUP(A357,'SegEnds_NonXtal_Prot#'!A:AL,19,FALSE)</f>
        <v>#VALUE!</v>
      </c>
      <c r="AG357" s="1">
        <f>VLOOKUP(A357,'SegEnds_NonXtal_Prot#'!A:AL,28,FALSE)-VLOOKUP(A357,'SegEnds_NonXtal_Prot#'!A:AL,25,FALSE)</f>
        <v>19</v>
      </c>
      <c r="AH357" s="1">
        <f>VLOOKUP(A357,'SegEnds_NonXtal_Prot#'!A:AL,28,FALSE)-VLOOKUP(A357,'SegEnds_NonXtal_Prot#'!A:AL,22,FALSE)</f>
        <v>62</v>
      </c>
      <c r="AI357" s="1">
        <f>VLOOKUP(A357,'SegEnds_NonXtal_Prot#'!A:AL,31,FALSE)-VLOOKUP(A357,'SegEnds_NonXtal_Prot#'!A:AL,28,FALSE)</f>
        <v>38</v>
      </c>
      <c r="AJ357" s="1">
        <f>VLOOKUP(A357,'SegEnds_NonXtal_Prot#'!A:AL,34,FALSE)-VLOOKUP(A357,'SegEnds_NonXtal_Prot#'!A:AL,31,FALSE)</f>
        <v>31</v>
      </c>
      <c r="AK357" s="1">
        <f>VLOOKUP(A357,'SegEnds_NonXtal_Prot#'!A:AL,37,FALSE)-VLOOKUP(A357,'SegEnds_NonXtal_Prot#'!A:AL,34,FALSE)</f>
        <v>19</v>
      </c>
      <c r="AL357" s="1" t="str">
        <f>IF(ISERROR(MATCH(A357,'SegEnds_Xtal_Prot#'!B:B, 0)), "NoXtal", "Xtal")</f>
        <v>NoXtal</v>
      </c>
    </row>
    <row r="358" spans="1:38" x14ac:dyDescent="0.2">
      <c r="A358" s="1" t="s">
        <v>115</v>
      </c>
      <c r="B358" s="1" t="str">
        <f>VLOOKUP(A358,Xtal_Templ!A:B,2,FALSE)</f>
        <v>grm1_human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7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1">
        <f>VLOOKUP(A358,'SegEnds_NonXtal_Prot#'!A:AL,10,FALSE)-VLOOKUP(A358,'SegEnds_NonXtal_Prot#'!A:AL,7,FALSE)</f>
        <v>15</v>
      </c>
      <c r="AD358" s="1" t="e">
        <f>VLOOKUP(A358,'SegEnds_NonXtal_Prot#'!A:AL,13,FALSE)-VLOOKUP(A358,'SegEnds_NonXtal_Prot#'!A:AL,10,FALSE)</f>
        <v>#VALUE!</v>
      </c>
      <c r="AE358" s="1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1">
        <f>VLOOKUP(A358,'SegEnds_NonXtal_Prot#'!A:AL,28,FALSE)-VLOOKUP(A358,'SegEnds_NonXtal_Prot#'!A:AL,25,FALSE)</f>
        <v>17</v>
      </c>
      <c r="AH358" s="1">
        <f>VLOOKUP(A358,'SegEnds_NonXtal_Prot#'!A:AL,28,FALSE)-VLOOKUP(A358,'SegEnds_NonXtal_Prot#'!A:AL,22,FALSE)</f>
        <v>51</v>
      </c>
      <c r="AI358" s="1">
        <f>VLOOKUP(A358,'SegEnds_NonXtal_Prot#'!A:AL,31,FALSE)-VLOOKUP(A358,'SegEnds_NonXtal_Prot#'!A:AL,28,FALSE)</f>
        <v>37</v>
      </c>
      <c r="AJ358" s="1">
        <f>VLOOKUP(A358,'SegEnds_NonXtal_Prot#'!A:AL,34,FALSE)-VLOOKUP(A358,'SegEnds_NonXtal_Prot#'!A:AL,31,FALSE)</f>
        <v>31</v>
      </c>
      <c r="AK358" s="1">
        <f>VLOOKUP(A358,'SegEnds_NonXtal_Prot#'!A:AL,37,FALSE)-VLOOKUP(A358,'SegEnds_NonXtal_Prot#'!A:AL,34,FALSE)</f>
        <v>19</v>
      </c>
      <c r="AL358" s="1" t="str">
        <f>IF(ISERROR(MATCH(A358,'SegEnds_Xtal_Prot#'!B:B, 0)), "NoXtal", "Xtal")</f>
        <v>NoXtal</v>
      </c>
    </row>
    <row r="359" spans="1:38" x14ac:dyDescent="0.2">
      <c r="A359" s="1" t="s">
        <v>116</v>
      </c>
      <c r="B359" s="1" t="str">
        <f>VLOOKUP(A359,Xtal_Templ!A:B,2,FALSE)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21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>
        <f>VLOOKUP(A359,'SegEnds_NonXtal_Prot#'!A:AL,28,FALSE)-VLOOKUP(A359,'SegEnds_NonXtal_Prot#'!A:AL,25,FALSE)</f>
        <v>17</v>
      </c>
      <c r="AH359" s="1">
        <f>VLOOKUP(A359,'SegEnds_NonXtal_Prot#'!A:AL,28,FALSE)-VLOOKUP(A359,'SegEnds_NonXtal_Prot#'!A:AL,22,FALSE)</f>
        <v>51</v>
      </c>
      <c r="AI359" s="1">
        <f>VLOOKUP(A359,'SegEnds_NonXtal_Prot#'!A:AL,31,FALSE)-VLOOKUP(A359,'SegEnds_NonXtal_Prot#'!A:AL,28,FALSE)</f>
        <v>37</v>
      </c>
      <c r="AJ359" s="1">
        <f>VLOOKUP(A359,'SegEnds_NonXtal_Prot#'!A:AL,34,FALSE)-VLOOKUP(A359,'SegEnds_NonXtal_Prot#'!A:AL,31,FALSE)</f>
        <v>31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1" t="s">
        <v>121</v>
      </c>
      <c r="B360" s="1" t="str">
        <f>VLOOKUP(A360,Xtal_Templ!A:B,2,FALSE)</f>
        <v>grm1_human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33</v>
      </c>
      <c r="AC360" s="1">
        <f>VLOOKUP(A360,'SegEnds_NonXtal_Prot#'!A:AL,10,FALSE)-VLOOKUP(A360,'SegEnds_NonXtal_Prot#'!A:AL,7,FALSE)</f>
        <v>19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1" t="e">
        <f>VLOOKUP(A360,'SegEnds_NonXtal_Prot#'!A:AL,28,FALSE)-VLOOKUP(A360,'SegEnds_NonXtal_Prot#'!A:AL,25,FALSE)</f>
        <v>#VALUE!</v>
      </c>
      <c r="AH360" s="1">
        <f>VLOOKUP(A360,'SegEnds_NonXtal_Prot#'!A:AL,28,FALSE)-VLOOKUP(A360,'SegEnds_NonXtal_Prot#'!A:AL,22,FALSE)</f>
        <v>45</v>
      </c>
      <c r="AI360" s="1">
        <f>VLOOKUP(A360,'SegEnds_NonXtal_Prot#'!A:AL,31,FALSE)-VLOOKUP(A360,'SegEnds_NonXtal_Prot#'!A:AL,28,FALSE)</f>
        <v>39</v>
      </c>
      <c r="AJ360" s="1">
        <f>VLOOKUP(A360,'SegEnds_NonXtal_Prot#'!A:AL,34,FALSE)-VLOOKUP(A360,'SegEnds_NonXtal_Prot#'!A:AL,31,FALSE)</f>
        <v>31</v>
      </c>
      <c r="AK360" s="1">
        <f>VLOOKUP(A360,'SegEnds_NonXtal_Prot#'!A:AL,37,FALSE)-VLOOKUP(A360,'SegEnds_NonXtal_Prot#'!A:AL,34,FALSE)</f>
        <v>21</v>
      </c>
      <c r="AL360" s="1" t="str">
        <f>IF(ISERROR(MATCH(A360,'SegEnds_Xtal_Prot#'!B:B, 0)), "NoXtal", "Xtal")</f>
        <v>NoXtal</v>
      </c>
    </row>
    <row r="361" spans="1:38" x14ac:dyDescent="0.2">
      <c r="A361" s="4" t="s">
        <v>109</v>
      </c>
      <c r="B361" s="4" t="str">
        <f>VLOOKUP(A361,Xtal_Templ!A:B,2,FALSE)</f>
        <v>grm1_human</v>
      </c>
      <c r="C361" s="5">
        <f>VLOOKUP($B361&amp;"__wt",'SegEnds_Xtal_BW#'!$A:$Z,3,FALSE)</f>
        <v>34</v>
      </c>
      <c r="D361" s="4">
        <f>VLOOKUP($B361&amp;"__wt",'SegEnds_Xtal_BW#'!$A:$Z,4,FALSE)</f>
        <v>60</v>
      </c>
      <c r="E361" s="4">
        <f>VLOOKUP($B361&amp;"__wt",'SegEnds_Xtal_BW#'!$A:$Z,5,FALSE)</f>
        <v>47</v>
      </c>
      <c r="F361" s="4">
        <f>VLOOKUP($B361&amp;"__wt",'SegEnds_Xtal_BW#'!$A:$Z,6,FALSE)</f>
        <v>53</v>
      </c>
      <c r="G361" s="4">
        <v>39</v>
      </c>
      <c r="H361" s="11">
        <f>VLOOKUP($B361&amp;"__wt",'SegEnds_Xtal_BW#'!$A:$Z,8,FALSE)</f>
        <v>61</v>
      </c>
      <c r="I361" s="4" t="str">
        <f>VLOOKUP($B361&amp;"__wt",'SegEnds_Xtal_BW#'!$A:$Z,9,FALSE)</f>
        <v>-</v>
      </c>
      <c r="J361" s="4" t="str">
        <f>VLOOKUP($B361&amp;"__wt",'SegEnds_Xtal_BW#'!$A:$Z,10,FALSE)</f>
        <v>-</v>
      </c>
      <c r="K361" s="11">
        <f>VLOOKUP($B361&amp;"__wt",'SegEnds_Xtal_BW#'!$A:$Z,11,FALSE)</f>
        <v>22</v>
      </c>
      <c r="L361" s="4">
        <f>VLOOKUP($B361&amp;"__wt",'SegEnds_Xtal_BW#'!$A:$Z,12,FALSE)</f>
        <v>54</v>
      </c>
      <c r="M361" s="4" t="str">
        <f>VLOOKUP($B361&amp;"__wt",'SegEnds_Xtal_BW#'!$A:$Z,13,FALSE)</f>
        <v>-</v>
      </c>
      <c r="N361" s="11" t="str">
        <f>VLOOKUP($B361&amp;"__wt",'SegEnds_Xtal_BW#'!$A:$Z,14,FALSE)</f>
        <v>-</v>
      </c>
      <c r="O361" s="88">
        <f>VLOOKUP($B361&amp;"__wt",'SegEnds_Xtal_BW#'!$A:$Z,15,FALSE)</f>
        <v>38</v>
      </c>
      <c r="P361" s="4">
        <f>VLOOKUP($B361&amp;"__wt",'SegEnds_Xtal_BW#'!$A:$Z,16,FALSE)</f>
        <v>64</v>
      </c>
      <c r="Q361" s="4">
        <f>VLOOKUP($B361&amp;"__wt",'SegEnds_Xtal_BW#'!$A:$Z,17,FALSE)</f>
        <v>50</v>
      </c>
      <c r="R361" s="4">
        <f>VLOOKUP($B361&amp;"__wt",'SegEnds_Xtal_BW#'!$A:$Z,18,FALSE)</f>
        <v>52</v>
      </c>
      <c r="S361" s="4">
        <f>VLOOKUP($B361&amp;"__wt",'SegEnds_Xtal_BW#'!$A:$Z,19,FALSE)</f>
        <v>36</v>
      </c>
      <c r="T361" s="4">
        <f>VLOOKUP($B361&amp;"__wt",'SegEnds_Xtal_BW#'!$A:$Z,20,FALSE)</f>
        <v>61</v>
      </c>
      <c r="U361" s="4">
        <f>VLOOKUP($B361&amp;"__wt",'SegEnds_Xtal_BW#'!$A:$Z,21,FALSE)</f>
        <v>33</v>
      </c>
      <c r="V361" s="4">
        <f>VLOOKUP($B361&amp;"__wt",'SegEnds_Xtal_BW#'!$A:$Z,22,FALSE)</f>
        <v>57</v>
      </c>
      <c r="W361" s="4">
        <f>VLOOKUP($B361&amp;"__wt",'SegEnds_Xtal_BW#'!$A:$Z,23,FALSE)</f>
        <v>33</v>
      </c>
      <c r="X361" s="4">
        <f>VLOOKUP($B361&amp;"__wt",'SegEnds_Xtal_BW#'!$A:$Z,24,FALSE)</f>
        <v>64</v>
      </c>
      <c r="Y361" s="4">
        <f>VLOOKUP($B361&amp;"__wt",'SegEnds_Xtal_BW#'!$A:$Z,25,FALSE)</f>
        <v>46</v>
      </c>
      <c r="Z361" s="4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4">
        <f>VLOOKUP(A361,'SegEnds_NonXtal_Prot#'!A:AL,10,FALSE)-VLOOKUP(A361,'SegEnds_NonXtal_Prot#'!A:AL,7,FALSE)</f>
        <v>15</v>
      </c>
      <c r="AD361" s="4" t="e">
        <f>VLOOKUP(A361,'SegEnds_NonXtal_Prot#'!A:AL,13,FALSE)-VLOOKUP(A361,'SegEnds_NonXtal_Prot#'!A:AL,10,FALSE)</f>
        <v>#VALUE!</v>
      </c>
      <c r="AE361" s="4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4">
        <f>VLOOKUP(A361,'SegEnds_NonXtal_Prot#'!A:AL,28,FALSE)-VLOOKUP(A361,'SegEnds_NonXtal_Prot#'!A:AL,25,FALSE)</f>
        <v>16</v>
      </c>
      <c r="AH361" s="1">
        <f>VLOOKUP(A361,'SegEnds_NonXtal_Prot#'!A:AL,28,FALSE)-VLOOKUP(A361,'SegEnds_NonXtal_Prot#'!A:AL,22,FALSE)</f>
        <v>65</v>
      </c>
      <c r="AI361" s="4">
        <f>VLOOKUP(A361,'SegEnds_NonXtal_Prot#'!A:AL,31,FALSE)-VLOOKUP(A361,'SegEnds_NonXtal_Prot#'!A:AL,28,FALSE)</f>
        <v>37</v>
      </c>
      <c r="AJ361" s="4">
        <f>VLOOKUP(A361,'SegEnds_NonXtal_Prot#'!A:AL,34,FALSE)-VLOOKUP(A361,'SegEnds_NonXtal_Prot#'!A:AL,31,FALSE)</f>
        <v>33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110</v>
      </c>
      <c r="B362" s="1" t="str">
        <f>VLOOKUP(A362,Xtal_Templ!A:B,2,FALSE)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16</v>
      </c>
      <c r="AH362" s="1">
        <f>VLOOKUP(A362,'SegEnds_NonXtal_Prot#'!A:AL,28,FALSE)-VLOOKUP(A362,'SegEnds_NonXtal_Prot#'!A:AL,22,FALSE)</f>
        <v>65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33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1" t="s">
        <v>112</v>
      </c>
      <c r="B363" s="1" t="str">
        <f>VLOOKUP(A363,Xtal_Templ!A:B,2,FALSE)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33</v>
      </c>
      <c r="AC363" s="1">
        <f>VLOOKUP(A363,'SegEnds_NonXtal_Prot#'!A:AL,10,FALSE)-VLOOKUP(A363,'SegEnds_NonXtal_Prot#'!A:AL,7,FALSE)</f>
        <v>19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>
        <f>VLOOKUP(A363,'SegEnds_NonXtal_Prot#'!A:AL,28,FALSE)-VLOOKUP(A363,'SegEnds_NonXtal_Prot#'!A:AL,25,FALSE)</f>
        <v>17</v>
      </c>
      <c r="AH363" s="1">
        <f>VLOOKUP(A363,'SegEnds_NonXtal_Prot#'!A:AL,28,FALSE)-VLOOKUP(A363,'SegEnds_NonXtal_Prot#'!A:AL,22,FALSE)</f>
        <v>55</v>
      </c>
      <c r="AI363" s="1">
        <f>VLOOKUP(A363,'SegEnds_NonXtal_Prot#'!A:AL,31,FALSE)-VLOOKUP(A363,'SegEnds_NonXtal_Prot#'!A:AL,28,FALSE)</f>
        <v>39</v>
      </c>
      <c r="AJ363" s="1">
        <f>VLOOKUP(A363,'SegEnds_NonXtal_Prot#'!A:AL,34,FALSE)-VLOOKUP(A363,'SegEnds_NonXtal_Prot#'!A:AL,31,FALSE)</f>
        <v>34</v>
      </c>
      <c r="AK363" s="1">
        <f>VLOOKUP(A363,'SegEnds_NonXtal_Prot#'!A:AL,37,FALSE)-VLOOKUP(A363,'SegEnds_NonXtal_Prot#'!A:AL,34,FALSE)</f>
        <v>20</v>
      </c>
      <c r="AL363" s="1" t="str">
        <f>IF(ISERROR(MATCH(A363,'SegEnds_Xtal_Prot#'!B:B, 0)), "NoXtal", "Xtal")</f>
        <v>NoXtal</v>
      </c>
    </row>
    <row r="364" spans="1:38" x14ac:dyDescent="0.2">
      <c r="A364" s="1" t="s">
        <v>117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21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17</v>
      </c>
      <c r="AH364" s="1">
        <f>VLOOKUP(A364,'SegEnds_NonXtal_Prot#'!A:AL,28,FALSE)-VLOOKUP(A364,'SegEnds_NonXtal_Prot#'!A:AL,22,FALSE)</f>
        <v>56</v>
      </c>
      <c r="AI364" s="1">
        <f>VLOOKUP(A364,'SegEnds_NonXtal_Prot#'!A:AL,31,FALSE)-VLOOKUP(A364,'SegEnds_NonXtal_Prot#'!A:AL,28,FALSE)</f>
        <v>37</v>
      </c>
      <c r="AJ364" s="1">
        <f>VLOOKUP(A364,'SegEnds_NonXtal_Prot#'!A:AL,34,FALSE)-VLOOKUP(A364,'SegEnds_NonXtal_Prot#'!A:AL,31,FALSE)</f>
        <v>34</v>
      </c>
      <c r="AK364" s="1">
        <f>VLOOKUP(A364,'SegEnds_NonXtal_Prot#'!A:AL,37,FALSE)-VLOOKUP(A364,'SegEnds_NonXtal_Prot#'!A:AL,34,FALSE)</f>
        <v>19</v>
      </c>
      <c r="AL364" s="1" t="str">
        <f>IF(ISERROR(MATCH(A364,'SegEnds_Xtal_Prot#'!B:B, 0)), "NoXtal", "Xtal")</f>
        <v>NoXtal</v>
      </c>
    </row>
    <row r="365" spans="1:38" x14ac:dyDescent="0.2">
      <c r="A365" s="1" t="s">
        <v>118</v>
      </c>
      <c r="B365" s="1" t="str">
        <f>VLOOKUP(A365,Xtal_Templ!A:B,2,FALSE)</f>
        <v>grm5_human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21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17</v>
      </c>
      <c r="AH365" s="1">
        <f>VLOOKUP(A365,'SegEnds_NonXtal_Prot#'!A:AL,28,FALSE)-VLOOKUP(A365,'SegEnds_NonXtal_Prot#'!A:AL,22,FALSE)</f>
        <v>56</v>
      </c>
      <c r="AI365" s="1">
        <f>VLOOKUP(A365,'SegEnds_NonXtal_Prot#'!A:AL,31,FALSE)-VLOOKUP(A365,'SegEnds_NonXtal_Prot#'!A:AL,28,FALSE)</f>
        <v>37</v>
      </c>
      <c r="AJ365" s="1">
        <f>VLOOKUP(A365,'SegEnds_NonXtal_Prot#'!A:AL,34,FALSE)-VLOOKUP(A365,'SegEnds_NonXtal_Prot#'!A:AL,31,FALSE)</f>
        <v>34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1" t="s">
        <v>119</v>
      </c>
      <c r="B366" s="1" t="str">
        <f>VLOOKUP(A366,Xtal_Templ!A:B,2,FALSE)</f>
        <v>grm5_human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21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7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33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31</v>
      </c>
      <c r="AC366" s="1">
        <f>VLOOKUP(A366,'SegEnds_NonXtal_Prot#'!A:AL,10,FALSE)-VLOOKUP(A366,'SegEnds_NonXtal_Prot#'!A:AL,7,FALSE)</f>
        <v>15</v>
      </c>
      <c r="AD366" s="1" t="e">
        <f>VLOOKUP(A366,'SegEnds_NonXtal_Prot#'!A:AL,13,FALSE)-VLOOKUP(A366,'SegEnds_NonXtal_Prot#'!A:AL,10,FALSE)</f>
        <v>#VALUE!</v>
      </c>
      <c r="AE366" s="1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1">
        <f>VLOOKUP(A366,'SegEnds_NonXtal_Prot#'!A:AL,28,FALSE)-VLOOKUP(A366,'SegEnds_NonXtal_Prot#'!A:AL,25,FALSE)</f>
        <v>17</v>
      </c>
      <c r="AH366" s="1">
        <f>VLOOKUP(A366,'SegEnds_NonXtal_Prot#'!A:AL,28,FALSE)-VLOOKUP(A366,'SegEnds_NonXtal_Prot#'!A:AL,22,FALSE)</f>
        <v>56</v>
      </c>
      <c r="AI366" s="1">
        <f>VLOOKUP(A366,'SegEnds_NonXtal_Prot#'!A:AL,31,FALSE)-VLOOKUP(A366,'SegEnds_NonXtal_Prot#'!A:AL,28,FALSE)</f>
        <v>37</v>
      </c>
      <c r="AJ366" s="1">
        <f>VLOOKUP(A366,'SegEnds_NonXtal_Prot#'!A:AL,34,FALSE)-VLOOKUP(A366,'SegEnds_NonXtal_Prot#'!A:AL,31,FALSE)</f>
        <v>34</v>
      </c>
      <c r="AK366" s="1">
        <f>VLOOKUP(A366,'SegEnds_NonXtal_Prot#'!A:AL,37,FALSE)-VLOOKUP(A366,'SegEnds_NonXtal_Prot#'!A:AL,34,FALSE)</f>
        <v>19</v>
      </c>
      <c r="AL366" s="1" t="str">
        <f>IF(ISERROR(MATCH(A366,'SegEnds_Xtal_Prot#'!B:B, 0)), "NoXtal", "Xtal")</f>
        <v>NoXtal</v>
      </c>
    </row>
    <row r="367" spans="1:38" x14ac:dyDescent="0.2">
      <c r="A367" s="1" t="s">
        <v>120</v>
      </c>
      <c r="B367" s="1" t="str">
        <f>VLOOKUP(A367,Xtal_Templ!A:B,2,FALSE)</f>
        <v>grm5_human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21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31</v>
      </c>
      <c r="AC367" s="1">
        <f>VLOOKUP(A367,'SegEnds_NonXtal_Prot#'!A:AL,10,FALSE)-VLOOKUP(A367,'SegEnds_NonXtal_Prot#'!A:AL,7,FALSE)</f>
        <v>15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17</v>
      </c>
      <c r="AH367" s="1">
        <f>VLOOKUP(A367,'SegEnds_NonXtal_Prot#'!A:AL,28,FALSE)-VLOOKUP(A367,'SegEnds_NonXtal_Prot#'!A:AL,22,FALSE)</f>
        <v>56</v>
      </c>
      <c r="AI367" s="1">
        <f>VLOOKUP(A367,'SegEnds_NonXtal_Prot#'!A:AL,31,FALSE)-VLOOKUP(A367,'SegEnds_NonXtal_Prot#'!A:AL,28,FALSE)</f>
        <v>37</v>
      </c>
      <c r="AJ367" s="1">
        <f>VLOOKUP(A367,'SegEnds_NonXtal_Prot#'!A:AL,34,FALSE)-VLOOKUP(A367,'SegEnds_NonXtal_Prot#'!A:AL,31,FALSE)</f>
        <v>34</v>
      </c>
      <c r="AK367" s="1">
        <f>VLOOKUP(A367,'SegEnds_NonXtal_Prot#'!A:AL,37,FALSE)-VLOOKUP(A367,'SegEnds_NonXtal_Prot#'!A:AL,34,FALSE)</f>
        <v>19</v>
      </c>
      <c r="AL367" s="1" t="str">
        <f>IF(ISERROR(MATCH(A367,'SegEnds_Xtal_Prot#'!B:B, 0)), "NoXtal", "Xtal")</f>
        <v>NoXtal</v>
      </c>
    </row>
    <row r="368" spans="1:38" x14ac:dyDescent="0.2">
      <c r="A368" s="4" t="s">
        <v>111</v>
      </c>
      <c r="B368" s="4" t="str">
        <f>VLOOKUP(A368,Xtal_Templ!A:B,2,FALSE)</f>
        <v>grm1_human</v>
      </c>
      <c r="C368" s="5">
        <f>VLOOKUP($B368&amp;"__wt",'SegEnds_Xtal_BW#'!$A:$Z,3,FALSE)</f>
        <v>34</v>
      </c>
      <c r="D368" s="4">
        <f>VLOOKUP($B368&amp;"__wt",'SegEnds_Xtal_BW#'!$A:$Z,4,FALSE)</f>
        <v>60</v>
      </c>
      <c r="E368" s="4">
        <f>VLOOKUP($B368&amp;"__wt",'SegEnds_Xtal_BW#'!$A:$Z,5,FALSE)</f>
        <v>47</v>
      </c>
      <c r="F368" s="4">
        <f>VLOOKUP($B368&amp;"__wt",'SegEnds_Xtal_BW#'!$A:$Z,6,FALSE)</f>
        <v>53</v>
      </c>
      <c r="G368" s="4">
        <v>39</v>
      </c>
      <c r="H368" s="11">
        <f>VLOOKUP($B368&amp;"__wt",'SegEnds_Xtal_BW#'!$A:$Z,8,FALSE)</f>
        <v>61</v>
      </c>
      <c r="I368" s="4" t="str">
        <f>VLOOKUP($B368&amp;"__wt",'SegEnds_Xtal_BW#'!$A:$Z,9,FALSE)</f>
        <v>-</v>
      </c>
      <c r="J368" s="4" t="str">
        <f>VLOOKUP($B368&amp;"__wt",'SegEnds_Xtal_BW#'!$A:$Z,10,FALSE)</f>
        <v>-</v>
      </c>
      <c r="K368" s="11">
        <f>VLOOKUP($B368&amp;"__wt",'SegEnds_Xtal_BW#'!$A:$Z,11,FALSE)</f>
        <v>22</v>
      </c>
      <c r="L368" s="4">
        <f>VLOOKUP($B368&amp;"__wt",'SegEnds_Xtal_BW#'!$A:$Z,12,FALSE)</f>
        <v>54</v>
      </c>
      <c r="M368" s="4" t="str">
        <f>VLOOKUP($B368&amp;"__wt",'SegEnds_Xtal_BW#'!$A:$Z,13,FALSE)</f>
        <v>-</v>
      </c>
      <c r="N368" s="11" t="str">
        <f>VLOOKUP($B368&amp;"__wt",'SegEnds_Xtal_BW#'!$A:$Z,14,FALSE)</f>
        <v>-</v>
      </c>
      <c r="O368" s="88">
        <f>VLOOKUP($B368&amp;"__wt",'SegEnds_Xtal_BW#'!$A:$Z,15,FALSE)</f>
        <v>38</v>
      </c>
      <c r="P368" s="4">
        <f>VLOOKUP($B368&amp;"__wt",'SegEnds_Xtal_BW#'!$A:$Z,16,FALSE)</f>
        <v>64</v>
      </c>
      <c r="Q368" s="4">
        <f>VLOOKUP($B368&amp;"__wt",'SegEnds_Xtal_BW#'!$A:$Z,17,FALSE)</f>
        <v>50</v>
      </c>
      <c r="R368" s="4">
        <f>VLOOKUP($B368&amp;"__wt",'SegEnds_Xtal_BW#'!$A:$Z,18,FALSE)</f>
        <v>52</v>
      </c>
      <c r="S368" s="4">
        <f>VLOOKUP($B368&amp;"__wt",'SegEnds_Xtal_BW#'!$A:$Z,19,FALSE)</f>
        <v>36</v>
      </c>
      <c r="T368" s="4">
        <f>VLOOKUP($B368&amp;"__wt",'SegEnds_Xtal_BW#'!$A:$Z,20,FALSE)</f>
        <v>61</v>
      </c>
      <c r="U368" s="4">
        <f>VLOOKUP($B368&amp;"__wt",'SegEnds_Xtal_BW#'!$A:$Z,21,FALSE)</f>
        <v>33</v>
      </c>
      <c r="V368" s="4">
        <f>VLOOKUP($B368&amp;"__wt",'SegEnds_Xtal_BW#'!$A:$Z,22,FALSE)</f>
        <v>57</v>
      </c>
      <c r="W368" s="4">
        <f>VLOOKUP($B368&amp;"__wt",'SegEnds_Xtal_BW#'!$A:$Z,23,FALSE)</f>
        <v>33</v>
      </c>
      <c r="X368" s="4">
        <f>VLOOKUP($B368&amp;"__wt",'SegEnds_Xtal_BW#'!$A:$Z,24,FALSE)</f>
        <v>64</v>
      </c>
      <c r="Y368" s="4">
        <f>VLOOKUP($B368&amp;"__wt",'SegEnds_Xtal_BW#'!$A:$Z,25,FALSE)</f>
        <v>46</v>
      </c>
      <c r="Z368" s="4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33</v>
      </c>
      <c r="AC368" s="4">
        <f>VLOOKUP(A368,'SegEnds_NonXtal_Prot#'!A:AL,10,FALSE)-VLOOKUP(A368,'SegEnds_NonXtal_Prot#'!A:AL,7,FALSE)</f>
        <v>19</v>
      </c>
      <c r="AD368" s="4" t="e">
        <f>VLOOKUP(A368,'SegEnds_NonXtal_Prot#'!A:AL,13,FALSE)-VLOOKUP(A368,'SegEnds_NonXtal_Prot#'!A:AL,10,FALSE)</f>
        <v>#VALUE!</v>
      </c>
      <c r="AE368" s="4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4">
        <f>VLOOKUP(A368,'SegEnds_NonXtal_Prot#'!A:AL,28,FALSE)-VLOOKUP(A368,'SegEnds_NonXtal_Prot#'!A:AL,25,FALSE)</f>
        <v>17</v>
      </c>
      <c r="AH368" s="1">
        <f>VLOOKUP(A368,'SegEnds_NonXtal_Prot#'!A:AL,28,FALSE)-VLOOKUP(A368,'SegEnds_NonXtal_Prot#'!A:AL,22,FALSE)</f>
        <v>40</v>
      </c>
      <c r="AI368" s="4">
        <f>VLOOKUP(A368,'SegEnds_NonXtal_Prot#'!A:AL,31,FALSE)-VLOOKUP(A368,'SegEnds_NonXtal_Prot#'!A:AL,28,FALSE)</f>
        <v>39</v>
      </c>
      <c r="AJ368" s="4">
        <f>VLOOKUP(A368,'SegEnds_NonXtal_Prot#'!A:AL,34,FALSE)-VLOOKUP(A368,'SegEnds_NonXtal_Prot#'!A:AL,31,FALSE)</f>
        <v>35</v>
      </c>
      <c r="AK368" s="1">
        <f>VLOOKUP(A368,'SegEnds_NonXtal_Prot#'!A:AL,37,FALSE)-VLOOKUP(A368,'SegEnds_NonXtal_Prot#'!A:AL,34,FALSE)</f>
        <v>20</v>
      </c>
      <c r="AL368" s="1" t="str">
        <f>IF(ISERROR(MATCH(A368,'SegEnds_Xtal_Prot#'!B:B, 0)), "NoXtal", "Xtal")</f>
        <v>NoXtal</v>
      </c>
    </row>
    <row r="369" spans="1:38" x14ac:dyDescent="0.2">
      <c r="A369" s="4" t="s">
        <v>113</v>
      </c>
      <c r="B369" s="4" t="str">
        <f>VLOOKUP(A369,Xtal_Templ!A:B,2,FALSE)</f>
        <v>grm1_human</v>
      </c>
      <c r="C369" s="5">
        <f>VLOOKUP($B369&amp;"__wt",'SegEnds_Xtal_BW#'!$A:$Z,3,FALSE)</f>
        <v>34</v>
      </c>
      <c r="D369" s="4">
        <f>VLOOKUP($B369&amp;"__wt",'SegEnds_Xtal_BW#'!$A:$Z,4,FALSE)</f>
        <v>60</v>
      </c>
      <c r="E369" s="4">
        <f>VLOOKUP($B369&amp;"__wt",'SegEnds_Xtal_BW#'!$A:$Z,5,FALSE)</f>
        <v>47</v>
      </c>
      <c r="F369" s="4">
        <f>VLOOKUP($B369&amp;"__wt",'SegEnds_Xtal_BW#'!$A:$Z,6,FALSE)</f>
        <v>53</v>
      </c>
      <c r="G369" s="4">
        <v>39</v>
      </c>
      <c r="H369" s="11">
        <f>VLOOKUP($B369&amp;"__wt",'SegEnds_Xtal_BW#'!$A:$Z,8,FALSE)</f>
        <v>61</v>
      </c>
      <c r="I369" s="4" t="str">
        <f>VLOOKUP($B369&amp;"__wt",'SegEnds_Xtal_BW#'!$A:$Z,9,FALSE)</f>
        <v>-</v>
      </c>
      <c r="J369" s="4" t="str">
        <f>VLOOKUP($B369&amp;"__wt",'SegEnds_Xtal_BW#'!$A:$Z,10,FALSE)</f>
        <v>-</v>
      </c>
      <c r="K369" s="11">
        <f>VLOOKUP($B369&amp;"__wt",'SegEnds_Xtal_BW#'!$A:$Z,11,FALSE)</f>
        <v>22</v>
      </c>
      <c r="L369" s="4">
        <f>VLOOKUP($B369&amp;"__wt",'SegEnds_Xtal_BW#'!$A:$Z,12,FALSE)</f>
        <v>54</v>
      </c>
      <c r="M369" s="4" t="str">
        <f>VLOOKUP($B369&amp;"__wt",'SegEnds_Xtal_BW#'!$A:$Z,13,FALSE)</f>
        <v>-</v>
      </c>
      <c r="N369" s="11" t="str">
        <f>VLOOKUP($B369&amp;"__wt",'SegEnds_Xtal_BW#'!$A:$Z,14,FALSE)</f>
        <v>-</v>
      </c>
      <c r="O369" s="88">
        <f>VLOOKUP($B369&amp;"__wt",'SegEnds_Xtal_BW#'!$A:$Z,15,FALSE)</f>
        <v>38</v>
      </c>
      <c r="P369" s="4">
        <f>VLOOKUP($B369&amp;"__wt",'SegEnds_Xtal_BW#'!$A:$Z,16,FALSE)</f>
        <v>64</v>
      </c>
      <c r="Q369" s="4">
        <f>VLOOKUP($B369&amp;"__wt",'SegEnds_Xtal_BW#'!$A:$Z,17,FALSE)</f>
        <v>50</v>
      </c>
      <c r="R369" s="4">
        <f>VLOOKUP($B369&amp;"__wt",'SegEnds_Xtal_BW#'!$A:$Z,18,FALSE)</f>
        <v>52</v>
      </c>
      <c r="S369" s="4">
        <f>VLOOKUP($B369&amp;"__wt",'SegEnds_Xtal_BW#'!$A:$Z,19,FALSE)</f>
        <v>36</v>
      </c>
      <c r="T369" s="4">
        <f>VLOOKUP($B369&amp;"__wt",'SegEnds_Xtal_BW#'!$A:$Z,20,FALSE)</f>
        <v>61</v>
      </c>
      <c r="U369" s="4">
        <f>VLOOKUP($B369&amp;"__wt",'SegEnds_Xtal_BW#'!$A:$Z,21,FALSE)</f>
        <v>33</v>
      </c>
      <c r="V369" s="4">
        <f>VLOOKUP($B369&amp;"__wt",'SegEnds_Xtal_BW#'!$A:$Z,22,FALSE)</f>
        <v>57</v>
      </c>
      <c r="W369" s="4">
        <f>VLOOKUP($B369&amp;"__wt",'SegEnds_Xtal_BW#'!$A:$Z,23,FALSE)</f>
        <v>33</v>
      </c>
      <c r="X369" s="4">
        <f>VLOOKUP($B369&amp;"__wt",'SegEnds_Xtal_BW#'!$A:$Z,24,FALSE)</f>
        <v>64</v>
      </c>
      <c r="Y369" s="4">
        <f>VLOOKUP($B369&amp;"__wt",'SegEnds_Xtal_BW#'!$A:$Z,25,FALSE)</f>
        <v>46</v>
      </c>
      <c r="Z369" s="4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33</v>
      </c>
      <c r="AC369" s="4">
        <f>VLOOKUP(A369,'SegEnds_NonXtal_Prot#'!A:AL,10,FALSE)-VLOOKUP(A369,'SegEnds_NonXtal_Prot#'!A:AL,7,FALSE)</f>
        <v>19</v>
      </c>
      <c r="AD369" s="4" t="e">
        <f>VLOOKUP(A369,'SegEnds_NonXtal_Prot#'!A:AL,13,FALSE)-VLOOKUP(A369,'SegEnds_NonXtal_Prot#'!A:AL,10,FALSE)</f>
        <v>#VALUE!</v>
      </c>
      <c r="AE369" s="4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4">
        <f>VLOOKUP(A369,'SegEnds_NonXtal_Prot#'!A:AL,28,FALSE)-VLOOKUP(A369,'SegEnds_NonXtal_Prot#'!A:AL,25,FALSE)</f>
        <v>16</v>
      </c>
      <c r="AH369" s="1">
        <f>VLOOKUP(A369,'SegEnds_NonXtal_Prot#'!A:AL,28,FALSE)-VLOOKUP(A369,'SegEnds_NonXtal_Prot#'!A:AL,22,FALSE)</f>
        <v>43</v>
      </c>
      <c r="AI369" s="4">
        <f>VLOOKUP(A369,'SegEnds_NonXtal_Prot#'!A:AL,31,FALSE)-VLOOKUP(A369,'SegEnds_NonXtal_Prot#'!A:AL,28,FALSE)</f>
        <v>39</v>
      </c>
      <c r="AJ369" s="4">
        <f>VLOOKUP(A369,'SegEnds_NonXtal_Prot#'!A:AL,34,FALSE)-VLOOKUP(A369,'SegEnds_NonXtal_Prot#'!A:AL,31,FALSE)</f>
        <v>35</v>
      </c>
      <c r="AK369" s="1">
        <f>VLOOKUP(A369,'SegEnds_NonXtal_Prot#'!A:AL,37,FALSE)-VLOOKUP(A369,'SegEnds_NonXtal_Prot#'!A:AL,34,FALSE)</f>
        <v>21</v>
      </c>
      <c r="AL369" s="1" t="str">
        <f>IF(ISERROR(MATCH(A369,'SegEnds_Xtal_Prot#'!B:B, 0)), "NoXtal", "Xtal")</f>
        <v>NoXtal</v>
      </c>
    </row>
    <row r="370" spans="1:38" x14ac:dyDescent="0.2">
      <c r="A370" s="1" t="s">
        <v>450</v>
      </c>
      <c r="B370" s="1" t="str">
        <f>VLOOKUP(A370,Xtal_Templ!A:B,2,FALSE)</f>
        <v>fzd4_human</v>
      </c>
      <c r="C370" s="5">
        <f>VLOOKUP($B370&amp;"__wt",'SegEnds_Xtal_BW#'!$A:$Z,3,FALSE)</f>
        <v>28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66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22</v>
      </c>
      <c r="L370" s="1">
        <f>VLOOKUP($B370&amp;"__wt",'SegEnds_Xtal_BW#'!$A:$Z,12,FALSE)</f>
        <v>55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41</v>
      </c>
      <c r="P370" s="1">
        <f>VLOOKUP($B370&amp;"__wt",'SegEnds_Xtal_BW#'!$A:$Z,16,FALSE)</f>
        <v>64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35</v>
      </c>
      <c r="T370" s="1">
        <f>VLOOKUP($B370&amp;"__wt",'SegEnds_Xtal_BW#'!$A:$Z,20,FALSE)</f>
        <v>72</v>
      </c>
      <c r="U370" s="1">
        <f>VLOOKUP($B370&amp;"__wt",'SegEnds_Xtal_BW#'!$A:$Z,21,FALSE)</f>
        <v>28</v>
      </c>
      <c r="V370" s="1">
        <f>VLOOKUP($B370&amp;"__wt",'SegEnds_Xtal_BW#'!$A:$Z,22,FALSE)</f>
        <v>58</v>
      </c>
      <c r="W370" s="1">
        <f>VLOOKUP($B370&amp;"__wt",'SegEnds_Xtal_BW#'!$A:$Z,23,FALSE)</f>
        <v>34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VLOOKUP(A370,'SegEnds_NonXtal_Prot#'!A:AL,10,FALSE)-VLOOKUP(A370,'SegEnds_NonXtal_Prot#'!A:AL,4,FALSE)</f>
        <v>26</v>
      </c>
      <c r="AC370" s="1">
        <f>VLOOKUP(A370,'SegEnds_NonXtal_Prot#'!A:AL,10,FALSE)-VLOOKUP(A370,'SegEnds_NonXtal_Prot#'!A:AL,7,FALSE)</f>
        <v>12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67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21</v>
      </c>
      <c r="AH370" s="1">
        <f>VLOOKUP(A370,'SegEnds_NonXtal_Prot#'!A:AL,28,FALSE)-VLOOKUP(A370,'SegEnds_NonXtal_Prot#'!A:AL,22,FALSE)</f>
        <v>46</v>
      </c>
      <c r="AI370" s="1">
        <f>VLOOKUP(A370,'SegEnds_NonXtal_Prot#'!A:AL,31,FALSE)-VLOOKUP(A370,'SegEnds_NonXtal_Prot#'!A:AL,28,FALSE)</f>
        <v>55</v>
      </c>
      <c r="AJ370" s="1">
        <f>VLOOKUP(A370,'SegEnds_NonXtal_Prot#'!A:AL,34,FALSE)-VLOOKUP(A370,'SegEnds_NonXtal_Prot#'!A:AL,31,FALSE)</f>
        <v>36</v>
      </c>
      <c r="AK370" s="1">
        <f>VLOOKUP(A370,'SegEnds_NonXtal_Prot#'!A:AL,37,FALSE)-VLOOKUP(A370,'SegEnds_NonXtal_Prot#'!A:AL,34,FALSE)</f>
        <v>11</v>
      </c>
      <c r="AL370" s="1" t="str">
        <f>IF(ISERROR(MATCH(A370,'SegEnds_Xtal_Prot#'!B:B, 0)), "NoXtal", "Xtal")</f>
        <v>Xtal</v>
      </c>
    </row>
    <row r="371" spans="1:38" x14ac:dyDescent="0.2">
      <c r="A371" s="1" t="s">
        <v>451</v>
      </c>
      <c r="B371" s="1" t="str">
        <f>VLOOKUP(A371,Xtal_Templ!A:B,2,FALSE)</f>
        <v>fzd4_human</v>
      </c>
      <c r="C371" s="5">
        <f>VLOOKUP($B371&amp;"__wt",'SegEnds_Xtal_BW#'!$A:$Z,3,FALSE)</f>
        <v>28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66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22</v>
      </c>
      <c r="L371" s="1">
        <f>VLOOKUP($B371&amp;"__wt",'SegEnds_Xtal_BW#'!$A:$Z,12,FALSE)</f>
        <v>55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41</v>
      </c>
      <c r="P371" s="1">
        <f>VLOOKUP($B371&amp;"__wt",'SegEnds_Xtal_BW#'!$A:$Z,16,FALSE)</f>
        <v>64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35</v>
      </c>
      <c r="T371" s="1">
        <f>VLOOKUP($B371&amp;"__wt",'SegEnds_Xtal_BW#'!$A:$Z,20,FALSE)</f>
        <v>72</v>
      </c>
      <c r="U371" s="1">
        <f>VLOOKUP($B371&amp;"__wt",'SegEnds_Xtal_BW#'!$A:$Z,21,FALSE)</f>
        <v>28</v>
      </c>
      <c r="V371" s="108">
        <v>78</v>
      </c>
      <c r="W371" s="1">
        <f>VLOOKUP($B371&amp;"__wt",'SegEnds_Xtal_BW#'!$A:$Z,23,FALSE)</f>
        <v>34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VLOOKUP(A371,'SegEnds_NonXtal_Prot#'!A:AL,10,FALSE)-VLOOKUP(A371,'SegEnds_NonXtal_Prot#'!A:AL,4,FALSE)</f>
        <v>26</v>
      </c>
      <c r="AC371" s="1">
        <f>VLOOKUP(A371,'SegEnds_NonXtal_Prot#'!A:AL,10,FALSE)-VLOOKUP(A371,'SegEnds_NonXtal_Prot#'!A:AL,7,FALSE)</f>
        <v>12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64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21</v>
      </c>
      <c r="AH371" s="1">
        <f>VLOOKUP(A371,'SegEnds_NonXtal_Prot#'!A:AL,28,FALSE)-VLOOKUP(A371,'SegEnds_NonXtal_Prot#'!A:AL,22,FALSE)</f>
        <v>46</v>
      </c>
      <c r="AI371" s="1">
        <f>VLOOKUP(A371,'SegEnds_NonXtal_Prot#'!A:AL,31,FALSE)-VLOOKUP(A371,'SegEnds_NonXtal_Prot#'!A:AL,28,FALSE)</f>
        <v>55</v>
      </c>
      <c r="AJ371" s="1">
        <f>VLOOKUP(A371,'SegEnds_NonXtal_Prot#'!A:AL,34,FALSE)-VLOOKUP(A371,'SegEnds_NonXtal_Prot#'!A:AL,31,FALSE)</f>
        <v>49</v>
      </c>
      <c r="AK371" s="1">
        <f>VLOOKUP(A371,'SegEnds_NonXtal_Prot#'!A:AL,37,FALSE)-VLOOKUP(A371,'SegEnds_NonXtal_Prot#'!A:AL,34,FALSE)</f>
        <v>11</v>
      </c>
      <c r="AL371" s="1" t="str">
        <f>IF(ISERROR(MATCH(A371,'SegEnds_Xtal_Prot#'!B:B, 0)), "NoXtal", "Xtal")</f>
        <v>NoXtal</v>
      </c>
    </row>
    <row r="372" spans="1:38" x14ac:dyDescent="0.2">
      <c r="A372" s="1" t="s">
        <v>454</v>
      </c>
      <c r="B372" s="1" t="str">
        <f>VLOOKUP(A372,Xtal_Templ!A:B,2,FALSE)</f>
        <v>fzd4_human</v>
      </c>
      <c r="C372" s="5">
        <f>VLOOKUP($B372&amp;"__wt",'SegEnds_Xtal_BW#'!$A:$Z,3,FALSE)</f>
        <v>28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66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22</v>
      </c>
      <c r="L372" s="1">
        <f>VLOOKUP($B372&amp;"__wt",'SegEnds_Xtal_BW#'!$A:$Z,12,FALSE)</f>
        <v>55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41</v>
      </c>
      <c r="P372" s="1">
        <f>VLOOKUP($B372&amp;"__wt",'SegEnds_Xtal_BW#'!$A:$Z,16,FALSE)</f>
        <v>64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72</v>
      </c>
      <c r="U372" s="1">
        <f>VLOOKUP($B372&amp;"__wt",'SegEnds_Xtal_BW#'!$A:$Z,21,FALSE)</f>
        <v>28</v>
      </c>
      <c r="V372" s="108">
        <v>78</v>
      </c>
      <c r="W372" s="1">
        <f>VLOOKUP($B372&amp;"__wt",'SegEnds_Xtal_BW#'!$A:$Z,23,FALSE)</f>
        <v>34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VLOOKUP(A372,'SegEnds_NonXtal_Prot#'!A:AL,10,FALSE)-VLOOKUP(A372,'SegEnds_NonXtal_Prot#'!A:AL,4,FALSE)</f>
        <v>26</v>
      </c>
      <c r="AC372" s="1">
        <f>VLOOKUP(A372,'SegEnds_NonXtal_Prot#'!A:AL,10,FALSE)-VLOOKUP(A372,'SegEnds_NonXtal_Prot#'!A:AL,7,FALSE)</f>
        <v>12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103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21</v>
      </c>
      <c r="AH372" s="1">
        <f>VLOOKUP(A372,'SegEnds_NonXtal_Prot#'!A:AL,28,FALSE)-VLOOKUP(A372,'SegEnds_NonXtal_Prot#'!A:AL,22,FALSE)</f>
        <v>46</v>
      </c>
      <c r="AI372" s="1">
        <f>VLOOKUP(A372,'SegEnds_NonXtal_Prot#'!A:AL,31,FALSE)-VLOOKUP(A372,'SegEnds_NonXtal_Prot#'!A:AL,28,FALSE)</f>
        <v>57</v>
      </c>
      <c r="AJ372" s="1">
        <f>VLOOKUP(A372,'SegEnds_NonXtal_Prot#'!A:AL,34,FALSE)-VLOOKUP(A372,'SegEnds_NonXtal_Prot#'!A:AL,31,FALSE)</f>
        <v>49</v>
      </c>
      <c r="AK372" s="1">
        <f>VLOOKUP(A372,'SegEnds_NonXtal_Prot#'!A:AL,37,FALSE)-VLOOKUP(A372,'SegEnds_NonXtal_Prot#'!A:AL,34,FALSE)</f>
        <v>11</v>
      </c>
      <c r="AL372" s="1" t="str">
        <f>IF(ISERROR(MATCH(A372,'SegEnds_Xtal_Prot#'!B:B, 0)), "NoXtal", "Xtal")</f>
        <v>NoXtal</v>
      </c>
    </row>
    <row r="373" spans="1:38" x14ac:dyDescent="0.2">
      <c r="A373" s="1" t="s">
        <v>448</v>
      </c>
      <c r="B373" s="1" t="str">
        <f>VLOOKUP(A373,Xtal_Templ!A:B,2,FALSE)</f>
        <v>fzd4_human</v>
      </c>
      <c r="C373" s="5">
        <f>VLOOKUP($B373&amp;"__wt",'SegEnds_Xtal_BW#'!$A:$Z,3,FALSE)</f>
        <v>28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66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22</v>
      </c>
      <c r="L373" s="1">
        <f>VLOOKUP($B373&amp;"__wt",'SegEnds_Xtal_BW#'!$A:$Z,12,FALSE)</f>
        <v>55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7">
        <f>VLOOKUP($B373&amp;"__wt",'SegEnds_Xtal_BW#'!$A:$Z,15,FALSE)</f>
        <v>41</v>
      </c>
      <c r="P373" s="1">
        <f>VLOOKUP($B373&amp;"__wt",'SegEnds_Xtal_BW#'!$A:$Z,16,FALSE)</f>
        <v>64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35</v>
      </c>
      <c r="T373" s="1">
        <f>VLOOKUP($B373&amp;"__wt",'SegEnds_Xtal_BW#'!$A:$Z,20,FALSE)</f>
        <v>72</v>
      </c>
      <c r="U373" s="1">
        <f>VLOOKUP($B373&amp;"__wt",'SegEnds_Xtal_BW#'!$A:$Z,21,FALSE)</f>
        <v>28</v>
      </c>
      <c r="V373" s="108">
        <v>78</v>
      </c>
      <c r="W373" s="1">
        <f>VLOOKUP($B373&amp;"__wt",'SegEnds_Xtal_BW#'!$A:$Z,23,FALSE)</f>
        <v>34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VLOOKUP(A373,'SegEnds_NonXtal_Prot#'!A:AL,10,FALSE)-VLOOKUP(A373,'SegEnds_NonXtal_Prot#'!A:AL,4,FALSE)</f>
        <v>26</v>
      </c>
      <c r="AC373" s="1">
        <f>VLOOKUP(A373,'SegEnds_NonXtal_Prot#'!A:AL,10,FALSE)-VLOOKUP(A373,'SegEnds_NonXtal_Prot#'!A:AL,7,FALSE)</f>
        <v>12</v>
      </c>
      <c r="AD373" s="1" t="e">
        <f>VLOOKUP(A373,'SegEnds_NonXtal_Prot#'!A:AL,13,FALSE)-VLOOKUP(A373,'SegEnds_NonXtal_Prot#'!A:AL,10,FALSE)</f>
        <v>#VALUE!</v>
      </c>
      <c r="AE373" s="1">
        <f>VLOOKUP(A373,'SegEnds_NonXtal_Prot#'!A:AL,16,FALSE)-VLOOKUP(A373,'SegEnds_NonXtal_Prot#'!A:AL,10,FALSE)</f>
        <v>67</v>
      </c>
      <c r="AF373" s="1" t="e">
        <f>VLOOKUP(A373,'SegEnds_NonXtal_Prot#'!A:AL,22,FALSE)-VLOOKUP(A373,'SegEnds_NonXtal_Prot#'!A:AL,19,FALSE)</f>
        <v>#VALUE!</v>
      </c>
      <c r="AG373" s="1">
        <f>VLOOKUP(A373,'SegEnds_NonXtal_Prot#'!A:AL,28,FALSE)-VLOOKUP(A373,'SegEnds_NonXtal_Prot#'!A:AL,25,FALSE)</f>
        <v>21</v>
      </c>
      <c r="AH373" s="1">
        <f>VLOOKUP(A373,'SegEnds_NonXtal_Prot#'!A:AL,28,FALSE)-VLOOKUP(A373,'SegEnds_NonXtal_Prot#'!A:AL,22,FALSE)</f>
        <v>46</v>
      </c>
      <c r="AI373" s="1">
        <f>VLOOKUP(A373,'SegEnds_NonXtal_Prot#'!A:AL,31,FALSE)-VLOOKUP(A373,'SegEnds_NonXtal_Prot#'!A:AL,28,FALSE)</f>
        <v>55</v>
      </c>
      <c r="AJ373" s="1">
        <f>VLOOKUP(A373,'SegEnds_NonXtal_Prot#'!A:AL,34,FALSE)-VLOOKUP(A373,'SegEnds_NonXtal_Prot#'!A:AL,31,FALSE)</f>
        <v>55</v>
      </c>
      <c r="AK373" s="1">
        <f>VLOOKUP(A373,'SegEnds_NonXtal_Prot#'!A:AL,37,FALSE)-VLOOKUP(A373,'SegEnds_NonXtal_Prot#'!A:AL,34,FALSE)</f>
        <v>11</v>
      </c>
      <c r="AL373" s="1" t="str">
        <f>IF(ISERROR(MATCH(A373,'SegEnds_Xtal_Prot#'!B:B, 0)), "NoXtal", "Xtal")</f>
        <v>NoXtal</v>
      </c>
    </row>
    <row r="374" spans="1:38" x14ac:dyDescent="0.2">
      <c r="A374" s="1" t="s">
        <v>449</v>
      </c>
      <c r="B374" s="1" t="str">
        <f>VLOOKUP(A374,Xtal_Templ!A:B,2,FALSE)</f>
        <v>fzd4_human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66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22</v>
      </c>
      <c r="L374" s="1">
        <f>VLOOKUP($B374&amp;"__wt",'SegEnds_Xtal_BW#'!$A:$Z,12,FALSE)</f>
        <v>55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41</v>
      </c>
      <c r="P374" s="1">
        <f>VLOOKUP($B374&amp;"__wt",'SegEnds_Xtal_BW#'!$A:$Z,16,FALSE)</f>
        <v>64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28</v>
      </c>
      <c r="V374" s="108">
        <v>78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VLOOKUP(A374,'SegEnds_NonXtal_Prot#'!A:AL,10,FALSE)-VLOOKUP(A374,'SegEnds_NonXtal_Prot#'!A:AL,4,FALSE)</f>
        <v>26</v>
      </c>
      <c r="AC374" s="1">
        <f>VLOOKUP(A374,'SegEnds_NonXtal_Prot#'!A:AL,10,FALSE)-VLOOKUP(A374,'SegEnds_NonXtal_Prot#'!A:AL,7,FALSE)</f>
        <v>12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68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21</v>
      </c>
      <c r="AH374" s="1">
        <f>VLOOKUP(A374,'SegEnds_NonXtal_Prot#'!A:AL,28,FALSE)-VLOOKUP(A374,'SegEnds_NonXtal_Prot#'!A:AL,22,FALSE)</f>
        <v>46</v>
      </c>
      <c r="AI374" s="1">
        <f>VLOOKUP(A374,'SegEnds_NonXtal_Prot#'!A:AL,31,FALSE)-VLOOKUP(A374,'SegEnds_NonXtal_Prot#'!A:AL,28,FALSE)</f>
        <v>55</v>
      </c>
      <c r="AJ374" s="1">
        <f>VLOOKUP(A374,'SegEnds_NonXtal_Prot#'!A:AL,34,FALSE)-VLOOKUP(A374,'SegEnds_NonXtal_Prot#'!A:AL,31,FALSE)</f>
        <v>55</v>
      </c>
      <c r="AK374" s="1">
        <f>VLOOKUP(A374,'SegEnds_NonXtal_Prot#'!A:AL,37,FALSE)-VLOOKUP(A374,'SegEnds_NonXtal_Prot#'!A:AL,34,FALSE)</f>
        <v>11</v>
      </c>
      <c r="AL374" s="1" t="str">
        <f>IF(ISERROR(MATCH(A374,'SegEnds_Xtal_Prot#'!B:B, 0)), "NoXtal", "Xtal")</f>
        <v>NoXtal</v>
      </c>
    </row>
    <row r="375" spans="1:38" x14ac:dyDescent="0.2">
      <c r="A375" s="1" t="s">
        <v>452</v>
      </c>
      <c r="B375" s="1" t="str">
        <f>VLOOKUP(A375,Xtal_Templ!A:B,2,FALSE)</f>
        <v>fzd4_human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66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22</v>
      </c>
      <c r="L375" s="1">
        <f>VLOOKUP($B375&amp;"__wt",'SegEnds_Xtal_BW#'!$A:$Z,12,FALSE)</f>
        <v>55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41</v>
      </c>
      <c r="P375" s="1">
        <f>VLOOKUP($B375&amp;"__wt",'SegEnds_Xtal_BW#'!$A:$Z,16,FALSE)</f>
        <v>64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28</v>
      </c>
      <c r="V375" s="108">
        <v>78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68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55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453</v>
      </c>
      <c r="B376" s="1" t="str">
        <f>VLOOKUP(A376,Xtal_Templ!A:B,2,FALSE)</f>
        <v>fzd4_human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66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22</v>
      </c>
      <c r="L376" s="1">
        <f>VLOOKUP($B376&amp;"__wt",'SegEnds_Xtal_BW#'!$A:$Z,12,FALSE)</f>
        <v>55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41</v>
      </c>
      <c r="P376" s="1">
        <f>VLOOKUP($B376&amp;"__wt",'SegEnds_Xtal_BW#'!$A:$Z,16,FALSE)</f>
        <v>64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28</v>
      </c>
      <c r="V376" s="108"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67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55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447</v>
      </c>
      <c r="B377" s="1" t="str">
        <f>VLOOKUP(A377,Xtal_Templ!A:B,2,FALSE)</f>
        <v>fzd4_human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66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22</v>
      </c>
      <c r="L377" s="1">
        <f>VLOOKUP($B377&amp;"__wt",'SegEnds_Xtal_BW#'!$A:$Z,12,FALSE)</f>
        <v>55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41</v>
      </c>
      <c r="P377" s="1">
        <f>VLOOKUP($B377&amp;"__wt",'SegEnds_Xtal_BW#'!$A:$Z,16,FALSE)</f>
        <v>64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28</v>
      </c>
      <c r="V377" s="108"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66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56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455</v>
      </c>
      <c r="B378" s="1" t="str">
        <f>VLOOKUP(A378,Xtal_Templ!A:B,2,FALSE)</f>
        <v>fzd4_human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66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22</v>
      </c>
      <c r="L378" s="1">
        <f>VLOOKUP($B378&amp;"__wt",'SegEnds_Xtal_BW#'!$A:$Z,12,FALSE)</f>
        <v>55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41</v>
      </c>
      <c r="P378" s="1">
        <f>VLOOKUP($B378&amp;"__wt",'SegEnds_Xtal_BW#'!$A:$Z,16,FALSE)</f>
        <v>64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28</v>
      </c>
      <c r="V378" s="108">
        <v>78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66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55</v>
      </c>
      <c r="AJ378" s="1">
        <f>VLOOKUP(A378,'SegEnds_NonXtal_Prot#'!A:AL,34,FALSE)-VLOOKUP(A378,'SegEnds_NonXtal_Prot#'!A:AL,31,FALSE)</f>
        <v>58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NoXtal</v>
      </c>
    </row>
    <row r="379" spans="1:38" x14ac:dyDescent="0.2">
      <c r="A379" s="1" t="s">
        <v>446</v>
      </c>
      <c r="B379" s="1" t="str">
        <f>VLOOKUP(A379,Xtal_Templ!A:B,2,FALSE)</f>
        <v>fzd4_human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66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22</v>
      </c>
      <c r="L379" s="1">
        <f>VLOOKUP($B379&amp;"__wt",'SegEnds_Xtal_BW#'!$A:$Z,12,FALSE)</f>
        <v>55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41</v>
      </c>
      <c r="P379" s="1">
        <f>VLOOKUP($B379&amp;"__wt",'SegEnds_Xtal_BW#'!$A:$Z,16,FALSE)</f>
        <v>64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28</v>
      </c>
      <c r="V379" s="108"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67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55</v>
      </c>
      <c r="AJ379" s="1">
        <f>VLOOKUP(A379,'SegEnds_NonXtal_Prot#'!A:AL,34,FALSE)-VLOOKUP(A379,'SegEnds_NonXtal_Prot#'!A:AL,31,FALSE)</f>
        <v>62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22" t="s">
        <v>1496</v>
      </c>
      <c r="B380" s="1" t="str">
        <f>VLOOKUP(A380,Xtal_Templ!A:B,2,FALSE)</f>
        <v>q98sw5_xenla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40</v>
      </c>
      <c r="H380" s="12">
        <f>VLOOKUP($B380&amp;"__wt",'SegEnds_Xtal_BW#'!$A:$Z,8,FALSE)</f>
        <v>61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23</v>
      </c>
      <c r="L380" s="1">
        <f>VLOOKUP($B380&amp;"__wt",'SegEnds_Xtal_BW#'!$A:$Z,12,FALSE)</f>
        <v>59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38</v>
      </c>
      <c r="P380" s="1">
        <f>VLOOKUP($B380&amp;"__wt",'SegEnds_Xtal_BW#'!$A:$Z,16,FALSE)</f>
        <v>63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24</v>
      </c>
      <c r="V380" s="1">
        <f>VLOOKUP($B380&amp;"__wt",'SegEnds_Xtal_BW#'!$A:$Z,22,FALSE)</f>
        <v>81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27</v>
      </c>
      <c r="AC380" s="1">
        <f>VLOOKUP(A380,'SegEnds_NonXtal_Prot#'!A:AL,10,FALSE)-VLOOKUP(A380,'SegEnds_NonXtal_Prot#'!A:AL,7,FALSE)</f>
        <v>13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67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57</v>
      </c>
      <c r="AJ380" s="1">
        <f>VLOOKUP(A380,'SegEnds_NonXtal_Prot#'!A:AL,34,FALSE)-VLOOKUP(A380,'SegEnds_NonXtal_Prot#'!A:AL,31,FALSE)</f>
        <v>62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Xtal</v>
      </c>
    </row>
    <row r="381" spans="1:38" x14ac:dyDescent="0.2">
      <c r="A381" s="1" t="s">
        <v>33</v>
      </c>
      <c r="B381" s="1" t="str">
        <f>VLOOKUP(A381,Xtal_Templ!A:B,2,FALSE)</f>
        <v>smo_human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40</v>
      </c>
      <c r="H381" s="12">
        <f>VLOOKUP($B381&amp;"__wt",'SegEnds_Xtal_BW#'!$A:$Z,8,FALSE)</f>
        <v>63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23</v>
      </c>
      <c r="L381" s="1">
        <f>VLOOKUP($B381&amp;"__wt",'SegEnds_Xtal_BW#'!$A:$Z,12,FALSE)</f>
        <v>56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41</v>
      </c>
      <c r="P381" s="1">
        <f>VLOOKUP($B381&amp;"__wt",'SegEnds_Xtal_BW#'!$A:$Z,16,FALSE)</f>
        <v>63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24</v>
      </c>
      <c r="V381" s="1">
        <f>VLOOKUP($B381&amp;"__wt",'SegEnds_Xtal_BW#'!$A:$Z,22,FALSE)</f>
        <v>78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27</v>
      </c>
      <c r="AC381" s="1">
        <f>VLOOKUP(A381,'SegEnds_NonXtal_Prot#'!A:AL,10,FALSE)-VLOOKUP(A381,'SegEnds_NonXtal_Prot#'!A:AL,7,FALSE)</f>
        <v>13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57</v>
      </c>
      <c r="AJ381" s="1">
        <f>VLOOKUP(A381,'SegEnds_NonXtal_Prot#'!A:AL,34,FALSE)-VLOOKUP(A381,'SegEnds_NonXtal_Prot#'!A:AL,31,FALSE)</f>
        <v>62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Xtal</v>
      </c>
    </row>
    <row r="382" spans="1:38" x14ac:dyDescent="0.2">
      <c r="A382" s="1" t="s">
        <v>481</v>
      </c>
      <c r="B382" s="1" t="str">
        <f>VLOOKUP(A382,Xtal_Templ!A:B,2,FALSE)</f>
        <v>agtr1_human</v>
      </c>
      <c r="C382" s="5">
        <f>VLOOKUP($B382&amp;"__wt",'SegEnds_Xtal_BW#'!$A:$Z,3,FALSE)</f>
        <v>28</v>
      </c>
      <c r="D382" s="1">
        <v>60</v>
      </c>
      <c r="E382" s="1" t="s">
        <v>23</v>
      </c>
      <c r="F382" s="1" t="s">
        <v>23</v>
      </c>
      <c r="G382" s="1">
        <v>39</v>
      </c>
      <c r="H382" s="12">
        <v>63</v>
      </c>
      <c r="I382" s="1" t="s">
        <v>23</v>
      </c>
      <c r="J382" s="1" t="s">
        <v>23</v>
      </c>
      <c r="K382" s="12">
        <v>23</v>
      </c>
      <c r="L382" s="1">
        <v>56</v>
      </c>
      <c r="M382" s="1" t="s">
        <v>23</v>
      </c>
      <c r="N382" s="12" t="s">
        <v>23</v>
      </c>
      <c r="O382" s="87">
        <v>40</v>
      </c>
      <c r="P382" s="1">
        <f>VLOOKUP($B382&amp;"__wt",'SegEnds_Xtal_BW#'!$A:$Z,16,FALSE)</f>
        <v>64</v>
      </c>
      <c r="Q382" s="1" t="s">
        <v>23</v>
      </c>
      <c r="R382" s="1" t="s">
        <v>23</v>
      </c>
      <c r="S382" s="1">
        <v>39</v>
      </c>
      <c r="T382" s="1">
        <v>61</v>
      </c>
      <c r="U382" s="1">
        <v>29</v>
      </c>
      <c r="V382" s="1">
        <v>53</v>
      </c>
      <c r="W382" s="1">
        <v>35</v>
      </c>
      <c r="X382" s="1">
        <v>56</v>
      </c>
      <c r="Y382" s="1">
        <v>47</v>
      </c>
      <c r="Z382" s="1">
        <v>57</v>
      </c>
      <c r="AA382" s="27" t="str">
        <f>VLOOKUP(A382,Classification!A:B,2,FALSE)</f>
        <v>O</v>
      </c>
      <c r="AB382" s="1">
        <f>VLOOKUP(A382,'SegEnds_NonXtal_Prot#'!A:AL,10,FALSE)-VLOOKUP(A382,'SegEnds_NonXtal_Prot#'!A:AL,4,FALSE)</f>
        <v>18</v>
      </c>
      <c r="AC382" s="1" t="e">
        <f>VLOOKUP(A382,'SegEnds_NonXtal_Prot#'!A:AL,10,FALSE)-VLOOKUP(A382,'SegEnds_NonXtal_Prot#'!A:AL,7,FALSE)</f>
        <v>#VALUE!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81</v>
      </c>
      <c r="AF382" s="1" t="e">
        <f>VLOOKUP(A382,'SegEnds_NonXtal_Prot#'!A:AL,22,FALSE)-VLOOKUP(A382,'SegEnds_NonXtal_Prot#'!A:AL,19,FALSE)</f>
        <v>#VALUE!</v>
      </c>
      <c r="AG382" s="1" t="e">
        <f>VLOOKUP(A382,'SegEnds_NonXtal_Prot#'!A:AL,28,FALSE)-VLOOKUP(A382,'SegEnds_NonXtal_Prot#'!A:AL,25,FALSE)</f>
        <v>#VALUE!</v>
      </c>
      <c r="AH382" s="1">
        <f>VLOOKUP(A382,'SegEnds_NonXtal_Prot#'!A:AL,28,FALSE)-VLOOKUP(A382,'SegEnds_NonXtal_Prot#'!A:AL,22,FALSE)</f>
        <v>83</v>
      </c>
      <c r="AI382" s="1">
        <f>VLOOKUP(A382,'SegEnds_NonXtal_Prot#'!A:AL,31,FALSE)-VLOOKUP(A382,'SegEnds_NonXtal_Prot#'!A:AL,28,FALSE)</f>
        <v>79</v>
      </c>
      <c r="AJ382" s="1">
        <f>VLOOKUP(A382,'SegEnds_NonXtal_Prot#'!A:AL,34,FALSE)-VLOOKUP(A382,'SegEnds_NonXtal_Prot#'!A:AL,31,FALSE)</f>
        <v>33</v>
      </c>
      <c r="AK382" s="1">
        <f>VLOOKUP(A382,'SegEnds_NonXtal_Prot#'!A:AL,37,FALSE)-VLOOKUP(A382,'SegEnds_NonXtal_Prot#'!A:AL,34,FALSE)</f>
        <v>10</v>
      </c>
      <c r="AL382" s="1" t="str">
        <f>IF(ISERROR(MATCH(A382,'SegEnds_Xtal_Prot#'!B:B, 0)), "NoXtal", "Xtal")</f>
        <v>NoXtal</v>
      </c>
    </row>
    <row r="383" spans="1:38" x14ac:dyDescent="0.2">
      <c r="A383" s="1" t="s">
        <v>484</v>
      </c>
      <c r="B383" s="1" t="str">
        <f>VLOOKUP(A383,Xtal_Templ!A:B,2,FALSE)</f>
        <v>pe2r4_human</v>
      </c>
      <c r="C383" s="5">
        <f>VLOOKUP($B383&amp;"__wt",'SegEnds_Xtal_BW#'!$A:$Z,3,FALSE)</f>
        <v>33</v>
      </c>
      <c r="D383" s="1">
        <v>60</v>
      </c>
      <c r="E383" s="1" t="s">
        <v>23</v>
      </c>
      <c r="F383" s="1" t="s">
        <v>23</v>
      </c>
      <c r="G383" s="1">
        <v>39</v>
      </c>
      <c r="H383" s="12">
        <v>63</v>
      </c>
      <c r="I383" s="1" t="s">
        <v>23</v>
      </c>
      <c r="J383" s="1" t="s">
        <v>23</v>
      </c>
      <c r="K383" s="12">
        <v>23</v>
      </c>
      <c r="L383" s="1">
        <v>56</v>
      </c>
      <c r="M383" s="1" t="s">
        <v>23</v>
      </c>
      <c r="N383" s="12" t="s">
        <v>23</v>
      </c>
      <c r="O383" s="87">
        <v>40</v>
      </c>
      <c r="P383" s="108">
        <v>61</v>
      </c>
      <c r="Q383" s="1" t="s">
        <v>23</v>
      </c>
      <c r="R383" s="1" t="s">
        <v>23</v>
      </c>
      <c r="S383" s="108">
        <v>40</v>
      </c>
      <c r="T383" s="1">
        <v>61</v>
      </c>
      <c r="U383" s="1">
        <v>29</v>
      </c>
      <c r="V383" s="1">
        <v>53</v>
      </c>
      <c r="W383" s="1">
        <v>35</v>
      </c>
      <c r="X383" s="1">
        <v>56</v>
      </c>
      <c r="Y383" s="1">
        <v>47</v>
      </c>
      <c r="Z383" s="1">
        <v>57</v>
      </c>
      <c r="AA383" s="27" t="str">
        <f>VLOOKUP(A383,Classification!A:B,2,FALSE)</f>
        <v>O</v>
      </c>
      <c r="AB383" s="1">
        <f>VLOOKUP(A383,'SegEnds_NonXtal_Prot#'!A:AL,10,FALSE)-VLOOKUP(A383,'SegEnds_NonXtal_Prot#'!A:AL,4,FALSE)</f>
        <v>32</v>
      </c>
      <c r="AC383" s="1" t="e">
        <f>VLOOKUP(A383,'SegEnds_NonXtal_Prot#'!A:AL,10,FALSE)-VLOOKUP(A383,'SegEnds_NonXtal_Prot#'!A:AL,7,FALSE)</f>
        <v>#VALUE!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45</v>
      </c>
      <c r="AF383" s="1" t="e">
        <f>VLOOKUP(A383,'SegEnds_NonXtal_Prot#'!A:AL,22,FALSE)-VLOOKUP(A383,'SegEnds_NonXtal_Prot#'!A:AL,19,FALSE)</f>
        <v>#VALUE!</v>
      </c>
      <c r="AG383" s="1" t="e">
        <f>VLOOKUP(A383,'SegEnds_NonXtal_Prot#'!A:AL,28,FALSE)-VLOOKUP(A383,'SegEnds_NonXtal_Prot#'!A:AL,25,FALSE)</f>
        <v>#VALUE!</v>
      </c>
      <c r="AH383" s="1">
        <f>VLOOKUP(A383,'SegEnds_NonXtal_Prot#'!A:AL,28,FALSE)-VLOOKUP(A383,'SegEnds_NonXtal_Prot#'!A:AL,22,FALSE)</f>
        <v>25</v>
      </c>
      <c r="AI383" s="1">
        <f>VLOOKUP(A383,'SegEnds_NonXtal_Prot#'!A:AL,31,FALSE)-VLOOKUP(A383,'SegEnds_NonXtal_Prot#'!A:AL,28,FALSE)</f>
        <v>76</v>
      </c>
      <c r="AJ383" s="1">
        <f>VLOOKUP(A383,'SegEnds_NonXtal_Prot#'!A:AL,34,FALSE)-VLOOKUP(A383,'SegEnds_NonXtal_Prot#'!A:AL,31,FALSE)</f>
        <v>36</v>
      </c>
      <c r="AK383" s="1">
        <f>VLOOKUP(A383,'SegEnds_NonXtal_Prot#'!A:AL,37,FALSE)-VLOOKUP(A383,'SegEnds_NonXtal_Prot#'!A:AL,34,FALSE)</f>
        <v>24</v>
      </c>
      <c r="AL383" s="1" t="str">
        <f>IF(ISERROR(MATCH(A383,'SegEnds_Xtal_Prot#'!B:B, 0)), "NoXtal", "Xtal")</f>
        <v>NoXtal</v>
      </c>
    </row>
    <row r="384" spans="1:38" x14ac:dyDescent="0.2">
      <c r="A384" s="1" t="s">
        <v>482</v>
      </c>
      <c r="B384" s="1" t="str">
        <f>VLOOKUP(A384,Xtal_Templ!A:B,2,FALSE)</f>
        <v>ccr9_human</v>
      </c>
      <c r="C384" s="5">
        <f>VLOOKUP($B384&amp;"__wt",'SegEnds_Xtal_BW#'!$A:$Z,3,FALSE)</f>
        <v>27</v>
      </c>
      <c r="D384" s="1">
        <v>60</v>
      </c>
      <c r="E384" s="1" t="s">
        <v>23</v>
      </c>
      <c r="F384" s="1" t="s">
        <v>23</v>
      </c>
      <c r="G384" s="1">
        <v>39</v>
      </c>
      <c r="H384" s="12">
        <v>63</v>
      </c>
      <c r="I384" s="1" t="s">
        <v>23</v>
      </c>
      <c r="J384" s="1" t="s">
        <v>23</v>
      </c>
      <c r="K384" s="12">
        <v>23</v>
      </c>
      <c r="L384" s="1">
        <v>56</v>
      </c>
      <c r="M384" s="1" t="s">
        <v>23</v>
      </c>
      <c r="N384" s="12" t="s">
        <v>23</v>
      </c>
      <c r="O384" s="87">
        <v>40</v>
      </c>
      <c r="P384" s="1">
        <v>64</v>
      </c>
      <c r="Q384" s="1" t="s">
        <v>23</v>
      </c>
      <c r="R384" s="1" t="s">
        <v>23</v>
      </c>
      <c r="S384" s="1">
        <v>39</v>
      </c>
      <c r="T384" s="1">
        <v>61</v>
      </c>
      <c r="U384" s="1">
        <v>29</v>
      </c>
      <c r="V384" s="1">
        <v>53</v>
      </c>
      <c r="W384" s="1">
        <v>35</v>
      </c>
      <c r="X384" s="1">
        <v>56</v>
      </c>
      <c r="Y384" s="1">
        <v>47</v>
      </c>
      <c r="Z384" s="1">
        <v>57</v>
      </c>
      <c r="AA384" s="27" t="str">
        <f>VLOOKUP(A384,Classification!A:B,2,FALSE)</f>
        <v>O</v>
      </c>
      <c r="AB384" s="1">
        <f>VLOOKUP(A384,'SegEnds_NonXtal_Prot#'!A:AL,10,FALSE)-VLOOKUP(A384,'SegEnds_NonXtal_Prot#'!A:AL,4,FALSE)</f>
        <v>49</v>
      </c>
      <c r="AC384" s="1" t="e">
        <f>VLOOKUP(A384,'SegEnds_NonXtal_Prot#'!A:AL,10,FALSE)-VLOOKUP(A384,'SegEnds_NonXtal_Prot#'!A:AL,7,FALSE)</f>
        <v>#VALUE!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74</v>
      </c>
      <c r="AF384" s="1" t="e">
        <f>VLOOKUP(A384,'SegEnds_NonXtal_Prot#'!A:AL,22,FALSE)-VLOOKUP(A384,'SegEnds_NonXtal_Prot#'!A:AL,19,FALSE)</f>
        <v>#VALUE!</v>
      </c>
      <c r="AG384" s="1" t="e">
        <f>VLOOKUP(A384,'SegEnds_NonXtal_Prot#'!A:AL,28,FALSE)-VLOOKUP(A384,'SegEnds_NonXtal_Prot#'!A:AL,25,FALSE)</f>
        <v>#VALUE!</v>
      </c>
      <c r="AH384" s="1">
        <f>VLOOKUP(A384,'SegEnds_NonXtal_Prot#'!A:AL,28,FALSE)-VLOOKUP(A384,'SegEnds_NonXtal_Prot#'!A:AL,22,FALSE)</f>
        <v>81</v>
      </c>
      <c r="AI384" s="1">
        <f>VLOOKUP(A384,'SegEnds_NonXtal_Prot#'!A:AL,31,FALSE)-VLOOKUP(A384,'SegEnds_NonXtal_Prot#'!A:AL,28,FALSE)</f>
        <v>37</v>
      </c>
      <c r="AJ384" s="1">
        <f>VLOOKUP(A384,'SegEnds_NonXtal_Prot#'!A:AL,34,FALSE)-VLOOKUP(A384,'SegEnds_NonXtal_Prot#'!A:AL,31,FALSE)</f>
        <v>44</v>
      </c>
      <c r="AK384" s="1">
        <f>VLOOKUP(A384,'SegEnds_NonXtal_Prot#'!A:AL,37,FALSE)-VLOOKUP(A384,'SegEnds_NonXtal_Prot#'!A:AL,34,FALSE)</f>
        <v>11</v>
      </c>
      <c r="AL384" s="1" t="str">
        <f>IF(ISERROR(MATCH(A384,'SegEnds_Xtal_Prot#'!B:B, 0)), "NoXtal", "Xtal")</f>
        <v>NoXtal</v>
      </c>
    </row>
    <row r="385" spans="1:38" x14ac:dyDescent="0.2">
      <c r="A385" s="1" t="s">
        <v>486</v>
      </c>
      <c r="B385" s="1" t="str">
        <f>VLOOKUP(A385,Xtal_Templ!A:B,2,FALSE)</f>
        <v>5ht2c_human</v>
      </c>
      <c r="C385" s="5">
        <f>VLOOKUP($B385&amp;"__wt",'SegEnds_Xtal_BW#'!$A:$Z,3,FALSE)</f>
        <v>33</v>
      </c>
      <c r="D385" s="1">
        <v>60</v>
      </c>
      <c r="E385" s="1" t="s">
        <v>23</v>
      </c>
      <c r="F385" s="1" t="s">
        <v>23</v>
      </c>
      <c r="G385" s="1">
        <v>39</v>
      </c>
      <c r="H385" s="12">
        <v>63</v>
      </c>
      <c r="I385" s="1" t="s">
        <v>23</v>
      </c>
      <c r="J385" s="1" t="s">
        <v>23</v>
      </c>
      <c r="K385" s="12">
        <v>23</v>
      </c>
      <c r="L385" s="1">
        <v>56</v>
      </c>
      <c r="M385" s="1" t="s">
        <v>23</v>
      </c>
      <c r="N385" s="12" t="s">
        <v>23</v>
      </c>
      <c r="O385" s="87">
        <v>40</v>
      </c>
      <c r="P385" s="1">
        <v>64</v>
      </c>
      <c r="Q385" s="1" t="s">
        <v>23</v>
      </c>
      <c r="R385" s="1" t="s">
        <v>23</v>
      </c>
      <c r="S385" s="1">
        <v>39</v>
      </c>
      <c r="T385" s="1">
        <v>61</v>
      </c>
      <c r="U385" s="1">
        <v>29</v>
      </c>
      <c r="V385" s="1">
        <v>53</v>
      </c>
      <c r="W385" s="1">
        <v>35</v>
      </c>
      <c r="X385" s="1">
        <v>56</v>
      </c>
      <c r="Y385" s="1">
        <v>47</v>
      </c>
      <c r="Z385" s="1">
        <v>57</v>
      </c>
      <c r="AA385" s="27" t="str">
        <f>VLOOKUP(A385,Classification!A:B,2,FALSE)</f>
        <v>O</v>
      </c>
      <c r="AB385" s="1">
        <f>VLOOKUP(A385,'SegEnds_NonXtal_Prot#'!A:AL,10,FALSE)-VLOOKUP(A385,'SegEnds_NonXtal_Prot#'!A:AL,4,FALSE)</f>
        <v>28</v>
      </c>
      <c r="AC385" s="1" t="e">
        <f>VLOOKUP(A385,'SegEnds_NonXtal_Prot#'!A:AL,10,FALSE)-VLOOKUP(A385,'SegEnds_NonXtal_Prot#'!A:AL,7,FALSE)</f>
        <v>#VALUE!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47</v>
      </c>
      <c r="AF385" s="1" t="e">
        <f>VLOOKUP(A385,'SegEnds_NonXtal_Prot#'!A:AL,22,FALSE)-VLOOKUP(A385,'SegEnds_NonXtal_Prot#'!A:AL,19,FALSE)</f>
        <v>#VALUE!</v>
      </c>
      <c r="AG385" s="1" t="e">
        <f>VLOOKUP(A385,'SegEnds_NonXtal_Prot#'!A:AL,28,FALSE)-VLOOKUP(A385,'SegEnds_NonXtal_Prot#'!A:AL,25,FALSE)</f>
        <v>#VALUE!</v>
      </c>
      <c r="AH385" s="1">
        <f>VLOOKUP(A385,'SegEnds_NonXtal_Prot#'!A:AL,28,FALSE)-VLOOKUP(A385,'SegEnds_NonXtal_Prot#'!A:AL,22,FALSE)</f>
        <v>29</v>
      </c>
      <c r="AI385" s="1">
        <f>VLOOKUP(A385,'SegEnds_NonXtal_Prot#'!A:AL,31,FALSE)-VLOOKUP(A385,'SegEnds_NonXtal_Prot#'!A:AL,28,FALSE)</f>
        <v>67</v>
      </c>
      <c r="AJ385" s="1">
        <f>VLOOKUP(A385,'SegEnds_NonXtal_Prot#'!A:AL,34,FALSE)-VLOOKUP(A385,'SegEnds_NonXtal_Prot#'!A:AL,31,FALSE)</f>
        <v>45</v>
      </c>
      <c r="AK385" s="1">
        <f>VLOOKUP(A385,'SegEnds_NonXtal_Prot#'!A:AL,37,FALSE)-VLOOKUP(A385,'SegEnds_NonXtal_Prot#'!A:AL,34,FALSE)</f>
        <v>18</v>
      </c>
      <c r="AL385" s="1" t="str">
        <f>IF(ISERROR(MATCH(A385,'SegEnds_Xtal_Prot#'!B:B, 0)), "NoXtal", "Xtal")</f>
        <v>NoXtal</v>
      </c>
    </row>
    <row r="386" spans="1:38" x14ac:dyDescent="0.2">
      <c r="A386" s="4" t="s">
        <v>485</v>
      </c>
      <c r="B386" s="4" t="str">
        <f>VLOOKUP(A386,Xtal_Templ!A:B,2,FALSE)</f>
        <v>aa2ar_human</v>
      </c>
      <c r="C386" s="5">
        <f>VLOOKUP($B386&amp;"__wt",'SegEnds_Xtal_BW#'!$A:$Z,3,FALSE)</f>
        <v>27</v>
      </c>
      <c r="D386" s="4">
        <v>60</v>
      </c>
      <c r="E386" s="4" t="s">
        <v>23</v>
      </c>
      <c r="F386" s="4" t="s">
        <v>23</v>
      </c>
      <c r="G386" s="4">
        <v>39</v>
      </c>
      <c r="H386" s="11">
        <v>63</v>
      </c>
      <c r="I386" s="4" t="s">
        <v>23</v>
      </c>
      <c r="J386" s="4" t="s">
        <v>23</v>
      </c>
      <c r="K386" s="11">
        <v>23</v>
      </c>
      <c r="L386" s="4">
        <v>56</v>
      </c>
      <c r="M386" s="4" t="s">
        <v>23</v>
      </c>
      <c r="N386" s="11" t="s">
        <v>23</v>
      </c>
      <c r="O386" s="88">
        <v>40</v>
      </c>
      <c r="P386" s="4">
        <v>64</v>
      </c>
      <c r="Q386" s="4" t="s">
        <v>23</v>
      </c>
      <c r="R386" s="4" t="s">
        <v>23</v>
      </c>
      <c r="S386" s="4">
        <v>39</v>
      </c>
      <c r="T386" s="4">
        <v>61</v>
      </c>
      <c r="U386" s="4">
        <v>29</v>
      </c>
      <c r="V386" s="4">
        <v>53</v>
      </c>
      <c r="W386" s="4">
        <v>35</v>
      </c>
      <c r="X386" s="4">
        <v>56</v>
      </c>
      <c r="Y386" s="4">
        <v>47</v>
      </c>
      <c r="Z386" s="4">
        <v>57</v>
      </c>
      <c r="AA386" s="27" t="str">
        <f>VLOOKUP(A386,Classification!A:B,2,FALSE)</f>
        <v>O</v>
      </c>
      <c r="AB386" s="1">
        <f>VLOOKUP(A386,'SegEnds_NonXtal_Prot#'!A:AL,10,FALSE)-VLOOKUP(A386,'SegEnds_NonXtal_Prot#'!A:AL,4,FALSE)</f>
        <v>36</v>
      </c>
      <c r="AC386" s="4" t="e">
        <f>VLOOKUP(A386,'SegEnds_NonXtal_Prot#'!A:AL,10,FALSE)-VLOOKUP(A386,'SegEnds_NonXtal_Prot#'!A:AL,7,FALSE)</f>
        <v>#VALUE!</v>
      </c>
      <c r="AD386" s="4" t="e">
        <f>VLOOKUP(A386,'SegEnds_NonXtal_Prot#'!A:AL,13,FALSE)-VLOOKUP(A386,'SegEnds_NonXtal_Prot#'!A:AL,10,FALSE)</f>
        <v>#VALUE!</v>
      </c>
      <c r="AE386" s="4">
        <f>VLOOKUP(A386,'SegEnds_NonXtal_Prot#'!A:AL,16,FALSE)-VLOOKUP(A386,'SegEnds_NonXtal_Prot#'!A:AL,10,FALSE)</f>
        <v>63</v>
      </c>
      <c r="AF386" s="1" t="e">
        <f>VLOOKUP(A386,'SegEnds_NonXtal_Prot#'!A:AL,22,FALSE)-VLOOKUP(A386,'SegEnds_NonXtal_Prot#'!A:AL,19,FALSE)</f>
        <v>#VALUE!</v>
      </c>
      <c r="AG386" s="4" t="e">
        <f>VLOOKUP(A386,'SegEnds_NonXtal_Prot#'!A:AL,28,FALSE)-VLOOKUP(A386,'SegEnds_NonXtal_Prot#'!A:AL,25,FALSE)</f>
        <v>#VALUE!</v>
      </c>
      <c r="AH386" s="1">
        <f>VLOOKUP(A386,'SegEnds_NonXtal_Prot#'!A:AL,28,FALSE)-VLOOKUP(A386,'SegEnds_NonXtal_Prot#'!A:AL,22,FALSE)</f>
        <v>39</v>
      </c>
      <c r="AI386" s="4">
        <f>VLOOKUP(A386,'SegEnds_NonXtal_Prot#'!A:AL,31,FALSE)-VLOOKUP(A386,'SegEnds_NonXtal_Prot#'!A:AL,28,FALSE)</f>
        <v>58</v>
      </c>
      <c r="AJ386" s="4">
        <f>VLOOKUP(A386,'SegEnds_NonXtal_Prot#'!A:AL,34,FALSE)-VLOOKUP(A386,'SegEnds_NonXtal_Prot#'!A:AL,31,FALSE)</f>
        <v>49</v>
      </c>
      <c r="AK386" s="1">
        <f>VLOOKUP(A386,'SegEnds_NonXtal_Prot#'!A:AL,37,FALSE)-VLOOKUP(A386,'SegEnds_NonXtal_Prot#'!A:AL,34,FALSE)</f>
        <v>10</v>
      </c>
      <c r="AL386" s="1" t="str">
        <f>IF(ISERROR(MATCH(A386,'SegEnds_Xtal_Prot#'!B:B, 0)), "NoXtal", "Xtal")</f>
        <v>NoXtal</v>
      </c>
    </row>
    <row r="387" spans="1:38" x14ac:dyDescent="0.2">
      <c r="A387" s="1" t="s">
        <v>930</v>
      </c>
      <c r="B387" s="1" t="str">
        <f>VLOOKUP(A387,Xtal_Templ!A:B,2,FALSE)</f>
        <v>5ht2c_human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21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88">
        <v>38</v>
      </c>
      <c r="P387" s="1">
        <f>VLOOKUP($B387&amp;"__wt",'SegEnds_Xtal_BW#'!$A:$Z,16,FALSE)</f>
        <v>67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33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VLOOKUP(A387,'SegEnds_NonXtal_Prot#'!A:AL,10,FALSE)-VLOOKUP(A387,'SegEnds_NonXtal_Prot#'!A:AL,4,FALSE)</f>
        <v>31</v>
      </c>
      <c r="AC387" s="1">
        <f>VLOOKUP(A387,'SegEnds_NonXtal_Prot#'!A:AL,10,FALSE)-VLOOKUP(A387,'SegEnds_NonXtal_Prot#'!A:AL,7,FALSE)</f>
        <v>16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51</v>
      </c>
      <c r="AF387" s="1">
        <f>VLOOKUP(A387,'SegEnds_NonXtal_Prot#'!A:AL,22,FALSE)-VLOOKUP(A387,'SegEnds_NonXtal_Prot#'!A:AL,19,FALSE)</f>
        <v>20</v>
      </c>
      <c r="AG387" s="1" t="e">
        <f>VLOOKUP(A387,'SegEnds_NonXtal_Prot#'!A:AL,28,FALSE)-VLOOKUP(A387,'SegEnds_NonXtal_Prot#'!A:AL,25,FALSE)</f>
        <v>#VALUE!</v>
      </c>
      <c r="AH387" s="1">
        <f>VLOOKUP(A387,'SegEnds_NonXtal_Prot#'!A:AL,28,FALSE)-VLOOKUP(A387,'SegEnds_NonXtal_Prot#'!A:AL,22,FALSE)</f>
        <v>52</v>
      </c>
      <c r="AI387" s="1">
        <f>VLOOKUP(A387,'SegEnds_NonXtal_Prot#'!A:AL,31,FALSE)-VLOOKUP(A387,'SegEnds_NonXtal_Prot#'!A:AL,28,FALSE)</f>
        <v>56</v>
      </c>
      <c r="AJ387" s="1">
        <f>VLOOKUP(A387,'SegEnds_NonXtal_Prot#'!A:AL,34,FALSE)-VLOOKUP(A387,'SegEnds_NonXtal_Prot#'!A:AL,31,FALSE)</f>
        <v>33</v>
      </c>
      <c r="AK387" s="1">
        <f>VLOOKUP(A387,'SegEnds_NonXtal_Prot#'!A:AL,37,FALSE)-VLOOKUP(A387,'SegEnds_NonXtal_Prot#'!A:AL,34,FALSE)</f>
        <v>10</v>
      </c>
      <c r="AL387" s="1" t="str">
        <f>IF(ISERROR(MATCH(A387,'SegEnds_Xtal_Prot#'!B:B, 0)), "NoXtal", "Xtal")</f>
        <v>NoXtal</v>
      </c>
    </row>
    <row r="388" spans="1:38" x14ac:dyDescent="0.2">
      <c r="A388" s="1" t="s">
        <v>457</v>
      </c>
      <c r="B388" s="1" t="str">
        <f>VLOOKUP(A388,Xtal_Templ!A:B,2,FALSE)</f>
        <v>5ht2a_human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67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7">
        <v>38</v>
      </c>
      <c r="P388" s="1">
        <f>VLOOKUP($B388&amp;"__wt",'SegEnds_Xtal_BW#'!$A:$Z,16,FALSE)</f>
        <v>67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VLOOKUP(A388,'SegEnds_NonXtal_Prot#'!A:AL,10,FALSE)-VLOOKUP(A388,'SegEnds_NonXtal_Prot#'!A:AL,4,FALSE)</f>
        <v>31</v>
      </c>
      <c r="AC388" s="1">
        <f>VLOOKUP(A388,'SegEnds_NonXtal_Prot#'!A:AL,10,FALSE)-VLOOKUP(A388,'SegEnds_NonXtal_Prot#'!A:AL,7,FALSE)</f>
        <v>16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52</v>
      </c>
      <c r="AF388" s="1">
        <f>VLOOKUP(A388,'SegEnds_NonXtal_Prot#'!A:AL,22,FALSE)-VLOOKUP(A388,'SegEnds_NonXtal_Prot#'!A:AL,19,FALSE)</f>
        <v>20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54</v>
      </c>
      <c r="AI388" s="1">
        <f>VLOOKUP(A388,'SegEnds_NonXtal_Prot#'!A:AL,31,FALSE)-VLOOKUP(A388,'SegEnds_NonXtal_Prot#'!A:AL,28,FALSE)</f>
        <v>53</v>
      </c>
      <c r="AJ388" s="1">
        <f>VLOOKUP(A388,'SegEnds_NonXtal_Prot#'!A:AL,34,FALSE)-VLOOKUP(A388,'SegEnds_NonXtal_Prot#'!A:AL,31,FALSE)</f>
        <v>35</v>
      </c>
      <c r="AK388" s="1">
        <f>VLOOKUP(A388,'SegEnds_NonXtal_Prot#'!A:AL,37,FALSE)-VLOOKUP(A388,'SegEnds_NonXtal_Prot#'!A:AL,34,FALSE)</f>
        <v>10</v>
      </c>
      <c r="AL388" s="1" t="str">
        <f>IF(ISERROR(MATCH(A388,'SegEnds_Xtal_Prot#'!B:B, 0)), "NoXtal", "Xtal")</f>
        <v>NoXtal</v>
      </c>
    </row>
    <row r="389" spans="1:38" x14ac:dyDescent="0.2">
      <c r="A389" s="1" t="s">
        <v>458</v>
      </c>
      <c r="B389" s="1" t="str">
        <f>VLOOKUP(A389,Xtal_Templ!A:B,2,FALSE)</f>
        <v>5ht2c_human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67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87">
        <v>38</v>
      </c>
      <c r="P389" s="1">
        <f>VLOOKUP($B389&amp;"__wt",'SegEnds_Xtal_BW#'!$A:$Z,16,FALSE)</f>
        <v>67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VLOOKUP(A389,'SegEnds_NonXtal_Prot#'!A:AL,10,FALSE)-VLOOKUP(A389,'SegEnds_NonXtal_Prot#'!A:AL,4,FALSE)</f>
        <v>31</v>
      </c>
      <c r="AC389" s="1">
        <f>VLOOKUP(A389,'SegEnds_NonXtal_Prot#'!A:AL,10,FALSE)-VLOOKUP(A389,'SegEnds_NonXtal_Prot#'!A:AL,7,FALSE)</f>
        <v>16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52</v>
      </c>
      <c r="AF389" s="1">
        <f>VLOOKUP(A389,'SegEnds_NonXtal_Prot#'!A:AL,22,FALSE)-VLOOKUP(A389,'SegEnds_NonXtal_Prot#'!A:AL,19,FALSE)</f>
        <v>20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54</v>
      </c>
      <c r="AI389" s="1">
        <f>VLOOKUP(A389,'SegEnds_NonXtal_Prot#'!A:AL,31,FALSE)-VLOOKUP(A389,'SegEnds_NonXtal_Prot#'!A:AL,28,FALSE)</f>
        <v>52</v>
      </c>
      <c r="AJ389" s="1">
        <f>VLOOKUP(A389,'SegEnds_NonXtal_Prot#'!A:AL,34,FALSE)-VLOOKUP(A389,'SegEnds_NonXtal_Prot#'!A:AL,31,FALSE)</f>
        <v>35</v>
      </c>
      <c r="AK389" s="1">
        <f>VLOOKUP(A389,'SegEnds_NonXtal_Prot#'!A:AL,37,FALSE)-VLOOKUP(A389,'SegEnds_NonXtal_Prot#'!A:AL,34,FALSE)</f>
        <v>10</v>
      </c>
      <c r="AL389" s="1" t="str">
        <f>IF(ISERROR(MATCH(A389,'SegEnds_Xtal_Prot#'!B:B, 0)), "NoXtal", "Xtal")</f>
        <v>NoXtal</v>
      </c>
    </row>
    <row r="390" spans="1:38" x14ac:dyDescent="0.2">
      <c r="A390" s="1" t="s">
        <v>459</v>
      </c>
      <c r="B390" s="1" t="str">
        <f>VLOOKUP(A390,Xtal_Templ!A:B,2,FALSE)</f>
        <v>pd2r2_human</v>
      </c>
      <c r="C390" s="5">
        <v>32</v>
      </c>
      <c r="D390" s="1">
        <v>62</v>
      </c>
      <c r="E390" s="1" t="str">
        <f>VLOOKUP($B390&amp;"__wt",'SegEnds_Xtal_BW#'!$A:$Z,5,FALSE)</f>
        <v>-</v>
      </c>
      <c r="F390" s="1" t="str">
        <f>VLOOKUP($B390&amp;"__wt",'SegEnds_Xtal_BW#'!$A:$Z,6,FALSE)</f>
        <v>-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24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7">
        <v>38</v>
      </c>
      <c r="P390" s="1">
        <f>VLOOKUP($B390&amp;"__wt",'SegEnds_Xtal_BW#'!$A:$Z,16,FALSE)</f>
        <v>64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VLOOKUP(A390,'SegEnds_NonXtal_Prot#'!A:AL,10,FALSE)-VLOOKUP(A390,'SegEnds_NonXtal_Prot#'!A:AL,4,FALSE)</f>
        <v>31</v>
      </c>
      <c r="AC390" s="1">
        <f>VLOOKUP(A390,'SegEnds_NonXtal_Prot#'!A:AL,10,FALSE)-VLOOKUP(A390,'SegEnds_NonXtal_Prot#'!A:AL,7,FALSE)</f>
        <v>16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47</v>
      </c>
      <c r="AF390" s="1">
        <f>VLOOKUP(A390,'SegEnds_NonXtal_Prot#'!A:AL,22,FALSE)-VLOOKUP(A390,'SegEnds_NonXtal_Prot#'!A:AL,19,FALSE)</f>
        <v>20</v>
      </c>
      <c r="AG390" s="1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56</v>
      </c>
      <c r="AI390" s="1">
        <f>VLOOKUP(A390,'SegEnds_NonXtal_Prot#'!A:AL,31,FALSE)-VLOOKUP(A390,'SegEnds_NonXtal_Prot#'!A:AL,28,FALSE)</f>
        <v>50</v>
      </c>
      <c r="AJ390" s="1">
        <f>VLOOKUP(A390,'SegEnds_NonXtal_Prot#'!A:AL,34,FALSE)-VLOOKUP(A390,'SegEnds_NonXtal_Prot#'!A:AL,31,FALSE)</f>
        <v>35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465</v>
      </c>
      <c r="B391" s="1" t="str">
        <f>VLOOKUP(A391,Xtal_Templ!A:B,2,FALSE)</f>
        <v>agtr1_human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18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8">
        <v>38</v>
      </c>
      <c r="P391" s="1">
        <f>VLOOKUP($B391&amp;"__wt",'SegEnds_Xtal_BW#'!$A:$Z,16,FALSE)</f>
        <v>64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VLOOKUP(A391,'SegEnds_NonXtal_Prot#'!A:AL,10,FALSE)-VLOOKUP(A391,'SegEnds_NonXtal_Prot#'!A:AL,4,FALSE)</f>
        <v>31</v>
      </c>
      <c r="AC391" s="1">
        <f>VLOOKUP(A391,'SegEnds_NonXtal_Prot#'!A:AL,10,FALSE)-VLOOKUP(A391,'SegEnds_NonXtal_Prot#'!A:AL,7,FALSE)</f>
        <v>16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52</v>
      </c>
      <c r="AF391" s="1">
        <f>VLOOKUP(A391,'SegEnds_NonXtal_Prot#'!A:AL,22,FALSE)-VLOOKUP(A391,'SegEnds_NonXtal_Prot#'!A:AL,19,FALSE)</f>
        <v>20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56</v>
      </c>
      <c r="AI391" s="1">
        <f>VLOOKUP(A391,'SegEnds_NonXtal_Prot#'!A:AL,31,FALSE)-VLOOKUP(A391,'SegEnds_NonXtal_Prot#'!A:AL,28,FALSE)</f>
        <v>53</v>
      </c>
      <c r="AJ391" s="1">
        <f>VLOOKUP(A391,'SegEnds_NonXtal_Prot#'!A:AL,34,FALSE)-VLOOKUP(A391,'SegEnds_NonXtal_Prot#'!A:AL,31,FALSE)</f>
        <v>35</v>
      </c>
      <c r="AK391" s="1">
        <f>VLOOKUP(A391,'SegEnds_NonXtal_Prot#'!A:AL,37,FALSE)-VLOOKUP(A391,'SegEnds_NonXtal_Prot#'!A:AL,34,FALSE)</f>
        <v>10</v>
      </c>
      <c r="AL391" s="1" t="str">
        <f>IF(ISERROR(MATCH(A391,'SegEnds_Xtal_Prot#'!B:B, 0)), "NoXtal", "Xtal")</f>
        <v>NoXtal</v>
      </c>
    </row>
    <row r="392" spans="1:38" x14ac:dyDescent="0.2">
      <c r="A392" s="1" t="s">
        <v>466</v>
      </c>
      <c r="B392" s="1" t="str">
        <f>VLOOKUP(A392,Xtal_Templ!A:B,2,FALSE)</f>
        <v>5ht2a_human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18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7">
        <v>38</v>
      </c>
      <c r="P392" s="1">
        <f>VLOOKUP($B392&amp;"__wt",'SegEnds_Xtal_BW#'!$A:$Z,16,FALSE)</f>
        <v>67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VLOOKUP(A392,'SegEnds_NonXtal_Prot#'!A:AL,10,FALSE)-VLOOKUP(A392,'SegEnds_NonXtal_Prot#'!A:AL,4,FALSE)</f>
        <v>31</v>
      </c>
      <c r="AC392" s="1">
        <f>VLOOKUP(A392,'SegEnds_NonXtal_Prot#'!A:AL,10,FALSE)-VLOOKUP(A392,'SegEnds_NonXtal_Prot#'!A:AL,7,FALSE)</f>
        <v>16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52</v>
      </c>
      <c r="AF392" s="1">
        <f>VLOOKUP(A392,'SegEnds_NonXtal_Prot#'!A:AL,22,FALSE)-VLOOKUP(A392,'SegEnds_NonXtal_Prot#'!A:AL,19,FALSE)</f>
        <v>20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57</v>
      </c>
      <c r="AI392" s="1">
        <f>VLOOKUP(A392,'SegEnds_NonXtal_Prot#'!A:AL,31,FALSE)-VLOOKUP(A392,'SegEnds_NonXtal_Prot#'!A:AL,28,FALSE)</f>
        <v>53</v>
      </c>
      <c r="AJ392" s="1">
        <f>VLOOKUP(A392,'SegEnds_NonXtal_Prot#'!A:AL,34,FALSE)-VLOOKUP(A392,'SegEnds_NonXtal_Prot#'!A:AL,31,FALSE)</f>
        <v>35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467</v>
      </c>
      <c r="B393" s="1" t="str">
        <f>VLOOKUP(A393,Xtal_Templ!A:B,2,FALSE)</f>
        <v>drd2_human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67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8">
        <v>38</v>
      </c>
      <c r="P393" s="1">
        <f>VLOOKUP($B393&amp;"__wt",'SegEnds_Xtal_BW#'!$A:$Z,16,FALSE)</f>
        <v>62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52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56</v>
      </c>
      <c r="AI393" s="1">
        <f>VLOOKUP(A393,'SegEnds_NonXtal_Prot#'!A:AL,31,FALSE)-VLOOKUP(A393,'SegEnds_NonXtal_Prot#'!A:AL,28,FALSE)</f>
        <v>53</v>
      </c>
      <c r="AJ393" s="1">
        <f>VLOOKUP(A393,'SegEnds_NonXtal_Prot#'!A:AL,34,FALSE)-VLOOKUP(A393,'SegEnds_NonXtal_Prot#'!A:AL,31,FALSE)</f>
        <v>35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1" t="s">
        <v>472</v>
      </c>
      <c r="B394" s="1" t="str">
        <f>VLOOKUP(A394,Xtal_Templ!A:B,2,FALSE)</f>
        <v>oprk_human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18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8">
        <v>38</v>
      </c>
      <c r="P394" s="1">
        <f>VLOOKUP($B394&amp;"__wt",'SegEnds_Xtal_BW#'!$A:$Z,16,FALSE)</f>
        <v>64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52</v>
      </c>
      <c r="AF394" s="1">
        <f>VLOOKUP(A394,'SegEnds_NonXtal_Prot#'!A:AL,22,FALSE)-VLOOKUP(A394,'SegEnds_NonXtal_Prot#'!A:AL,19,FALSE)</f>
        <v>20</v>
      </c>
      <c r="AG394" s="1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58</v>
      </c>
      <c r="AI394" s="1">
        <f>VLOOKUP(A394,'SegEnds_NonXtal_Prot#'!A:AL,31,FALSE)-VLOOKUP(A394,'SegEnds_NonXtal_Prot#'!A:AL,28,FALSE)</f>
        <v>53</v>
      </c>
      <c r="AJ394" s="1">
        <f>VLOOKUP(A394,'SegEnds_NonXtal_Prot#'!A:AL,34,FALSE)-VLOOKUP(A394,'SegEnds_NonXtal_Prot#'!A:AL,31,FALSE)</f>
        <v>35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4" t="s">
        <v>474</v>
      </c>
      <c r="B395" s="4" t="str">
        <f>VLOOKUP(A395,Xtal_Templ!A:B,2,FALSE)</f>
        <v>cxcr4_human</v>
      </c>
      <c r="C395" s="5">
        <v>32</v>
      </c>
      <c r="D395" s="4">
        <v>62</v>
      </c>
      <c r="E395" s="4">
        <f>VLOOKUP($B395&amp;"__wt",'SegEnds_Xtal_BW#'!$A:$Z,5,FALSE)</f>
        <v>48</v>
      </c>
      <c r="F395" s="4">
        <f>VLOOKUP($B395&amp;"__wt",'SegEnds_Xtal_BW#'!$A:$Z,6,FALSE)</f>
        <v>51</v>
      </c>
      <c r="G395" s="4">
        <v>39</v>
      </c>
      <c r="H395" s="11">
        <v>66</v>
      </c>
      <c r="I395" s="4" t="s">
        <v>23</v>
      </c>
      <c r="J395" s="4" t="s">
        <v>23</v>
      </c>
      <c r="K395" s="11">
        <v>24</v>
      </c>
      <c r="L395" s="4">
        <f>VLOOKUP($B395&amp;"__wt",'SegEnds_Xtal_BW#'!$A:$Z,12,FALSE)</f>
        <v>56</v>
      </c>
      <c r="M395" s="4">
        <f>VLOOKUP($B395&amp;"__wt",'SegEnds_Xtal_BW#'!$A:$Z,13,FALSE)</f>
        <v>50</v>
      </c>
      <c r="N395" s="11">
        <v>57</v>
      </c>
      <c r="O395" s="88">
        <v>38</v>
      </c>
      <c r="P395" s="4">
        <f>VLOOKUP($B395&amp;"__wt",'SegEnds_Xtal_BW#'!$A:$Z,16,FALSE)</f>
        <v>64</v>
      </c>
      <c r="Q395" s="4">
        <f>VLOOKUP($B395&amp;"__wt",'SegEnds_Xtal_BW#'!$A:$Z,17,FALSE)</f>
        <v>50</v>
      </c>
      <c r="R395" s="4">
        <f>VLOOKUP($B395&amp;"__wt",'SegEnds_Xtal_BW#'!$A:$Z,18,FALSE)</f>
        <v>52</v>
      </c>
      <c r="S395" s="4">
        <v>32</v>
      </c>
      <c r="T395" s="4">
        <v>72</v>
      </c>
      <c r="U395" s="4">
        <v>29</v>
      </c>
      <c r="V395" s="4">
        <v>61</v>
      </c>
      <c r="W395" s="4">
        <v>31</v>
      </c>
      <c r="X395" s="4">
        <f>VLOOKUP($B395&amp;"__wt",'SegEnds_Xtal_BW#'!$A:$Z,24,FALSE)</f>
        <v>56</v>
      </c>
      <c r="Y395" s="4">
        <f>VLOOKUP($B395&amp;"__wt",'SegEnds_Xtal_BW#'!$A:$Z,25,FALSE)</f>
        <v>47</v>
      </c>
      <c r="Z395" s="4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4">
        <f>VLOOKUP(A395,'SegEnds_NonXtal_Prot#'!A:AL,10,FALSE)-VLOOKUP(A395,'SegEnds_NonXtal_Prot#'!A:AL,7,FALSE)</f>
        <v>16</v>
      </c>
      <c r="AD395" s="4" t="e">
        <f>VLOOKUP(A395,'SegEnds_NonXtal_Prot#'!A:AL,13,FALSE)-VLOOKUP(A395,'SegEnds_NonXtal_Prot#'!A:AL,10,FALSE)</f>
        <v>#VALUE!</v>
      </c>
      <c r="AE395" s="4">
        <f>VLOOKUP(A395,'SegEnds_NonXtal_Prot#'!A:AL,16,FALSE)-VLOOKUP(A395,'SegEnds_NonXtal_Prot#'!A:AL,10,FALSE)</f>
        <v>48</v>
      </c>
      <c r="AF395" s="1">
        <f>VLOOKUP(A395,'SegEnds_NonXtal_Prot#'!A:AL,22,FALSE)-VLOOKUP(A395,'SegEnds_NonXtal_Prot#'!A:AL,19,FALSE)</f>
        <v>20</v>
      </c>
      <c r="AG395" s="4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54</v>
      </c>
      <c r="AI395" s="4">
        <f>VLOOKUP(A395,'SegEnds_NonXtal_Prot#'!A:AL,31,FALSE)-VLOOKUP(A395,'SegEnds_NonXtal_Prot#'!A:AL,28,FALSE)</f>
        <v>53</v>
      </c>
      <c r="AJ395" s="4">
        <f>VLOOKUP(A395,'SegEnds_NonXtal_Prot#'!A:AL,34,FALSE)-VLOOKUP(A395,'SegEnds_NonXtal_Prot#'!A:AL,31,FALSE)</f>
        <v>35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456</v>
      </c>
      <c r="B396" s="1" t="str">
        <f>VLOOKUP(A396,Xtal_Templ!A:B,2,FALSE)</f>
        <v>drd2_human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67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f>VLOOKUP($B396&amp;"__wt",'SegEnds_Xtal_BW#'!$A:$Z,14,FALSE)</f>
        <v>58</v>
      </c>
      <c r="O396" s="88">
        <v>38</v>
      </c>
      <c r="P396" s="1">
        <f>VLOOKUP($B396&amp;"__wt",'SegEnds_Xtal_BW#'!$A:$Z,16,FALSE)</f>
        <v>62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30</v>
      </c>
      <c r="AC396" s="1">
        <f>VLOOKUP(A396,'SegEnds_NonXtal_Prot#'!A:AL,10,FALSE)-VLOOKUP(A396,'SegEnds_NonXtal_Prot#'!A:AL,7,FALSE)</f>
        <v>15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52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50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36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460</v>
      </c>
      <c r="B397" s="1" t="str">
        <f>VLOOKUP(A397,Xtal_Templ!A:B,2,FALSE)</f>
        <v>5ht2c_human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8">
        <v>38</v>
      </c>
      <c r="P397" s="1">
        <f>VLOOKUP($B397&amp;"__wt",'SegEnds_Xtal_BW#'!$A:$Z,16,FALSE)</f>
        <v>67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51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52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36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461</v>
      </c>
      <c r="B398" s="1" t="str">
        <f>VLOOKUP(A398,Xtal_Templ!A:B,2,FALSE)</f>
        <v>5ht2c_human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7">
        <v>38</v>
      </c>
      <c r="P398" s="1">
        <f>VLOOKUP($B398&amp;"__wt",'SegEnds_Xtal_BW#'!$A:$Z,16,FALSE)</f>
        <v>67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51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52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36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462</v>
      </c>
      <c r="B399" s="1" t="str">
        <f>VLOOKUP(A399,Xtal_Templ!A:B,2,FALSE)</f>
        <v>5ht2c_human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8">
        <v>38</v>
      </c>
      <c r="P399" s="1">
        <f>VLOOKUP($B399&amp;"__wt",'SegEnds_Xtal_BW#'!$A:$Z,16,FALSE)</f>
        <v>67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51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52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463</v>
      </c>
      <c r="B400" s="1" t="str">
        <f>VLOOKUP(A400,Xtal_Templ!A:B,2,FALSE)</f>
        <v>agtr1_human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7">
        <v>38</v>
      </c>
      <c r="P400" s="1">
        <f>VLOOKUP($B400&amp;"__wt",'SegEnds_Xtal_BW#'!$A:$Z,16,FALSE)</f>
        <v>64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464</v>
      </c>
      <c r="B401" s="1" t="str">
        <f>VLOOKUP(A401,Xtal_Templ!A:B,2,FALSE)</f>
        <v>agtr1_human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67</v>
      </c>
      <c r="I401" s="1" t="s">
        <v>23</v>
      </c>
      <c r="J401" s="1" t="s">
        <v>23</v>
      </c>
      <c r="K401" s="12">
        <v>18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7">
        <v>38</v>
      </c>
      <c r="P401" s="1">
        <f>VLOOKUP($B401&amp;"__wt",'SegEnds_Xtal_BW#'!$A:$Z,16,FALSE)</f>
        <v>64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53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59</v>
      </c>
      <c r="AI401" s="1">
        <f>VLOOKUP(A401,'SegEnds_NonXtal_Prot#'!A:AL,31,FALSE)-VLOOKUP(A401,'SegEnds_NonXtal_Prot#'!A:AL,28,FALSE)</f>
        <v>53</v>
      </c>
      <c r="AJ401" s="1">
        <f>VLOOKUP(A401,'SegEnds_NonXtal_Prot#'!A:AL,34,FALSE)-VLOOKUP(A401,'SegEnds_NonXtal_Prot#'!A:AL,31,FALSE)</f>
        <v>36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468</v>
      </c>
      <c r="B402" s="1" t="str">
        <f>VLOOKUP(A402,Xtal_Templ!A:B,2,FALSE)</f>
        <v>hrh1_human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67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7">
        <v>38</v>
      </c>
      <c r="P402" s="1">
        <f>VLOOKUP($B402&amp;"__wt",'SegEnds_Xtal_BW#'!$A:$Z,16,FALSE)</f>
        <v>62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52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56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469</v>
      </c>
      <c r="B403" s="1" t="str">
        <f>VLOOKUP(A403,Xtal_Templ!A:B,2,FALSE)</f>
        <v>drd2_human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62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51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52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36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1" t="s">
        <v>470</v>
      </c>
      <c r="B404" s="1" t="str">
        <f>VLOOKUP(A404,Xtal_Templ!A:B,2,FALSE)</f>
        <v>5ht2c_human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7">
        <v>38</v>
      </c>
      <c r="P404" s="1">
        <f>VLOOKUP($B404&amp;"__wt",'SegEnds_Xtal_BW#'!$A:$Z,16,FALSE)</f>
        <v>67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51</v>
      </c>
      <c r="AF404" s="1">
        <f>VLOOKUP(A404,'SegEnds_NonXtal_Prot#'!A:AL,22,FALSE)-VLOOKUP(A404,'SegEnds_NonXtal_Prot#'!A:AL,19,FALSE)</f>
        <v>20</v>
      </c>
      <c r="AG404" s="1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52</v>
      </c>
      <c r="AI404" s="1">
        <f>VLOOKUP(A404,'SegEnds_NonXtal_Prot#'!A:AL,31,FALSE)-VLOOKUP(A404,'SegEnds_NonXtal_Prot#'!A:AL,28,FALSE)</f>
        <v>53</v>
      </c>
      <c r="AJ404" s="1">
        <f>VLOOKUP(A404,'SegEnds_NonXtal_Prot#'!A:AL,34,FALSE)-VLOOKUP(A404,'SegEnds_NonXtal_Prot#'!A:AL,31,FALSE)</f>
        <v>36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1" t="s">
        <v>471</v>
      </c>
      <c r="B405" s="1" t="str">
        <f>VLOOKUP(A405,Xtal_Templ!A:B,2,FALSE)</f>
        <v>drd2_human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66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8">
        <v>38</v>
      </c>
      <c r="P405" s="1">
        <f>VLOOKUP($B405&amp;"__wt",'SegEnds_Xtal_BW#'!$A:$Z,16,FALSE)</f>
        <v>62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1">
        <f>VLOOKUP(A405,'SegEnds_NonXtal_Prot#'!A:AL,10,FALSE)-VLOOKUP(A405,'SegEnds_NonXtal_Prot#'!A:AL,7,FALSE)</f>
        <v>16</v>
      </c>
      <c r="AD405" s="1" t="e">
        <f>VLOOKUP(A405,'SegEnds_NonXtal_Prot#'!A:AL,13,FALSE)-VLOOKUP(A405,'SegEnds_NonXtal_Prot#'!A:AL,10,FALSE)</f>
        <v>#VALUE!</v>
      </c>
      <c r="AE405" s="1">
        <f>VLOOKUP(A405,'SegEnds_NonXtal_Prot#'!A:AL,16,FALSE)-VLOOKUP(A405,'SegEnds_NonXtal_Prot#'!A:AL,10,FALSE)</f>
        <v>51</v>
      </c>
      <c r="AF405" s="1">
        <f>VLOOKUP(A405,'SegEnds_NonXtal_Prot#'!A:AL,22,FALSE)-VLOOKUP(A405,'SegEnds_NonXtal_Prot#'!A:AL,19,FALSE)</f>
        <v>20</v>
      </c>
      <c r="AG405" s="1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52</v>
      </c>
      <c r="AI405" s="1">
        <f>VLOOKUP(A405,'SegEnds_NonXtal_Prot#'!A:AL,31,FALSE)-VLOOKUP(A405,'SegEnds_NonXtal_Prot#'!A:AL,28,FALSE)</f>
        <v>53</v>
      </c>
      <c r="AJ405" s="1">
        <f>VLOOKUP(A405,'SegEnds_NonXtal_Prot#'!A:AL,34,FALSE)-VLOOKUP(A405,'SegEnds_NonXtal_Prot#'!A:AL,31,FALSE)</f>
        <v>36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475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52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56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36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476</v>
      </c>
      <c r="B407" s="1" t="str">
        <f>VLOOKUP(A407,Xtal_Templ!A:B,2,FALSE)</f>
        <v>5ht1b_human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7">
        <v>38</v>
      </c>
      <c r="P407" s="1">
        <f>VLOOKUP($B407&amp;"__wt",'SegEnds_Xtal_BW#'!$A:$Z,16,FALSE)</f>
        <v>63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51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53</v>
      </c>
      <c r="AI407" s="1">
        <f>VLOOKUP(A407,'SegEnds_NonXtal_Prot#'!A:AL,31,FALSE)-VLOOKUP(A407,'SegEnds_NonXtal_Prot#'!A:AL,28,FALSE)</f>
        <v>53</v>
      </c>
      <c r="AJ407" s="1">
        <f>VLOOKUP(A407,'SegEnds_NonXtal_Prot#'!A:AL,34,FALSE)-VLOOKUP(A407,'SegEnds_NonXtal_Prot#'!A:AL,31,FALSE)</f>
        <v>36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477</v>
      </c>
      <c r="B408" s="1" t="str">
        <f>VLOOKUP(A408,Xtal_Templ!A:B,2,FALSE)</f>
        <v>hrh1_human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24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f>VLOOKUP($B408&amp;"__wt",'SegEnds_Xtal_BW#'!$A:$Z,14,FALSE)</f>
        <v>57</v>
      </c>
      <c r="O408" s="87">
        <v>38</v>
      </c>
      <c r="P408" s="1">
        <f>VLOOKUP($B408&amp;"__wt",'SegEnds_Xtal_BW#'!$A:$Z,16,FALSE)</f>
        <v>62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48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48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36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478</v>
      </c>
      <c r="B409" s="1" t="str">
        <f>VLOOKUP(A409,Xtal_Templ!A:B,2,FALSE)</f>
        <v>drd2_human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67</v>
      </c>
      <c r="I409" s="1" t="s">
        <v>23</v>
      </c>
      <c r="J409" s="1" t="s">
        <v>23</v>
      </c>
      <c r="K409" s="12">
        <v>21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8">
        <v>38</v>
      </c>
      <c r="P409" s="1">
        <f>VLOOKUP($B409&amp;"__wt",'SegEnds_Xtal_BW#'!$A:$Z,16,FALSE)</f>
        <v>62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57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36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479</v>
      </c>
      <c r="B410" s="1" t="str">
        <f>VLOOKUP(A410,Xtal_Templ!A:B,2,FALSE)</f>
        <v>drd2_human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66</v>
      </c>
      <c r="I410" s="1" t="s">
        <v>23</v>
      </c>
      <c r="J410" s="1" t="s">
        <v>23</v>
      </c>
      <c r="K410" s="12">
        <v>18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7">
        <v>38</v>
      </c>
      <c r="P410" s="1">
        <f>VLOOKUP($B410&amp;"__wt",'SegEnds_Xtal_BW#'!$A:$Z,16,FALSE)</f>
        <v>62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57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36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480</v>
      </c>
      <c r="B411" s="1" t="str">
        <f>VLOOKUP(A411,Xtal_Templ!A:B,2,FALSE)</f>
        <v>agtr1_human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66</v>
      </c>
      <c r="I411" s="1" t="s">
        <v>23</v>
      </c>
      <c r="J411" s="1" t="s">
        <v>23</v>
      </c>
      <c r="K411" s="12">
        <v>18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8">
        <v>38</v>
      </c>
      <c r="P411" s="1">
        <f>VLOOKUP($B411&amp;"__wt",'SegEnds_Xtal_BW#'!$A:$Z,16,FALSE)</f>
        <v>64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52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54</v>
      </c>
      <c r="AI411" s="1">
        <f>VLOOKUP(A411,'SegEnds_NonXtal_Prot#'!A:AL,31,FALSE)-VLOOKUP(A411,'SegEnds_NonXtal_Prot#'!A:AL,28,FALSE)</f>
        <v>53</v>
      </c>
      <c r="AJ411" s="1">
        <f>VLOOKUP(A411,'SegEnds_NonXtal_Prot#'!A:AL,34,FALSE)-VLOOKUP(A411,'SegEnds_NonXtal_Prot#'!A:AL,31,FALSE)</f>
        <v>36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</sheetData>
  <sortState ref="A2:AL411">
    <sortCondition ref="AA2:AA411"/>
    <sortCondition ref="AJ2:AJ411"/>
    <sortCondition ref="A2:A411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31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3"/>
  <sheetViews>
    <sheetView zoomScale="120" zoomScaleNormal="120" zoomScalePageLayoutView="120" workbookViewId="0">
      <pane ySplit="1" topLeftCell="A2" activePane="bottomLeft" state="frozenSplit"/>
      <selection pane="bottomLeft" activeCell="M224" sqref="M224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1204</v>
      </c>
      <c r="C1" s="8" t="s">
        <v>1061</v>
      </c>
      <c r="D1" s="41" t="s">
        <v>1082</v>
      </c>
      <c r="E1" s="8" t="s">
        <v>1062</v>
      </c>
      <c r="F1" s="41" t="s">
        <v>1078</v>
      </c>
      <c r="G1" s="41" t="s">
        <v>1083</v>
      </c>
      <c r="H1" s="41" t="s">
        <v>1079</v>
      </c>
      <c r="I1" s="41" t="s">
        <v>1063</v>
      </c>
      <c r="J1" s="41" t="s">
        <v>1084</v>
      </c>
      <c r="K1" s="8" t="s">
        <v>1064</v>
      </c>
      <c r="L1" s="8" t="s">
        <v>1080</v>
      </c>
      <c r="M1" s="41" t="s">
        <v>1085</v>
      </c>
      <c r="N1" s="8" t="s">
        <v>1081</v>
      </c>
      <c r="O1" s="8" t="s">
        <v>1065</v>
      </c>
      <c r="P1" s="41" t="s">
        <v>1086</v>
      </c>
      <c r="Q1" s="8" t="s">
        <v>1066</v>
      </c>
      <c r="R1" s="8" t="s">
        <v>1093</v>
      </c>
      <c r="S1" s="41" t="s">
        <v>1092</v>
      </c>
      <c r="T1" s="86" t="s">
        <v>1094</v>
      </c>
      <c r="U1" s="99" t="s">
        <v>1067</v>
      </c>
      <c r="V1" s="41" t="s">
        <v>1087</v>
      </c>
      <c r="W1" s="8" t="s">
        <v>1068</v>
      </c>
      <c r="X1" s="8" t="s">
        <v>1096</v>
      </c>
      <c r="Y1" s="41" t="s">
        <v>1095</v>
      </c>
      <c r="Z1" s="8" t="s">
        <v>1097</v>
      </c>
      <c r="AA1" s="8" t="s">
        <v>1069</v>
      </c>
      <c r="AB1" s="41" t="s">
        <v>1088</v>
      </c>
      <c r="AC1" s="8" t="s">
        <v>1070</v>
      </c>
      <c r="AD1" s="8" t="s">
        <v>1071</v>
      </c>
      <c r="AE1" s="41" t="s">
        <v>1089</v>
      </c>
      <c r="AF1" s="8" t="s">
        <v>1072</v>
      </c>
      <c r="AG1" s="8" t="s">
        <v>1073</v>
      </c>
      <c r="AH1" s="41" t="s">
        <v>1090</v>
      </c>
      <c r="AI1" s="8" t="s">
        <v>1074</v>
      </c>
      <c r="AJ1" s="8" t="s">
        <v>1075</v>
      </c>
      <c r="AK1" s="41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1306</v>
      </c>
      <c r="BB1" s="26" t="s">
        <v>1241</v>
      </c>
      <c r="BC1" s="99" t="s">
        <v>1276</v>
      </c>
      <c r="BD1" s="8" t="s">
        <v>1241</v>
      </c>
      <c r="BE1" s="8" t="s">
        <v>1243</v>
      </c>
      <c r="BF1" s="8" t="s">
        <v>1240</v>
      </c>
      <c r="BG1" s="8" t="s">
        <v>1307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295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2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5ht2c_human</v>
      </c>
      <c r="C4" s="3">
        <f>VLOOKUP($A4,'SegEnds_NonXtal_BW#'!$A:$Z,3,FALSE)+D4-50</f>
        <v>42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106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384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49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304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4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309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5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259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5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5ht2a_human</v>
      </c>
      <c r="C13" s="3">
        <f>VLOOKUP($A13,'SegEnds_NonXtal_BW#'!$A:$Z,3,FALSE)+D13-50</f>
        <v>151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388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5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278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2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1441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1452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334</v>
      </c>
      <c r="B21" s="3" t="s">
        <v>920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238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920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241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opsd_bovin</v>
      </c>
      <c r="C26" s="3">
        <f>VLOOKUP($A26,'SegEnds_NonXtal_BW#'!$A:$Z,3,FALSE)+D26-50</f>
        <v>49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257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4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322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8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617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627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4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ccr5_human</v>
      </c>
      <c r="C35" s="3">
        <f>VLOOKUP($A35,'SegEnds_NonXtal_BW#'!$A:$Z,3,FALSE)+D35-50</f>
        <v>43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203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286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2</v>
      </c>
      <c r="AX35" s="3">
        <f t="shared" si="10"/>
        <v>7</v>
      </c>
      <c r="AY35" s="3">
        <f t="shared" si="11"/>
        <v>2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322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5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mtr1b_human</v>
      </c>
      <c r="C37" s="3">
        <f>VLOOKUP($A37,'SegEnds_NonXtal_BW#'!$A:$Z,3,FALSE)+D37-50</f>
        <v>32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196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316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358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8</v>
      </c>
      <c r="AX37" s="3">
        <f t="shared" si="10"/>
        <v>33</v>
      </c>
      <c r="AY37" s="3">
        <f t="shared" si="11"/>
        <v>9</v>
      </c>
      <c r="AZ37" s="3">
        <f t="shared" si="12"/>
        <v>1</v>
      </c>
      <c r="BA37" s="3">
        <f>IF(ISERROR(LEN(VLOOKUP(A37,Seqs!A:E,2,FALSE))-AL37),"-",LEN(VLOOKUP(A37,Seqs!A:E,2,FALSE))-AL37)</f>
        <v>66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5ht2a_human</v>
      </c>
      <c r="C43" s="3">
        <f>VLOOKUP($A43,'SegEnds_NonXtal_BW#'!$A:$Z,3,FALSE)+D43-50</f>
        <v>69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adrb2_human</v>
      </c>
      <c r="C46" s="3">
        <f>VLOOKUP($A46,'SegEnds_NonXtal_BW#'!$A:$Z,3,FALSE)+D46-50</f>
        <v>12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83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160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2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24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268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8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ccr2_human</v>
      </c>
      <c r="C54" s="3">
        <f>VLOOKUP($A54,'SegEnds_NonXtal_BW#'!$A:$Z,3,FALSE)+D54-50</f>
        <v>41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203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327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6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57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64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561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29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63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560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29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26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512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20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253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8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adrb2_human</v>
      </c>
      <c r="C62" s="3">
        <f>VLOOKUP($A62,'SegEnds_NonXtal_BW#'!$A:$Z,3,FALSE)+D62-50</f>
        <v>19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89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165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2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11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adrb2_human</v>
      </c>
      <c r="C64" s="3">
        <f>VLOOKUP($A64,'SegEnds_NonXtal_BW#'!$A:$Z,3,FALSE)+D64-50</f>
        <v>89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159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235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2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11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39">IF(ISERROR(F68-E68),"-",F68-E68)</f>
        <v>1</v>
      </c>
      <c r="AQ68" s="3">
        <f t="shared" ref="AQ68:AQ131" si="40">IF(ISERROR(I68-H68),"-",I68-H68)</f>
        <v>1</v>
      </c>
      <c r="AR68" s="3">
        <f t="shared" ref="AR68:AR131" si="41">IF(ISERROR(L68-K68),"-",L68-K68)</f>
        <v>2</v>
      </c>
      <c r="AS68" s="3">
        <f t="shared" ref="AS68:AS131" si="42">IF(ISERROR(O68-N68),"-",O68-N68)</f>
        <v>1</v>
      </c>
      <c r="AT68" s="3">
        <f t="shared" ref="AT68:AT131" si="43">IF(ISERROR(R68-Q68),"-",R68-Q68)</f>
        <v>1</v>
      </c>
      <c r="AU68" s="3">
        <f t="shared" ref="AU68:AU131" si="44">IF(ISERROR(U68-T68),"-",U68-T68)</f>
        <v>1</v>
      </c>
      <c r="AV68" s="3">
        <f t="shared" ref="AV68:AV131" si="45">IF(ISERROR(X68-W68),"-",X68-W68)</f>
        <v>19</v>
      </c>
      <c r="AW68" s="3">
        <f t="shared" ref="AW68:AW131" si="46">IF(ISERROR(AA68-Z68),"-",AA68-Z68)</f>
        <v>3</v>
      </c>
      <c r="AX68" s="3">
        <f t="shared" ref="AX68:AX131" si="47">IF(ISERROR(AD68-AC68),"-",AD68-AC68)</f>
        <v>53</v>
      </c>
      <c r="AY68" s="3">
        <f t="shared" ref="AY68:AY131" si="48">IF(ISERROR(AG68-AF68),"-",AG68-AF68)</f>
        <v>5</v>
      </c>
      <c r="AZ68" s="3">
        <f t="shared" ref="AZ68:AZ131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50">J68-D68</f>
        <v>28</v>
      </c>
      <c r="BC68" s="9">
        <f t="shared" ref="BC68:BC131" si="51">IF(ISERROR(V68-S68),"-",V68-S68)</f>
        <v>20</v>
      </c>
      <c r="BD68" s="3">
        <f t="shared" ref="BD68:BD131" si="52">J68-D68</f>
        <v>28</v>
      </c>
      <c r="BE68" s="3">
        <f t="shared" ref="BE68:BE131" si="53">AE68-AB68</f>
        <v>103</v>
      </c>
    </row>
    <row r="69" spans="1:58" s="3" customFormat="1" ht="17" customHeigh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2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2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2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24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3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33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3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MIN(ABS(BE79-ICL3_classA!F2:F229))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2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5</v>
      </c>
      <c r="AX80" s="3">
        <f t="shared" si="47"/>
        <v>57</v>
      </c>
      <c r="AY80" s="3">
        <f t="shared" si="48"/>
        <v>6</v>
      </c>
      <c r="AZ80" s="3">
        <f t="shared" si="49"/>
        <v>1</v>
      </c>
      <c r="BA80" s="3">
        <f>IF(ISERROR(LEN(VLOOKUP(A80,Seqs!A:E,2,FALSE))-AL80),"-",LEN(VLOOKUP(A80,Seqs!A:E,2,FALSE))-AL80)</f>
        <v>43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2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2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ptafr_human</v>
      </c>
      <c r="C87" s="3">
        <f>VLOOKUP($A87,'SegEnds_NonXtal_BW#'!$A:$Z,3,FALSE)+D87-50</f>
        <v>18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52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86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161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184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301</v>
      </c>
      <c r="AJ87" s="3">
        <f>IF(ISERROR(VLOOKUP($A87,'SegEnds_NonXtal_BW#'!$A:$Z,25,FALSE)+VLOOKUP($A87,A:AL,37,FALSE)-50),"-",(VLOOKUP($A87,'SegEnds_NonXtal_BW#'!$A:$Z,25,FALSE)+VLOOKUP($A87,A:AL,37,FALSE)-50))</f>
        <v>302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315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NoXtal</v>
      </c>
      <c r="AP87" s="3" t="str">
        <f t="shared" si="39"/>
        <v>-</v>
      </c>
      <c r="AQ87" s="3" t="str">
        <f t="shared" si="40"/>
        <v>-</v>
      </c>
      <c r="AR87" s="3">
        <f t="shared" si="41"/>
        <v>2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12</v>
      </c>
      <c r="AW87" s="3">
        <f t="shared" si="46"/>
        <v>9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22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NoXtal</v>
      </c>
      <c r="AP88" s="3" t="str">
        <f t="shared" si="39"/>
        <v>-</v>
      </c>
      <c r="AQ88" s="3" t="str">
        <f t="shared" si="40"/>
        <v>-</v>
      </c>
      <c r="AR88" s="3">
        <f t="shared" si="41"/>
        <v>3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10</v>
      </c>
      <c r="AW88" s="3">
        <f t="shared" si="46"/>
        <v>6</v>
      </c>
      <c r="AX88" s="3">
        <f t="shared" si="47"/>
        <v>5</v>
      </c>
      <c r="AY88" s="3">
        <f t="shared" si="48"/>
        <v>7</v>
      </c>
      <c r="AZ88" s="3">
        <f t="shared" si="49"/>
        <v>1</v>
      </c>
      <c r="BA88" s="3">
        <f>IF(ISERROR(LEN(VLOOKUP(A88,Seqs!A:E,2,FALSE))-AL88),"-",LEN(VLOOKUP(A88,Seqs!A:E,2,FALSE))-AL88)</f>
        <v>25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36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288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3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2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1">G90-2</f>
        <v>145</v>
      </c>
      <c r="G90" s="3">
        <v>147</v>
      </c>
      <c r="H90" s="3">
        <f t="shared" ref="H90:H98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cnr2_human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105">
        <v>67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274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319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Xtal</v>
      </c>
      <c r="AP91" s="3">
        <f t="shared" si="39"/>
        <v>1</v>
      </c>
      <c r="AQ91" s="3">
        <f t="shared" si="40"/>
        <v>2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6</v>
      </c>
      <c r="AY91" s="3">
        <f t="shared" si="48"/>
        <v>3</v>
      </c>
      <c r="AZ91" s="3">
        <f t="shared" si="49"/>
        <v>1</v>
      </c>
      <c r="BA91" s="3">
        <f>IF(ISERROR(LEN(VLOOKUP(A91,Seqs!A:E,2,FALSE))-AL91),"-",LEN(VLOOKUP(A91,Seqs!A:E,2,FALSE))-AL91)</f>
        <v>41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ccr2_human</v>
      </c>
      <c r="C92" s="3">
        <f>VLOOKUP($A92,'SegEnds_NonXtal_BW#'!$A:$Z,3,FALSE)+D92-50</f>
        <v>26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ref="I92:I101" si="63">H92+1</f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184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308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7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47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5">M93-1</f>
        <v>116</v>
      </c>
      <c r="M93" s="3">
        <v>117</v>
      </c>
      <c r="N93" s="3">
        <f t="shared" ref="N93:N100" si="66">M93+2</f>
        <v>119</v>
      </c>
      <c r="O93" s="3">
        <f t="shared" ref="O93:O100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4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8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3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1"/>
        <v>69</v>
      </c>
      <c r="G98" s="3">
        <v>71</v>
      </c>
      <c r="H98" s="3">
        <f t="shared" si="62"/>
        <v>72</v>
      </c>
      <c r="I98" s="3">
        <f t="shared" si="6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5"/>
        <v>106</v>
      </c>
      <c r="M98" s="3">
        <v>107</v>
      </c>
      <c r="N98" s="3">
        <f t="shared" si="66"/>
        <v>109</v>
      </c>
      <c r="O98" s="3">
        <f t="shared" si="6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0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5"/>
        <v>1</v>
      </c>
      <c r="AO98" s="3" t="str">
        <f>IF(ISERROR(MATCH(A98,'SegEnds_Xtal_Prot#'!B:B, 0)), "NoXtal", "Xtal")</f>
        <v>NoXtal</v>
      </c>
      <c r="AP98" s="3">
        <f t="shared" si="39"/>
        <v>1</v>
      </c>
      <c r="AQ98" s="3">
        <f t="shared" si="40"/>
        <v>1</v>
      </c>
      <c r="AR98" s="3">
        <f t="shared" si="41"/>
        <v>3</v>
      </c>
      <c r="AS98" s="3">
        <f t="shared" si="42"/>
        <v>1</v>
      </c>
      <c r="AT98" s="3">
        <f t="shared" si="43"/>
        <v>1</v>
      </c>
      <c r="AU98" s="3">
        <f t="shared" si="44"/>
        <v>1</v>
      </c>
      <c r="AV98" s="3">
        <f t="shared" si="45"/>
        <v>38</v>
      </c>
      <c r="AW98" s="3">
        <f t="shared" si="46"/>
        <v>3</v>
      </c>
      <c r="AX98" s="3">
        <f t="shared" si="47"/>
        <v>22</v>
      </c>
      <c r="AY98" s="3">
        <f t="shared" si="48"/>
        <v>5</v>
      </c>
      <c r="AZ98" s="3">
        <f t="shared" si="49"/>
        <v>1</v>
      </c>
      <c r="BA98" s="3">
        <f>IF(ISERROR(LEN(VLOOKUP(A98,Seqs!A:E,2,FALSE))-AL98),"-",LEN(VLOOKUP(A98,Seqs!A:E,2,FALSE))-AL98)</f>
        <v>102</v>
      </c>
      <c r="BB98" s="16">
        <f t="shared" si="50"/>
        <v>29</v>
      </c>
      <c r="BC98" s="9">
        <f t="shared" si="51"/>
        <v>20</v>
      </c>
      <c r="BD98" s="3">
        <f t="shared" si="52"/>
        <v>29</v>
      </c>
      <c r="BE98" s="3">
        <f t="shared" si="5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1"/>
        <v>109</v>
      </c>
      <c r="G99" s="3">
        <v>111</v>
      </c>
      <c r="H99" s="3">
        <v>113</v>
      </c>
      <c r="I99" s="3">
        <f t="shared" si="6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5"/>
        <v>145</v>
      </c>
      <c r="M99" s="3">
        <v>146</v>
      </c>
      <c r="N99" s="3">
        <f t="shared" si="66"/>
        <v>148</v>
      </c>
      <c r="O99" s="3">
        <f t="shared" si="6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0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2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15</v>
      </c>
      <c r="AW99" s="3">
        <f t="shared" si="46"/>
        <v>4</v>
      </c>
      <c r="AX99" s="3">
        <f t="shared" si="47"/>
        <v>6</v>
      </c>
      <c r="AY99" s="3">
        <f t="shared" si="48"/>
        <v>7</v>
      </c>
      <c r="AZ99" s="3">
        <f t="shared" si="49"/>
        <v>1</v>
      </c>
      <c r="BA99" s="3">
        <f>IF(ISERROR(LEN(VLOOKUP(A99,Seqs!A:E,2,FALSE))-AL99),"-",LEN(VLOOKUP(A99,Seqs!A:E,2,FALSE))-AL99)</f>
        <v>41</v>
      </c>
      <c r="BB99" s="16">
        <f t="shared" si="50"/>
        <v>28</v>
      </c>
      <c r="BC99" s="9">
        <f t="shared" si="51"/>
        <v>20</v>
      </c>
      <c r="BD99" s="3">
        <f t="shared" si="52"/>
        <v>28</v>
      </c>
      <c r="BE99" s="3">
        <f t="shared" si="5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1"/>
        <v>130</v>
      </c>
      <c r="G100" s="3">
        <v>132</v>
      </c>
      <c r="H100" s="3">
        <v>134</v>
      </c>
      <c r="I100" s="3">
        <f t="shared" si="6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5"/>
        <v>166</v>
      </c>
      <c r="M100" s="3">
        <v>167</v>
      </c>
      <c r="N100" s="3">
        <f t="shared" si="66"/>
        <v>169</v>
      </c>
      <c r="O100" s="3">
        <f t="shared" si="6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0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6</v>
      </c>
      <c r="AX100" s="3">
        <f t="shared" si="47"/>
        <v>5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39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1"/>
        <v>159</v>
      </c>
      <c r="G101" s="3">
        <v>161</v>
      </c>
      <c r="H101" s="3">
        <f>G101+1</f>
        <v>162</v>
      </c>
      <c r="I101" s="3">
        <f t="shared" si="6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0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387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NoXtal</v>
      </c>
      <c r="AP101" s="3">
        <f t="shared" si="39"/>
        <v>1</v>
      </c>
      <c r="AQ101" s="3">
        <f t="shared" si="40"/>
        <v>1</v>
      </c>
      <c r="AR101" s="3" t="str">
        <f t="shared" si="41"/>
        <v>-</v>
      </c>
      <c r="AS101" s="3" t="str">
        <f t="shared" si="42"/>
        <v>-</v>
      </c>
      <c r="AT101" s="3">
        <f t="shared" si="43"/>
        <v>2</v>
      </c>
      <c r="AU101" s="3">
        <f t="shared" si="44"/>
        <v>1</v>
      </c>
      <c r="AV101" s="3">
        <f t="shared" si="45"/>
        <v>16</v>
      </c>
      <c r="AW101" s="3">
        <f t="shared" si="46"/>
        <v>11</v>
      </c>
      <c r="AX101" s="3">
        <f t="shared" si="47"/>
        <v>5</v>
      </c>
      <c r="AY101" s="3">
        <f t="shared" si="48"/>
        <v>2</v>
      </c>
      <c r="AZ101" s="3">
        <f t="shared" si="49"/>
        <v>1</v>
      </c>
      <c r="BA101" s="3">
        <f>IF(ISERROR(LEN(VLOOKUP(A101,Seqs!A:E,2,FALSE))-AL101),"-",LEN(VLOOKUP(A101,Seqs!A:E,2,FALSE))-AL101)</f>
        <v>48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8">M102-1</f>
        <v>71</v>
      </c>
      <c r="M102" s="3">
        <v>72</v>
      </c>
      <c r="N102" s="3">
        <f t="shared" ref="N102:N115" si="69">M102+2</f>
        <v>74</v>
      </c>
      <c r="O102" s="3">
        <f t="shared" ref="O102:O115" si="7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0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Xtal</v>
      </c>
      <c r="AP102" s="3" t="str">
        <f t="shared" si="39"/>
        <v>-</v>
      </c>
      <c r="AQ102" s="3" t="str">
        <f t="shared" si="40"/>
        <v>-</v>
      </c>
      <c r="AR102" s="3">
        <f t="shared" si="41"/>
        <v>2</v>
      </c>
      <c r="AS102" s="3">
        <f t="shared" si="42"/>
        <v>1</v>
      </c>
      <c r="AT102" s="3">
        <f t="shared" si="43"/>
        <v>1</v>
      </c>
      <c r="AU102" s="3">
        <f t="shared" si="44"/>
        <v>1</v>
      </c>
      <c r="AV102" s="3">
        <f t="shared" si="45"/>
        <v>24</v>
      </c>
      <c r="AW102" s="3">
        <f t="shared" si="46"/>
        <v>3</v>
      </c>
      <c r="AX102" s="3">
        <f t="shared" si="47"/>
        <v>6</v>
      </c>
      <c r="AY102" s="3">
        <f t="shared" si="48"/>
        <v>5</v>
      </c>
      <c r="AZ102" s="3">
        <f t="shared" si="49"/>
        <v>1</v>
      </c>
      <c r="BA102" s="3">
        <f>IF(ISERROR(LEN(VLOOKUP(A102,Seqs!A:E,2,FALSE))-AL102),"-",LEN(VLOOKUP(A102,Seqs!A:E,2,FALSE))-AL102)</f>
        <v>6</v>
      </c>
      <c r="BB102" s="16">
        <f t="shared" si="50"/>
        <v>29</v>
      </c>
      <c r="BC102" s="9">
        <f t="shared" si="51"/>
        <v>20</v>
      </c>
      <c r="BD102" s="3">
        <f t="shared" si="52"/>
        <v>29</v>
      </c>
      <c r="BE102" s="3">
        <f t="shared" si="5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8"/>
        <v>74</v>
      </c>
      <c r="M103" s="3">
        <v>75</v>
      </c>
      <c r="N103" s="3">
        <f t="shared" si="69"/>
        <v>77</v>
      </c>
      <c r="O103" s="3">
        <f t="shared" si="7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0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NoXtal</v>
      </c>
      <c r="AP103" s="3" t="str">
        <f t="shared" si="39"/>
        <v>-</v>
      </c>
      <c r="AQ103" s="3" t="str">
        <f t="shared" si="40"/>
        <v>-</v>
      </c>
      <c r="AR103" s="3">
        <f t="shared" si="41"/>
        <v>3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18</v>
      </c>
      <c r="AW103" s="3">
        <f t="shared" si="46"/>
        <v>6</v>
      </c>
      <c r="AX103" s="3">
        <f t="shared" si="47"/>
        <v>5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39</v>
      </c>
      <c r="BB103" s="16">
        <f t="shared" si="50"/>
        <v>30</v>
      </c>
      <c r="BC103" s="9">
        <f t="shared" si="51"/>
        <v>20</v>
      </c>
      <c r="BD103" s="3">
        <f t="shared" si="52"/>
        <v>30</v>
      </c>
      <c r="BE103" s="3">
        <f t="shared" si="5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8"/>
        <v>80</v>
      </c>
      <c r="M104" s="3">
        <v>81</v>
      </c>
      <c r="N104" s="3">
        <f t="shared" si="69"/>
        <v>83</v>
      </c>
      <c r="O104" s="3">
        <f t="shared" si="7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0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16</v>
      </c>
      <c r="AW104" s="3">
        <f t="shared" si="46"/>
        <v>7</v>
      </c>
      <c r="AX104" s="3">
        <f t="shared" si="47"/>
        <v>4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52</v>
      </c>
      <c r="BB104" s="16">
        <f t="shared" si="50"/>
        <v>29</v>
      </c>
      <c r="BC104" s="9">
        <f t="shared" si="51"/>
        <v>20</v>
      </c>
      <c r="BD104" s="3">
        <f t="shared" si="52"/>
        <v>29</v>
      </c>
      <c r="BE104" s="3">
        <f t="shared" si="5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8"/>
        <v>103</v>
      </c>
      <c r="M105" s="3">
        <v>104</v>
      </c>
      <c r="N105" s="3">
        <f t="shared" si="69"/>
        <v>106</v>
      </c>
      <c r="O105" s="3">
        <f t="shared" si="7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0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311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2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17</v>
      </c>
      <c r="AW105" s="3">
        <f t="shared" si="46"/>
        <v>6</v>
      </c>
      <c r="AX105" s="3">
        <f t="shared" si="47"/>
        <v>24</v>
      </c>
      <c r="AY105" s="3">
        <f t="shared" si="48"/>
        <v>5</v>
      </c>
      <c r="AZ105" s="3">
        <f t="shared" si="49"/>
        <v>1</v>
      </c>
      <c r="BA105" s="3">
        <f>IF(ISERROR(LEN(VLOOKUP(A105,Seqs!A:E,2,FALSE))-AL105),"-",LEN(VLOOKUP(A105,Seqs!A:E,2,FALSE))-AL105)</f>
        <v>25</v>
      </c>
      <c r="BB105" s="16">
        <f t="shared" si="50"/>
        <v>27</v>
      </c>
      <c r="BC105" s="9">
        <f t="shared" si="51"/>
        <v>20</v>
      </c>
      <c r="BD105" s="3">
        <f t="shared" si="52"/>
        <v>27</v>
      </c>
      <c r="BE105" s="3">
        <f t="shared" si="5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pd2r2_human</v>
      </c>
      <c r="C106" s="3">
        <f>VLOOKUP($A106,'SegEnds_NonXtal_BW#'!$A:$Z,3,FALSE)+D106-50</f>
        <v>26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88</v>
      </c>
      <c r="L106" s="3">
        <f t="shared" si="68"/>
        <v>90</v>
      </c>
      <c r="M106" s="3">
        <v>91</v>
      </c>
      <c r="N106" s="3">
        <f t="shared" si="69"/>
        <v>93</v>
      </c>
      <c r="O106" s="3">
        <f t="shared" si="7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0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4"/>
        <v>178</v>
      </c>
      <c r="AA106" s="3">
        <f>IF(ISERROR(VLOOKUP($A106,'SegEnds_NonXtal_BW#'!$A:$Z,19,FALSE)+VLOOKUP($A106,A:AL,28,FALSE)-50),"-",(VLOOKUP($A106,'SegEnds_NonXtal_BW#'!$A:$Z,19,FALSE)+VLOOKUP($A106,A:AL,28,FALSE)-50))</f>
        <v>189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322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12</v>
      </c>
      <c r="AW106" s="3">
        <f t="shared" si="46"/>
        <v>11</v>
      </c>
      <c r="AX106" s="3">
        <f t="shared" si="47"/>
        <v>5</v>
      </c>
      <c r="AY106" s="3">
        <f t="shared" si="48"/>
        <v>9</v>
      </c>
      <c r="AZ106" s="3">
        <f t="shared" si="49"/>
        <v>1</v>
      </c>
      <c r="BA106" s="3">
        <f>IF(ISERROR(LEN(VLOOKUP(A106,Seqs!A:E,2,FALSE))-AL106),"-",LEN(VLOOKUP(A106,Seqs!A:E,2,FALSE))-AL106)</f>
        <v>28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pd2r2_human</v>
      </c>
      <c r="C107" s="3">
        <f>VLOOKUP($A107,'SegEnds_NonXtal_BW#'!$A:$Z,3,FALSE)+D107-50</f>
        <v>26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68"/>
        <v>90</v>
      </c>
      <c r="M107" s="3">
        <v>91</v>
      </c>
      <c r="N107" s="3">
        <f t="shared" si="69"/>
        <v>93</v>
      </c>
      <c r="O107" s="3">
        <f t="shared" si="7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189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323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11</v>
      </c>
      <c r="AX107" s="3">
        <f t="shared" si="47"/>
        <v>5</v>
      </c>
      <c r="AY107" s="3">
        <f t="shared" si="48"/>
        <v>6</v>
      </c>
      <c r="AZ107" s="3">
        <f t="shared" si="49"/>
        <v>1</v>
      </c>
      <c r="BA107" s="3">
        <f>IF(ISERROR(LEN(VLOOKUP(A107,Seqs!A:E,2,FALSE))-AL107),"-",LEN(VLOOKUP(A107,Seqs!A:E,2,FALSE))-AL107)</f>
        <v>28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pd2r2_human</v>
      </c>
      <c r="C108" s="3">
        <f>VLOOKUP($A108,'SegEnds_NonXtal_BW#'!$A:$Z,3,FALSE)+D108-50</f>
        <v>26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68"/>
        <v>90</v>
      </c>
      <c r="M108" s="3">
        <v>91</v>
      </c>
      <c r="N108" s="3">
        <f t="shared" si="69"/>
        <v>93</v>
      </c>
      <c r="O108" s="3">
        <f t="shared" si="7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189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323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NoXtal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11</v>
      </c>
      <c r="AX108" s="3">
        <f t="shared" si="47"/>
        <v>5</v>
      </c>
      <c r="AY108" s="3">
        <f t="shared" si="48"/>
        <v>6</v>
      </c>
      <c r="AZ108" s="3">
        <f t="shared" si="49"/>
        <v>1</v>
      </c>
      <c r="BA108" s="3">
        <f>IF(ISERROR(LEN(VLOOKUP(A108,Seqs!A:E,2,FALSE))-AL108),"-",LEN(VLOOKUP(A108,Seqs!A:E,2,FALSE))-AL108)</f>
        <v>30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8"/>
        <v>435</v>
      </c>
      <c r="M109" s="3">
        <v>436</v>
      </c>
      <c r="N109" s="3">
        <f t="shared" si="69"/>
        <v>438</v>
      </c>
      <c r="O109" s="3">
        <f t="shared" si="7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0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>
        <f t="shared" si="39"/>
        <v>2</v>
      </c>
      <c r="AQ109" s="3">
        <f t="shared" si="40"/>
        <v>1</v>
      </c>
      <c r="AR109" s="3">
        <f t="shared" si="41"/>
        <v>10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10</v>
      </c>
      <c r="AW109" s="3">
        <f t="shared" si="46"/>
        <v>6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43</v>
      </c>
      <c r="BB109" s="16">
        <f t="shared" si="50"/>
        <v>28</v>
      </c>
      <c r="BC109" s="9">
        <f t="shared" si="51"/>
        <v>20</v>
      </c>
      <c r="BD109" s="3">
        <f t="shared" si="52"/>
        <v>28</v>
      </c>
      <c r="BE109" s="3">
        <f t="shared" si="5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8"/>
        <v>100</v>
      </c>
      <c r="M110" s="3">
        <v>101</v>
      </c>
      <c r="N110" s="3">
        <f t="shared" si="69"/>
        <v>103</v>
      </c>
      <c r="O110" s="3">
        <f t="shared" si="7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0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 t="str">
        <f t="shared" si="39"/>
        <v>-</v>
      </c>
      <c r="AQ110" s="3" t="str">
        <f t="shared" si="40"/>
        <v>-</v>
      </c>
      <c r="AR110" s="3">
        <f t="shared" si="41"/>
        <v>2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13</v>
      </c>
      <c r="AW110" s="3">
        <f t="shared" si="46"/>
        <v>3</v>
      </c>
      <c r="AX110" s="3">
        <f t="shared" si="47"/>
        <v>7</v>
      </c>
      <c r="AY110" s="3">
        <f t="shared" si="48"/>
        <v>5</v>
      </c>
      <c r="AZ110" s="3">
        <f t="shared" si="49"/>
        <v>1</v>
      </c>
      <c r="BA110" s="3">
        <f>IF(ISERROR(LEN(VLOOKUP(A110,Seqs!A:E,2,FALSE))-AL110),"-",LEN(VLOOKUP(A110,Seqs!A:E,2,FALSE))-AL110)</f>
        <v>30</v>
      </c>
      <c r="BB110" s="16">
        <f t="shared" si="50"/>
        <v>30</v>
      </c>
      <c r="BC110" s="9">
        <f t="shared" si="51"/>
        <v>20</v>
      </c>
      <c r="BD110" s="3">
        <f t="shared" si="52"/>
        <v>30</v>
      </c>
      <c r="BE110" s="3">
        <f t="shared" si="5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1">G111+1</f>
        <v>57</v>
      </c>
      <c r="I111" s="3">
        <f t="shared" si="7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68"/>
        <v>90</v>
      </c>
      <c r="M111" s="3">
        <v>91</v>
      </c>
      <c r="N111" s="3">
        <f t="shared" si="69"/>
        <v>93</v>
      </c>
      <c r="O111" s="3">
        <f t="shared" si="7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0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>
        <f t="shared" si="39"/>
        <v>1</v>
      </c>
      <c r="AQ111" s="3">
        <f t="shared" si="40"/>
        <v>1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11</v>
      </c>
      <c r="AW111" s="3">
        <f t="shared" si="46"/>
        <v>2</v>
      </c>
      <c r="AX111" s="3">
        <f t="shared" si="47"/>
        <v>4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79</v>
      </c>
      <c r="BB111" s="16">
        <f t="shared" si="50"/>
        <v>28</v>
      </c>
      <c r="BC111" s="9">
        <f t="shared" si="51"/>
        <v>20</v>
      </c>
      <c r="BD111" s="3">
        <f t="shared" si="52"/>
        <v>28</v>
      </c>
      <c r="BE111" s="3">
        <f t="shared" si="5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1"/>
        <v>50</v>
      </c>
      <c r="I112" s="3">
        <f t="shared" si="7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68"/>
        <v>87</v>
      </c>
      <c r="M112" s="3">
        <v>88</v>
      </c>
      <c r="N112" s="3">
        <f t="shared" si="69"/>
        <v>90</v>
      </c>
      <c r="O112" s="3">
        <f t="shared" si="7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0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2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6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61</v>
      </c>
      <c r="BB112" s="16">
        <f t="shared" si="50"/>
        <v>33</v>
      </c>
      <c r="BC112" s="9">
        <f t="shared" si="51"/>
        <v>20</v>
      </c>
      <c r="BD112" s="3">
        <f t="shared" si="52"/>
        <v>33</v>
      </c>
      <c r="BE112" s="3">
        <f t="shared" si="5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1"/>
        <v>86</v>
      </c>
      <c r="I113" s="3">
        <f t="shared" si="7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68"/>
        <v>119</v>
      </c>
      <c r="M113" s="3">
        <v>120</v>
      </c>
      <c r="N113" s="3">
        <f t="shared" si="69"/>
        <v>122</v>
      </c>
      <c r="O113" s="3">
        <f t="shared" si="7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0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364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1</v>
      </c>
      <c r="AQ113" s="3">
        <f t="shared" si="40"/>
        <v>1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12</v>
      </c>
      <c r="AW113" s="3">
        <f t="shared" si="46"/>
        <v>6</v>
      </c>
      <c r="AX113" s="3">
        <f t="shared" si="47"/>
        <v>66</v>
      </c>
      <c r="AY113" s="3">
        <f t="shared" si="48"/>
        <v>5</v>
      </c>
      <c r="AZ113" s="3">
        <f t="shared" si="49"/>
        <v>1</v>
      </c>
      <c r="BA113" s="3">
        <f>IF(ISERROR(LEN(VLOOKUP(A113,Seqs!A:E,2,FALSE))-AL113),"-",LEN(VLOOKUP(A113,Seqs!A:E,2,FALSE))-AL113)</f>
        <v>42</v>
      </c>
      <c r="BB113" s="16">
        <f t="shared" si="50"/>
        <v>28</v>
      </c>
      <c r="BC113" s="9">
        <f t="shared" si="51"/>
        <v>20</v>
      </c>
      <c r="BD113" s="3">
        <f t="shared" si="52"/>
        <v>28</v>
      </c>
      <c r="BE113" s="3">
        <f t="shared" si="5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1"/>
        <v>75</v>
      </c>
      <c r="I114" s="3">
        <f t="shared" si="7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8"/>
        <v>108</v>
      </c>
      <c r="M114" s="3">
        <v>109</v>
      </c>
      <c r="N114" s="3">
        <f t="shared" si="69"/>
        <v>111</v>
      </c>
      <c r="O114" s="3">
        <f t="shared" si="7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0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4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2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16</v>
      </c>
      <c r="AW114" s="3">
        <f t="shared" si="46"/>
        <v>6</v>
      </c>
      <c r="AX114" s="3">
        <f t="shared" si="47"/>
        <v>6</v>
      </c>
      <c r="AY114" s="3">
        <f t="shared" si="48"/>
        <v>9</v>
      </c>
      <c r="AZ114" s="3">
        <f t="shared" si="49"/>
        <v>1</v>
      </c>
      <c r="BA114" s="3">
        <f>IF(ISERROR(LEN(VLOOKUP(A114,Seqs!A:E,2,FALSE))-AL114),"-",LEN(VLOOKUP(A114,Seqs!A:E,2,FALSE))-AL114)</f>
        <v>28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ccr5_human</v>
      </c>
      <c r="C115" s="3">
        <f>VLOOKUP($A115,'SegEnds_NonXtal_BW#'!$A:$Z,3,FALSE)+D115-50</f>
        <v>23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1"/>
        <v>63</v>
      </c>
      <c r="I115" s="3">
        <f t="shared" si="71"/>
        <v>64</v>
      </c>
      <c r="J115" s="3">
        <v>77</v>
      </c>
      <c r="K115" s="3">
        <f>VLOOKUP($A115,'SegEnds_NonXtal_BW#'!$A:$Z,8,FALSE)+VLOOKUP($A115,A:AL,10,FALSE)-50</f>
        <v>93</v>
      </c>
      <c r="L115" s="3">
        <f t="shared" si="68"/>
        <v>96</v>
      </c>
      <c r="M115" s="3">
        <v>97</v>
      </c>
      <c r="N115" s="3">
        <f t="shared" si="69"/>
        <v>99</v>
      </c>
      <c r="O115" s="3">
        <f t="shared" si="7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0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170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470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3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12</v>
      </c>
      <c r="AW115" s="3">
        <f t="shared" si="46"/>
        <v>5</v>
      </c>
      <c r="AX115" s="3">
        <f t="shared" si="47"/>
        <v>159</v>
      </c>
      <c r="AY115" s="3">
        <f t="shared" si="48"/>
        <v>7</v>
      </c>
      <c r="AZ115" s="3">
        <f t="shared" si="49"/>
        <v>1</v>
      </c>
      <c r="BA115" s="3">
        <f>IF(ISERROR(LEN(VLOOKUP(A115,Seqs!A:E,2,FALSE))-AL115),"-",LEN(VLOOKUP(A115,Seqs!A:E,2,FALSE))-AL115)</f>
        <v>38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aa1r_human</v>
      </c>
      <c r="C116" s="3">
        <f>VLOOKUP($A116,'SegEnds_NonXtal_BW#'!$A:$Z,3,FALSE)+D116-50</f>
        <v>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0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143</v>
      </c>
      <c r="X116" s="3">
        <f>Y116</f>
        <v>155</v>
      </c>
      <c r="Y116" s="3">
        <v>155</v>
      </c>
      <c r="Z116" s="3">
        <f t="shared" si="6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305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 t="str">
        <f t="shared" si="39"/>
        <v>-</v>
      </c>
      <c r="AQ116" s="3" t="str">
        <f t="shared" si="40"/>
        <v>-</v>
      </c>
      <c r="AR116" s="3" t="str">
        <f t="shared" si="41"/>
        <v>-</v>
      </c>
      <c r="AS116" s="3" t="str">
        <f t="shared" si="42"/>
        <v>-</v>
      </c>
      <c r="AT116" s="3">
        <f t="shared" si="43"/>
        <v>1</v>
      </c>
      <c r="AU116" s="3">
        <f t="shared" si="44"/>
        <v>1</v>
      </c>
      <c r="AV116" s="3">
        <f t="shared" si="45"/>
        <v>12</v>
      </c>
      <c r="AW116" s="3">
        <f t="shared" si="46"/>
        <v>4</v>
      </c>
      <c r="AX116" s="3">
        <f t="shared" si="47"/>
        <v>11</v>
      </c>
      <c r="AY116" s="3">
        <f t="shared" si="48"/>
        <v>6</v>
      </c>
      <c r="AZ116" s="3">
        <f t="shared" si="49"/>
        <v>1</v>
      </c>
      <c r="BA116" s="3">
        <f>IF(ISERROR(LEN(VLOOKUP(A116,Seqs!A:E,2,FALSE))-AL116),"-",LEN(VLOOKUP(A116,Seqs!A:E,2,FALSE))-AL116)</f>
        <v>30</v>
      </c>
      <c r="BB116" s="16">
        <f t="shared" si="50"/>
        <v>29</v>
      </c>
      <c r="BC116" s="9">
        <f t="shared" si="51"/>
        <v>20</v>
      </c>
      <c r="BD116" s="3">
        <f t="shared" si="52"/>
        <v>29</v>
      </c>
      <c r="BE116" s="3">
        <f t="shared" si="5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par1_human</v>
      </c>
      <c r="C117" s="3">
        <f>VLOOKUP($A117,'SegEnds_NonXtal_BW#'!$A:$Z,3,FALSE)+D117-50</f>
        <v>13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2">M117-1</f>
        <v>80</v>
      </c>
      <c r="M117" s="3">
        <v>81</v>
      </c>
      <c r="N117" s="3">
        <f t="shared" ref="N117:N122" si="73">M117+2</f>
        <v>83</v>
      </c>
      <c r="O117" s="3">
        <f t="shared" ref="O117:O122" si="7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0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153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4"/>
        <v>168</v>
      </c>
      <c r="AA117" s="3">
        <f>IF(ISERROR(VLOOKUP($A117,'SegEnds_NonXtal_BW#'!$A:$Z,19,FALSE)+VLOOKUP($A117,A:AL,28,FALSE)-50),"-",(VLOOKUP($A117,'SegEnds_NonXtal_BW#'!$A:$Z,19,FALSE)+VLOOKUP($A117,A:AL,28,FALSE)-50))</f>
        <v>178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>
        <f t="shared" si="39"/>
        <v>1</v>
      </c>
      <c r="AQ117" s="3">
        <f t="shared" si="40"/>
        <v>1</v>
      </c>
      <c r="AR117" s="3">
        <f t="shared" si="41"/>
        <v>2</v>
      </c>
      <c r="AS117" s="3">
        <f t="shared" si="42"/>
        <v>1</v>
      </c>
      <c r="AT117" s="3">
        <f t="shared" si="43"/>
        <v>1</v>
      </c>
      <c r="AU117" s="3">
        <f t="shared" si="44"/>
        <v>1</v>
      </c>
      <c r="AV117" s="3">
        <f t="shared" si="45"/>
        <v>13</v>
      </c>
      <c r="AW117" s="3">
        <f t="shared" si="46"/>
        <v>10</v>
      </c>
      <c r="AX117" s="3">
        <f t="shared" si="47"/>
        <v>4</v>
      </c>
      <c r="AY117" s="3">
        <f t="shared" si="48"/>
        <v>7</v>
      </c>
      <c r="AZ117" s="3">
        <f t="shared" si="49"/>
        <v>2</v>
      </c>
      <c r="BA117" s="3">
        <f>IF(ISERROR(LEN(VLOOKUP(A117,Seqs!A:E,2,FALSE))-AL117),"-",LEN(VLOOKUP(A117,Seqs!A:E,2,FALSE))-AL117)</f>
        <v>5</v>
      </c>
      <c r="BB117" s="16">
        <f t="shared" si="50"/>
        <v>28</v>
      </c>
      <c r="BC117" s="9">
        <f t="shared" si="51"/>
        <v>20</v>
      </c>
      <c r="BD117" s="3">
        <f t="shared" si="52"/>
        <v>28</v>
      </c>
      <c r="BE117" s="3">
        <f t="shared" si="5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5ht1b_human</v>
      </c>
      <c r="C118" s="3">
        <f>VLOOKUP($A118,'SegEnds_NonXtal_BW#'!$A:$Z,3,FALSE)+D118-50</f>
        <v>45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2"/>
        <v>113</v>
      </c>
      <c r="M118" s="3">
        <v>114</v>
      </c>
      <c r="N118" s="3">
        <f t="shared" si="73"/>
        <v>116</v>
      </c>
      <c r="O118" s="3">
        <f t="shared" si="7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0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328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1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 t="str">
        <f t="shared" si="45"/>
        <v>-</v>
      </c>
      <c r="AW118" s="3" t="str">
        <f t="shared" si="46"/>
        <v>-</v>
      </c>
      <c r="AX118" s="3">
        <f t="shared" si="47"/>
        <v>16</v>
      </c>
      <c r="AY118" s="3">
        <f t="shared" si="48"/>
        <v>8</v>
      </c>
      <c r="AZ118" s="3">
        <f t="shared" si="49"/>
        <v>1</v>
      </c>
      <c r="BA118" s="3">
        <f>IF(ISERROR(LEN(VLOOKUP(A118,Seqs!A:E,2,FALSE))-AL118),"-",LEN(VLOOKUP(A118,Seqs!A:E,2,FALSE))-AL118)</f>
        <v>19</v>
      </c>
      <c r="BB118" s="16">
        <f t="shared" si="50"/>
        <v>29</v>
      </c>
      <c r="BC118" s="9">
        <f t="shared" si="51"/>
        <v>20</v>
      </c>
      <c r="BD118" s="3">
        <f t="shared" si="52"/>
        <v>29</v>
      </c>
      <c r="BE118" s="3">
        <f t="shared" si="5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pd2r2_human</v>
      </c>
      <c r="C119" s="3">
        <f>VLOOKUP($A119,'SegEnds_NonXtal_BW#'!$A:$Z,3,FALSE)+D119-50</f>
        <v>29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2"/>
        <v>96</v>
      </c>
      <c r="M119" s="3">
        <v>97</v>
      </c>
      <c r="N119" s="3">
        <f t="shared" si="73"/>
        <v>99</v>
      </c>
      <c r="O119" s="3">
        <f t="shared" si="7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0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316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 t="str">
        <f t="shared" si="39"/>
        <v>-</v>
      </c>
      <c r="AQ119" s="3" t="str">
        <f t="shared" si="40"/>
        <v>-</v>
      </c>
      <c r="AR119" s="3">
        <f t="shared" si="41"/>
        <v>2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>
        <f t="shared" si="45"/>
        <v>12</v>
      </c>
      <c r="AW119" s="3">
        <f t="shared" si="46"/>
        <v>5</v>
      </c>
      <c r="AX119" s="3">
        <f t="shared" si="47"/>
        <v>4</v>
      </c>
      <c r="AY119" s="3">
        <f t="shared" si="48"/>
        <v>7</v>
      </c>
      <c r="AZ119" s="3">
        <f t="shared" si="49"/>
        <v>1</v>
      </c>
      <c r="BA119" s="3">
        <f>IF(ISERROR(LEN(VLOOKUP(A119,Seqs!A:E,2,FALSE))-AL119),"-",LEN(VLOOKUP(A119,Seqs!A:E,2,FALSE))-AL119)</f>
        <v>154</v>
      </c>
      <c r="BB119" s="16">
        <f t="shared" si="50"/>
        <v>30</v>
      </c>
      <c r="BC119" s="9">
        <f t="shared" si="51"/>
        <v>20</v>
      </c>
      <c r="BD119" s="3">
        <f t="shared" si="52"/>
        <v>30</v>
      </c>
      <c r="BE119" s="3">
        <f t="shared" si="5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6">G120+1</f>
        <v>39</v>
      </c>
      <c r="I120" s="3">
        <f t="shared" si="76"/>
        <v>40</v>
      </c>
      <c r="J120" s="105">
        <v>52</v>
      </c>
      <c r="K120" s="3">
        <f>VLOOKUP($A120,'SegEnds_NonXtal_BW#'!$A:$Z,8,FALSE)+VLOOKUP($A120,A:AL,10,FALSE)-50</f>
        <v>70</v>
      </c>
      <c r="L120" s="3">
        <f t="shared" si="72"/>
        <v>75</v>
      </c>
      <c r="M120" s="3">
        <v>76</v>
      </c>
      <c r="N120" s="3">
        <f t="shared" si="73"/>
        <v>78</v>
      </c>
      <c r="O120" s="3">
        <f t="shared" si="7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0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311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>
        <f t="shared" si="39"/>
        <v>1</v>
      </c>
      <c r="AQ120" s="3">
        <f t="shared" si="40"/>
        <v>1</v>
      </c>
      <c r="AR120" s="3">
        <f t="shared" si="41"/>
        <v>5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13</v>
      </c>
      <c r="AW120" s="3">
        <f t="shared" si="46"/>
        <v>6</v>
      </c>
      <c r="AX120" s="3">
        <f t="shared" si="47"/>
        <v>24</v>
      </c>
      <c r="AY120" s="3">
        <f t="shared" si="48"/>
        <v>5</v>
      </c>
      <c r="AZ120" s="3">
        <f t="shared" si="49"/>
        <v>1</v>
      </c>
      <c r="BA120" s="3">
        <f>IF(ISERROR(LEN(VLOOKUP(A120,Seqs!A:E,2,FALSE))-AL120),"-",LEN(VLOOKUP(A120,Seqs!A:E,2,FALSE))-AL120)</f>
        <v>298</v>
      </c>
      <c r="BB120" s="16">
        <f t="shared" si="50"/>
        <v>27</v>
      </c>
      <c r="BC120" s="9">
        <f t="shared" si="51"/>
        <v>20</v>
      </c>
      <c r="BD120" s="3">
        <f t="shared" si="52"/>
        <v>27</v>
      </c>
      <c r="BE120" s="3">
        <f t="shared" si="5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6"/>
        <v>59</v>
      </c>
      <c r="I121" s="3">
        <f t="shared" si="7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72"/>
        <v>92</v>
      </c>
      <c r="M121" s="3">
        <v>93</v>
      </c>
      <c r="N121" s="3">
        <f t="shared" si="73"/>
        <v>95</v>
      </c>
      <c r="O121" s="3">
        <f t="shared" si="7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0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1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5</v>
      </c>
      <c r="AX121" s="3">
        <f t="shared" si="47"/>
        <v>33</v>
      </c>
      <c r="AY121" s="3">
        <f t="shared" si="48"/>
        <v>6</v>
      </c>
      <c r="AZ121" s="3">
        <f t="shared" si="49"/>
        <v>1</v>
      </c>
      <c r="BA121" s="3">
        <f>IF(ISERROR(LEN(VLOOKUP(A121,Seqs!A:E,2,FALSE))-AL121),"-",LEN(VLOOKUP(A121,Seqs!A:E,2,FALSE))-AL121)</f>
        <v>190</v>
      </c>
      <c r="BB121" s="16">
        <f t="shared" si="50"/>
        <v>28</v>
      </c>
      <c r="BC121" s="9">
        <f t="shared" si="51"/>
        <v>20</v>
      </c>
      <c r="BD121" s="3">
        <f t="shared" si="52"/>
        <v>28</v>
      </c>
      <c r="BE121" s="3">
        <f t="shared" si="5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npy1r_human</v>
      </c>
      <c r="C122" s="3">
        <f>VLOOKUP($A122,'SegEnds_NonXtal_BW#'!$A:$Z,3,FALSE)+D122-50</f>
        <v>9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6"/>
        <v>45</v>
      </c>
      <c r="I122" s="3">
        <f t="shared" si="76"/>
        <v>46</v>
      </c>
      <c r="J122" s="105">
        <v>58</v>
      </c>
      <c r="K122" s="3">
        <f>VLOOKUP($A122,'SegEnds_NonXtal_BW#'!$A:$Z,8,FALSE)+VLOOKUP($A122,A:AL,10,FALSE)-50</f>
        <v>76</v>
      </c>
      <c r="L122" s="3">
        <f t="shared" si="72"/>
        <v>82</v>
      </c>
      <c r="M122" s="3">
        <v>83</v>
      </c>
      <c r="N122" s="3">
        <f t="shared" si="73"/>
        <v>85</v>
      </c>
      <c r="O122" s="3">
        <f t="shared" si="7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0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6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12</v>
      </c>
      <c r="AW122" s="3">
        <f t="shared" si="46"/>
        <v>6</v>
      </c>
      <c r="AX122" s="3">
        <f t="shared" si="47"/>
        <v>46</v>
      </c>
      <c r="AY122" s="3">
        <f t="shared" si="48"/>
        <v>5</v>
      </c>
      <c r="AZ122" s="3">
        <f t="shared" si="49"/>
        <v>1</v>
      </c>
      <c r="BA122" s="3">
        <f>IF(ISERROR(LEN(VLOOKUP(A122,Seqs!A:E,2,FALSE))-AL122),"-",LEN(VLOOKUP(A122,Seqs!A:E,2,FALSE))-AL122)</f>
        <v>250</v>
      </c>
      <c r="BB122" s="16">
        <f t="shared" si="50"/>
        <v>27</v>
      </c>
      <c r="BC122" s="9">
        <f t="shared" si="51"/>
        <v>20</v>
      </c>
      <c r="BD122" s="3">
        <f t="shared" si="52"/>
        <v>27</v>
      </c>
      <c r="BE122" s="3">
        <f t="shared" si="5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0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 t="str">
        <f t="shared" si="39"/>
        <v>-</v>
      </c>
      <c r="AQ123" s="3" t="str">
        <f t="shared" si="40"/>
        <v>-</v>
      </c>
      <c r="AR123" s="3" t="str">
        <f t="shared" si="41"/>
        <v>-</v>
      </c>
      <c r="AS123" s="3" t="str">
        <f t="shared" si="42"/>
        <v>-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4</v>
      </c>
      <c r="AX123" s="3">
        <f t="shared" si="47"/>
        <v>6</v>
      </c>
      <c r="AY123" s="3">
        <f t="shared" si="48"/>
        <v>4</v>
      </c>
      <c r="AZ123" s="3">
        <f t="shared" si="49"/>
        <v>1</v>
      </c>
      <c r="BA123" s="3">
        <f>IF(ISERROR(LEN(VLOOKUP(A123,Seqs!A:E,2,FALSE))-AL123),"-",LEN(VLOOKUP(A123,Seqs!A:E,2,FALSE))-AL123)</f>
        <v>20</v>
      </c>
      <c r="BB123" s="16">
        <f t="shared" si="50"/>
        <v>28</v>
      </c>
      <c r="BC123" s="9">
        <f t="shared" si="51"/>
        <v>20</v>
      </c>
      <c r="BD123" s="3">
        <f t="shared" si="52"/>
        <v>28</v>
      </c>
      <c r="BE123" s="3">
        <f t="shared" si="5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5ht2a_human</v>
      </c>
      <c r="C124" s="3">
        <f>VLOOKUP($A124,'SegEnds_NonXtal_BW#'!$A:$Z,3,FALSE)+D124-50</f>
        <v>17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7">G124+1</f>
        <v>54</v>
      </c>
      <c r="I124" s="3">
        <f t="shared" si="77"/>
        <v>55</v>
      </c>
      <c r="J124" s="3">
        <v>68</v>
      </c>
      <c r="K124" s="3">
        <f>VLOOKUP($A124,'SegEnds_NonXtal_BW#'!$A:$Z,8,FALSE)+VLOOKUP($A124,A:AL,10,FALSE)-50</f>
        <v>86</v>
      </c>
      <c r="L124" s="3">
        <f t="shared" ref="L124:L132" si="78">M124-1</f>
        <v>88</v>
      </c>
      <c r="M124" s="3">
        <v>89</v>
      </c>
      <c r="N124" s="3">
        <f t="shared" ref="N124:N132" si="79">M124+2</f>
        <v>91</v>
      </c>
      <c r="O124" s="3">
        <f t="shared" ref="O124:O132" si="8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0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165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357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>
        <f t="shared" si="39"/>
        <v>1</v>
      </c>
      <c r="AQ124" s="3">
        <f t="shared" si="40"/>
        <v>1</v>
      </c>
      <c r="AR124" s="3">
        <f t="shared" si="41"/>
        <v>2</v>
      </c>
      <c r="AS124" s="3">
        <f t="shared" si="42"/>
        <v>1</v>
      </c>
      <c r="AT124" s="3">
        <f t="shared" si="43"/>
        <v>1</v>
      </c>
      <c r="AU124" s="3">
        <f t="shared" si="44"/>
        <v>1</v>
      </c>
      <c r="AV124" s="3">
        <f t="shared" si="45"/>
        <v>9</v>
      </c>
      <c r="AW124" s="3">
        <f t="shared" si="46"/>
        <v>44</v>
      </c>
      <c r="AX124" s="3">
        <f t="shared" si="47"/>
        <v>13</v>
      </c>
      <c r="AY124" s="3">
        <f t="shared" si="48"/>
        <v>6</v>
      </c>
      <c r="AZ124" s="3">
        <f t="shared" si="49"/>
        <v>1</v>
      </c>
      <c r="BA124" s="3">
        <f>IF(ISERROR(LEN(VLOOKUP(A124,Seqs!A:E,2,FALSE))-AL124),"-",LEN(VLOOKUP(A124,Seqs!A:E,2,FALSE))-AL124)</f>
        <v>16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7"/>
        <v>85</v>
      </c>
      <c r="I125" s="3">
        <f t="shared" si="7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78"/>
        <v>118</v>
      </c>
      <c r="M125" s="3">
        <v>119</v>
      </c>
      <c r="N125" s="3">
        <f t="shared" si="79"/>
        <v>121</v>
      </c>
      <c r="O125" s="3">
        <f t="shared" si="8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0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10</v>
      </c>
      <c r="AW125" s="3">
        <f t="shared" si="46"/>
        <v>6</v>
      </c>
      <c r="AX125" s="3">
        <f t="shared" si="47"/>
        <v>5</v>
      </c>
      <c r="AY125" s="3">
        <f t="shared" si="48"/>
        <v>4</v>
      </c>
      <c r="AZ125" s="3">
        <f t="shared" si="49"/>
        <v>1</v>
      </c>
      <c r="BA125" s="3">
        <f>IF(ISERROR(LEN(VLOOKUP(A125,Seqs!A:E,2,FALSE))-AL125),"-",LEN(VLOOKUP(A125,Seqs!A:E,2,FALSE))-AL125)</f>
        <v>66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oprk_human</v>
      </c>
      <c r="C126" s="3">
        <f>VLOOKUP($A126,'SegEnds_NonXtal_BW#'!$A:$Z,3,FALSE)+D126-50</f>
        <v>29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7"/>
        <v>63</v>
      </c>
      <c r="I126" s="3">
        <f t="shared" si="77"/>
        <v>64</v>
      </c>
      <c r="J126" s="3">
        <v>77</v>
      </c>
      <c r="K126" s="3">
        <f>VLOOKUP($A126,'SegEnds_NonXtal_BW#'!$A:$Z,8,FALSE)+VLOOKUP($A126,A:AL,10,FALSE)-50</f>
        <v>94</v>
      </c>
      <c r="L126" s="3">
        <f t="shared" si="78"/>
        <v>96</v>
      </c>
      <c r="M126" s="3">
        <v>97</v>
      </c>
      <c r="N126" s="3">
        <f t="shared" si="79"/>
        <v>99</v>
      </c>
      <c r="O126" s="3">
        <f t="shared" si="8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0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2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11</v>
      </c>
      <c r="AW126" s="3">
        <f t="shared" si="46"/>
        <v>5</v>
      </c>
      <c r="AX126" s="3">
        <f t="shared" si="47"/>
        <v>6</v>
      </c>
      <c r="AY126" s="3">
        <f t="shared" si="48"/>
        <v>6</v>
      </c>
      <c r="AZ126" s="3">
        <f t="shared" si="49"/>
        <v>1</v>
      </c>
      <c r="BA126" s="3">
        <f>IF(ISERROR(LEN(VLOOKUP(A126,Seqs!A:E,2,FALSE))-AL126),"-",LEN(VLOOKUP(A126,Seqs!A:E,2,FALSE))-AL126)</f>
        <v>37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7"/>
        <v>91</v>
      </c>
      <c r="I127" s="3">
        <f t="shared" si="7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78"/>
        <v>123</v>
      </c>
      <c r="M127" s="3">
        <v>124</v>
      </c>
      <c r="N127" s="3">
        <f t="shared" si="79"/>
        <v>126</v>
      </c>
      <c r="O127" s="3">
        <f t="shared" si="8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0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9</v>
      </c>
      <c r="AW127" s="3">
        <f t="shared" si="46"/>
        <v>3</v>
      </c>
      <c r="AX127" s="3">
        <f t="shared" si="47"/>
        <v>4</v>
      </c>
      <c r="AY127" s="3">
        <f t="shared" si="48"/>
        <v>7</v>
      </c>
      <c r="AZ127" s="3">
        <f t="shared" si="49"/>
        <v>1</v>
      </c>
      <c r="BA127" s="3">
        <f>IF(ISERROR(LEN(VLOOKUP(A127,Seqs!A:E,2,FALSE))-AL127),"-",LEN(VLOOKUP(A127,Seqs!A:E,2,FALSE))-AL127)</f>
        <v>35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34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78"/>
        <v>102</v>
      </c>
      <c r="M128" s="3">
        <v>103</v>
      </c>
      <c r="N128" s="3">
        <f t="shared" si="79"/>
        <v>105</v>
      </c>
      <c r="O128" s="3">
        <f t="shared" si="8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0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 t="str">
        <f t="shared" si="39"/>
        <v>-</v>
      </c>
      <c r="AQ128" s="3" t="str">
        <f t="shared" si="40"/>
        <v>-</v>
      </c>
      <c r="AR128" s="3">
        <f t="shared" si="41"/>
        <v>3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11</v>
      </c>
      <c r="AW128" s="3">
        <f t="shared" si="46"/>
        <v>13</v>
      </c>
      <c r="AX128" s="3">
        <f t="shared" si="47"/>
        <v>5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33</v>
      </c>
      <c r="BB128" s="16">
        <f t="shared" si="50"/>
        <v>27</v>
      </c>
      <c r="BC128" s="9">
        <f t="shared" si="51"/>
        <v>20</v>
      </c>
      <c r="BD128" s="3">
        <f t="shared" si="52"/>
        <v>27</v>
      </c>
      <c r="BE128" s="3">
        <f t="shared" si="5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78"/>
        <v>104</v>
      </c>
      <c r="M129" s="3">
        <v>105</v>
      </c>
      <c r="N129" s="3">
        <f t="shared" si="79"/>
        <v>107</v>
      </c>
      <c r="O129" s="3">
        <f t="shared" si="8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0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 t="str">
        <f t="shared" si="45"/>
        <v>-</v>
      </c>
      <c r="AW129" s="3" t="str">
        <f t="shared" si="46"/>
        <v>-</v>
      </c>
      <c r="AX129" s="3">
        <f t="shared" si="47"/>
        <v>6</v>
      </c>
      <c r="AY129" s="3">
        <f t="shared" si="48"/>
        <v>5</v>
      </c>
      <c r="AZ129" s="3">
        <f t="shared" si="49"/>
        <v>1</v>
      </c>
      <c r="BA129" s="3">
        <f>IF(ISERROR(LEN(VLOOKUP(A129,Seqs!A:E,2,FALSE))-AL129),"-",LEN(VLOOKUP(A129,Seqs!A:E,2,FALSE))-AL129)</f>
        <v>17</v>
      </c>
      <c r="BB129" s="16">
        <f t="shared" si="50"/>
        <v>28</v>
      </c>
      <c r="BC129" s="9">
        <f t="shared" si="51"/>
        <v>20</v>
      </c>
      <c r="BD129" s="3">
        <f t="shared" si="52"/>
        <v>28</v>
      </c>
      <c r="BE129" s="3">
        <f t="shared" si="5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apj_human</v>
      </c>
      <c r="C130" s="3">
        <f>VLOOKUP($A130,'SegEnds_NonXtal_BW#'!$A:$Z,3,FALSE)+D130-50</f>
        <v>34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96</v>
      </c>
      <c r="L130" s="3">
        <f t="shared" si="78"/>
        <v>98</v>
      </c>
      <c r="M130" s="3">
        <v>99</v>
      </c>
      <c r="N130" s="3">
        <f t="shared" si="79"/>
        <v>101</v>
      </c>
      <c r="O130" s="3">
        <f t="shared" si="8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0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187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2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>
        <f t="shared" si="45"/>
        <v>11</v>
      </c>
      <c r="AW130" s="3">
        <f t="shared" si="46"/>
        <v>2</v>
      </c>
      <c r="AX130" s="3">
        <f t="shared" si="47"/>
        <v>5</v>
      </c>
      <c r="AY130" s="3">
        <f t="shared" si="48"/>
        <v>6</v>
      </c>
      <c r="AZ130" s="3">
        <f t="shared" si="49"/>
        <v>1</v>
      </c>
      <c r="BA130" s="3">
        <f>IF(ISERROR(LEN(VLOOKUP(A130,Seqs!A:E,2,FALSE))-AL130),"-",LEN(VLOOKUP(A130,Seqs!A:E,2,FALSE))-AL130)</f>
        <v>40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78"/>
        <v>124</v>
      </c>
      <c r="M131" s="3">
        <v>125</v>
      </c>
      <c r="N131" s="3">
        <f t="shared" si="79"/>
        <v>127</v>
      </c>
      <c r="O131" s="3">
        <f t="shared" si="8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0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11</v>
      </c>
      <c r="AW131" s="3">
        <f t="shared" si="46"/>
        <v>1</v>
      </c>
      <c r="AX131" s="3">
        <f t="shared" si="47"/>
        <v>5</v>
      </c>
      <c r="AY131" s="3">
        <f t="shared" si="48"/>
        <v>4</v>
      </c>
      <c r="AZ131" s="3">
        <f t="shared" si="49"/>
        <v>1</v>
      </c>
      <c r="BA131" s="3">
        <f>IF(ISERROR(LEN(VLOOKUP(A131,Seqs!A:E,2,FALSE))-AL131),"-",LEN(VLOOKUP(A131,Seqs!A:E,2,FALSE))-AL131)</f>
        <v>24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apj_human</v>
      </c>
      <c r="C132" s="3">
        <f>VLOOKUP($A132,'SegEnds_NonXtal_BW#'!$A:$Z,3,FALSE)+D132-50</f>
        <v>23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78"/>
        <v>86</v>
      </c>
      <c r="M132" s="3">
        <v>87</v>
      </c>
      <c r="N132" s="3">
        <f t="shared" si="79"/>
        <v>89</v>
      </c>
      <c r="O132" s="3">
        <f t="shared" si="8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0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304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ref="AP132:AP195" si="81">IF(ISERROR(F132-E132),"-",F132-E132)</f>
        <v>-</v>
      </c>
      <c r="AQ132" s="3" t="str">
        <f t="shared" ref="AQ132:AQ195" si="82">IF(ISERROR(I132-H132),"-",I132-H132)</f>
        <v>-</v>
      </c>
      <c r="AR132" s="3">
        <f t="shared" ref="AR132:AR195" si="83">IF(ISERROR(L132-K132),"-",L132-K132)</f>
        <v>2</v>
      </c>
      <c r="AS132" s="3">
        <f t="shared" ref="AS132:AS195" si="84">IF(ISERROR(O132-N132),"-",O132-N132)</f>
        <v>1</v>
      </c>
      <c r="AT132" s="3">
        <f t="shared" ref="AT132:AT195" si="85">IF(ISERROR(R132-Q132),"-",R132-Q132)</f>
        <v>1</v>
      </c>
      <c r="AU132" s="3">
        <f t="shared" ref="AU132:AU195" si="86">IF(ISERROR(U132-T132),"-",U132-T132)</f>
        <v>1</v>
      </c>
      <c r="AV132" s="3">
        <f t="shared" ref="AV132:AV195" si="87">IF(ISERROR(X132-W132),"-",X132-W132)</f>
        <v>12</v>
      </c>
      <c r="AW132" s="3">
        <f t="shared" ref="AW132:AW195" si="88">IF(ISERROR(AA132-Z132),"-",AA132-Z132)</f>
        <v>5</v>
      </c>
      <c r="AX132" s="3">
        <f t="shared" ref="AX132:AX195" si="89">IF(ISERROR(AD132-AC132),"-",AD132-AC132)</f>
        <v>4</v>
      </c>
      <c r="AY132" s="3">
        <f t="shared" ref="AY132:AY195" si="90">IF(ISERROR(AG132-AF132),"-",AG132-AF132)</f>
        <v>6</v>
      </c>
      <c r="AZ132" s="3">
        <f t="shared" ref="AZ132:AZ195" si="91">IF(ISERROR(AJ132-AI132),"-",AJ132-AI132)</f>
        <v>1</v>
      </c>
      <c r="BA132" s="3">
        <f>IF(ISERROR(LEN(VLOOKUP(A132,Seqs!A:E,2,FALSE))-AL132),"-",LEN(VLOOKUP(A132,Seqs!A:E,2,FALSE))-AL132)</f>
        <v>27</v>
      </c>
      <c r="BB132" s="16">
        <f t="shared" ref="BB132:BB195" si="92">J132-D132</f>
        <v>28</v>
      </c>
      <c r="BC132" s="9">
        <f t="shared" ref="BC132:BC195" si="93">IF(ISERROR(V132-S132),"-",V132-S132)</f>
        <v>20</v>
      </c>
      <c r="BD132" s="3">
        <f t="shared" ref="BD132:BD195" si="94">J132-D132</f>
        <v>28</v>
      </c>
      <c r="BE132" s="3">
        <f t="shared" ref="BE132:BE195" si="9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par2_human</v>
      </c>
      <c r="C133" s="3">
        <f>VLOOKUP($A133,'SegEnds_NonXtal_BW#'!$A:$Z,3,FALSE)+D133-50</f>
        <v>49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6">G133-2</f>
        <v>82</v>
      </c>
      <c r="G133" s="3">
        <v>84</v>
      </c>
      <c r="H133" s="3">
        <f t="shared" ref="H133:I138" si="97">G133+1</f>
        <v>85</v>
      </c>
      <c r="I133" s="3">
        <f t="shared" si="9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0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187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275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315</v>
      </c>
      <c r="AM133" s="28" t="str">
        <f>VLOOKUP(A133,Classification!A:B,2,FALSE)</f>
        <v>A</v>
      </c>
      <c r="AN133" s="28" t="b">
        <f t="shared" ref="AN133:AN196" si="9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1"/>
        <v>1</v>
      </c>
      <c r="AQ133" s="3">
        <f t="shared" si="82"/>
        <v>1</v>
      </c>
      <c r="AR133" s="3" t="str">
        <f t="shared" si="83"/>
        <v>-</v>
      </c>
      <c r="AS133" s="3" t="str">
        <f t="shared" si="84"/>
        <v>-</v>
      </c>
      <c r="AT133" s="3">
        <f t="shared" si="85"/>
        <v>1</v>
      </c>
      <c r="AU133" s="3">
        <f t="shared" si="86"/>
        <v>1</v>
      </c>
      <c r="AV133" s="3" t="str">
        <f t="shared" si="87"/>
        <v>-</v>
      </c>
      <c r="AW133" s="3" t="str">
        <f t="shared" si="88"/>
        <v>-</v>
      </c>
      <c r="AX133" s="3">
        <f t="shared" si="89"/>
        <v>4</v>
      </c>
      <c r="AY133" s="3">
        <f t="shared" si="90"/>
        <v>8</v>
      </c>
      <c r="AZ133" s="3">
        <f t="shared" si="91"/>
        <v>1</v>
      </c>
      <c r="BA133" s="3">
        <f>IF(ISERROR(LEN(VLOOKUP(A133,Seqs!A:E,2,FALSE))-AL133),"-",LEN(VLOOKUP(A133,Seqs!A:E,2,FALSE))-AL133)</f>
        <v>43</v>
      </c>
      <c r="BB133" s="16">
        <f t="shared" si="92"/>
        <v>28</v>
      </c>
      <c r="BC133" s="9">
        <f t="shared" si="93"/>
        <v>20</v>
      </c>
      <c r="BD133" s="3">
        <f t="shared" si="94"/>
        <v>28</v>
      </c>
      <c r="BE133" s="3">
        <f t="shared" si="9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5ht2a_human</v>
      </c>
      <c r="C134" s="3">
        <f>VLOOKUP($A134,'SegEnds_NonXtal_BW#'!$A:$Z,3,FALSE)+D134-50</f>
        <v>23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6"/>
        <v>57</v>
      </c>
      <c r="G134" s="3">
        <v>59</v>
      </c>
      <c r="H134" s="3">
        <f t="shared" si="97"/>
        <v>60</v>
      </c>
      <c r="I134" s="3">
        <f t="shared" si="9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0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171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321</v>
      </c>
      <c r="AM134" s="28" t="str">
        <f>VLOOKUP(A134,Classification!A:B,2,FALSE)</f>
        <v>A</v>
      </c>
      <c r="AN134" s="28" t="b">
        <f t="shared" si="98"/>
        <v>1</v>
      </c>
      <c r="AO134" s="3" t="str">
        <f>IF(ISERROR(MATCH(A134,'SegEnds_Xtal_Prot#'!B:B, 0)), "NoXtal", "Xtal")</f>
        <v>NoXtal</v>
      </c>
      <c r="AP134" s="3">
        <f t="shared" si="81"/>
        <v>1</v>
      </c>
      <c r="AQ134" s="3">
        <f t="shared" si="82"/>
        <v>1</v>
      </c>
      <c r="AR134" s="3" t="str">
        <f t="shared" si="83"/>
        <v>-</v>
      </c>
      <c r="AS134" s="3" t="str">
        <f t="shared" si="84"/>
        <v>-</v>
      </c>
      <c r="AT134" s="3">
        <f t="shared" si="85"/>
        <v>1</v>
      </c>
      <c r="AU134" s="3">
        <f t="shared" si="86"/>
        <v>1</v>
      </c>
      <c r="AV134" s="3">
        <f t="shared" si="87"/>
        <v>10</v>
      </c>
      <c r="AW134" s="3">
        <f t="shared" si="88"/>
        <v>4</v>
      </c>
      <c r="AX134" s="3">
        <f t="shared" si="89"/>
        <v>12</v>
      </c>
      <c r="AY134" s="3">
        <f t="shared" si="90"/>
        <v>5</v>
      </c>
      <c r="AZ134" s="3">
        <f t="shared" si="91"/>
        <v>1</v>
      </c>
      <c r="BA134" s="3">
        <f>IF(ISERROR(LEN(VLOOKUP(A134,Seqs!A:E,2,FALSE))-AL134),"-",LEN(VLOOKUP(A134,Seqs!A:E,2,FALSE))-AL134)</f>
        <v>28</v>
      </c>
      <c r="BB134" s="16">
        <f t="shared" si="92"/>
        <v>29</v>
      </c>
      <c r="BC134" s="9">
        <f t="shared" si="93"/>
        <v>20</v>
      </c>
      <c r="BD134" s="3">
        <f t="shared" si="94"/>
        <v>29</v>
      </c>
      <c r="BE134" s="3">
        <f t="shared" si="9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35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6"/>
        <v>68</v>
      </c>
      <c r="G135" s="3">
        <v>70</v>
      </c>
      <c r="H135" s="3">
        <f t="shared" si="97"/>
        <v>71</v>
      </c>
      <c r="I135" s="3">
        <f t="shared" si="9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0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98"/>
        <v>1</v>
      </c>
      <c r="AO135" s="3" t="str">
        <f>IF(ISERROR(MATCH(A135,'SegEnds_Xtal_Prot#'!B:B, 0)), "NoXtal", "Xtal")</f>
        <v>NoXtal</v>
      </c>
      <c r="AP135" s="3">
        <f t="shared" si="81"/>
        <v>1</v>
      </c>
      <c r="AQ135" s="3">
        <f t="shared" si="82"/>
        <v>1</v>
      </c>
      <c r="AR135" s="3">
        <f t="shared" si="83"/>
        <v>3</v>
      </c>
      <c r="AS135" s="3">
        <f t="shared" si="84"/>
        <v>1</v>
      </c>
      <c r="AT135" s="3">
        <f t="shared" si="85"/>
        <v>1</v>
      </c>
      <c r="AU135" s="3">
        <f t="shared" si="86"/>
        <v>1</v>
      </c>
      <c r="AV135" s="3">
        <f t="shared" si="87"/>
        <v>13</v>
      </c>
      <c r="AW135" s="3">
        <f t="shared" si="88"/>
        <v>5</v>
      </c>
      <c r="AX135" s="3">
        <f t="shared" si="89"/>
        <v>6</v>
      </c>
      <c r="AY135" s="3">
        <f t="shared" si="90"/>
        <v>5</v>
      </c>
      <c r="AZ135" s="3">
        <f t="shared" si="91"/>
        <v>1</v>
      </c>
      <c r="BA135" s="3">
        <f>IF(ISERROR(LEN(VLOOKUP(A135,Seqs!A:E,2,FALSE))-AL135),"-",LEN(VLOOKUP(A135,Seqs!A:E,2,FALSE))-AL135)</f>
        <v>36</v>
      </c>
      <c r="BB135" s="16">
        <f t="shared" si="92"/>
        <v>28</v>
      </c>
      <c r="BC135" s="9">
        <f t="shared" si="93"/>
        <v>20</v>
      </c>
      <c r="BD135" s="3">
        <f t="shared" si="94"/>
        <v>28</v>
      </c>
      <c r="BE135" s="3">
        <f t="shared" si="9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6"/>
        <v>34</v>
      </c>
      <c r="G136" s="3">
        <v>36</v>
      </c>
      <c r="H136" s="3">
        <f t="shared" si="97"/>
        <v>37</v>
      </c>
      <c r="I136" s="3">
        <f t="shared" si="9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0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98"/>
        <v>1</v>
      </c>
      <c r="AO136" s="3" t="str">
        <f>IF(ISERROR(MATCH(A136,'SegEnds_Xtal_Prot#'!B:B, 0)), "NoXtal", "Xtal")</f>
        <v>NoXtal</v>
      </c>
      <c r="AP136" s="3">
        <f t="shared" si="81"/>
        <v>1</v>
      </c>
      <c r="AQ136" s="3">
        <f t="shared" si="82"/>
        <v>1</v>
      </c>
      <c r="AR136" s="3" t="str">
        <f t="shared" si="83"/>
        <v>-</v>
      </c>
      <c r="AS136" s="3" t="str">
        <f t="shared" si="84"/>
        <v>-</v>
      </c>
      <c r="AT136" s="3">
        <f t="shared" si="85"/>
        <v>1</v>
      </c>
      <c r="AU136" s="3">
        <f t="shared" si="86"/>
        <v>1</v>
      </c>
      <c r="AV136" s="3">
        <f t="shared" si="87"/>
        <v>16</v>
      </c>
      <c r="AW136" s="3">
        <f t="shared" si="88"/>
        <v>8</v>
      </c>
      <c r="AX136" s="3">
        <f t="shared" si="89"/>
        <v>20</v>
      </c>
      <c r="AY136" s="3">
        <f t="shared" si="90"/>
        <v>5</v>
      </c>
      <c r="AZ136" s="3">
        <f t="shared" si="91"/>
        <v>1</v>
      </c>
      <c r="BA136" s="3">
        <f>IF(ISERROR(LEN(VLOOKUP(A136,Seqs!A:E,2,FALSE))-AL136),"-",LEN(VLOOKUP(A136,Seqs!A:E,2,FALSE))-AL136)</f>
        <v>27</v>
      </c>
      <c r="BB136" s="16">
        <f t="shared" si="92"/>
        <v>29</v>
      </c>
      <c r="BC136" s="9">
        <f t="shared" si="93"/>
        <v>20</v>
      </c>
      <c r="BD136" s="3">
        <f t="shared" si="94"/>
        <v>29</v>
      </c>
      <c r="BE136" s="3">
        <f t="shared" si="9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6"/>
        <v>69</v>
      </c>
      <c r="G137" s="3">
        <v>71</v>
      </c>
      <c r="H137" s="3">
        <f t="shared" si="97"/>
        <v>72</v>
      </c>
      <c r="I137" s="3">
        <f t="shared" si="9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0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98"/>
        <v>1</v>
      </c>
      <c r="AO137" s="3" t="str">
        <f>IF(ISERROR(MATCH(A137,'SegEnds_Xtal_Prot#'!B:B, 0)), "NoXtal", "Xtal")</f>
        <v>NoXtal</v>
      </c>
      <c r="AP137" s="3">
        <f t="shared" si="81"/>
        <v>1</v>
      </c>
      <c r="AQ137" s="3">
        <f t="shared" si="82"/>
        <v>1</v>
      </c>
      <c r="AR137" s="3">
        <f t="shared" si="83"/>
        <v>2</v>
      </c>
      <c r="AS137" s="3">
        <f t="shared" si="84"/>
        <v>1</v>
      </c>
      <c r="AT137" s="3">
        <f t="shared" si="85"/>
        <v>1</v>
      </c>
      <c r="AU137" s="3">
        <f t="shared" si="86"/>
        <v>1</v>
      </c>
      <c r="AV137" s="3" t="str">
        <f t="shared" si="87"/>
        <v>-</v>
      </c>
      <c r="AW137" s="3" t="str">
        <f t="shared" si="88"/>
        <v>-</v>
      </c>
      <c r="AX137" s="3">
        <f t="shared" si="89"/>
        <v>6</v>
      </c>
      <c r="AY137" s="3">
        <f t="shared" si="90"/>
        <v>5</v>
      </c>
      <c r="AZ137" s="3">
        <f t="shared" si="91"/>
        <v>1</v>
      </c>
      <c r="BA137" s="3">
        <f>IF(ISERROR(LEN(VLOOKUP(A137,Seqs!A:E,2,FALSE))-AL137),"-",LEN(VLOOKUP(A137,Seqs!A:E,2,FALSE))-AL137)</f>
        <v>17</v>
      </c>
      <c r="BB137" s="16">
        <f t="shared" si="92"/>
        <v>28</v>
      </c>
      <c r="BC137" s="9">
        <f t="shared" si="93"/>
        <v>20</v>
      </c>
      <c r="BD137" s="3">
        <f t="shared" si="94"/>
        <v>28</v>
      </c>
      <c r="BE137" s="3">
        <f t="shared" si="9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oprd_mouse</v>
      </c>
      <c r="C138" s="3">
        <f>VLOOKUP($A138,'SegEnds_NonXtal_BW#'!$A:$Z,3,FALSE)+D138-50</f>
        <v>6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6"/>
        <v>43</v>
      </c>
      <c r="G138" s="3">
        <v>45</v>
      </c>
      <c r="H138" s="3">
        <f t="shared" si="97"/>
        <v>46</v>
      </c>
      <c r="I138" s="3">
        <f t="shared" si="9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0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9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98"/>
        <v>1</v>
      </c>
      <c r="AO138" s="3" t="str">
        <f>IF(ISERROR(MATCH(A138,'SegEnds_Xtal_Prot#'!B:B, 0)), "NoXtal", "Xtal")</f>
        <v>NoXtal</v>
      </c>
      <c r="AP138" s="3">
        <f t="shared" si="81"/>
        <v>1</v>
      </c>
      <c r="AQ138" s="3">
        <f t="shared" si="82"/>
        <v>1</v>
      </c>
      <c r="AR138" s="3">
        <f t="shared" si="83"/>
        <v>3</v>
      </c>
      <c r="AS138" s="3">
        <f t="shared" si="84"/>
        <v>1</v>
      </c>
      <c r="AT138" s="3">
        <f t="shared" si="85"/>
        <v>1</v>
      </c>
      <c r="AU138" s="3">
        <f t="shared" si="86"/>
        <v>1</v>
      </c>
      <c r="AV138" s="3">
        <f t="shared" si="87"/>
        <v>9</v>
      </c>
      <c r="AW138" s="3">
        <f t="shared" si="88"/>
        <v>6</v>
      </c>
      <c r="AX138" s="3">
        <f t="shared" si="89"/>
        <v>4</v>
      </c>
      <c r="AY138" s="3">
        <f t="shared" si="90"/>
        <v>9</v>
      </c>
      <c r="AZ138" s="3">
        <f t="shared" si="91"/>
        <v>1</v>
      </c>
      <c r="BA138" s="3">
        <f>IF(ISERROR(LEN(VLOOKUP(A138,Seqs!A:E,2,FALSE))-AL138),"-",LEN(VLOOKUP(A138,Seqs!A:E,2,FALSE))-AL138)</f>
        <v>20</v>
      </c>
      <c r="BB138" s="16">
        <f t="shared" si="92"/>
        <v>28</v>
      </c>
      <c r="BC138" s="9">
        <f t="shared" si="93"/>
        <v>20</v>
      </c>
      <c r="BD138" s="3">
        <f t="shared" si="94"/>
        <v>28</v>
      </c>
      <c r="BE138" s="3">
        <f t="shared" si="9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oprk_human</v>
      </c>
      <c r="C139" s="3">
        <f>VLOOKUP($A139,'SegEnds_NonXtal_BW#'!$A:$Z,3,FALSE)+D139-50</f>
        <v>41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0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99"/>
        <v>193</v>
      </c>
      <c r="AA139" s="3">
        <f>IF(ISERROR(VLOOKUP($A139,'SegEnds_NonXtal_BW#'!$A:$Z,19,FALSE)+VLOOKUP($A139,A:AL,28,FALSE)-50),"-",(VLOOKUP($A139,'SegEnds_NonXtal_BW#'!$A:$Z,19,FALSE)+VLOOKUP($A139,A:AL,28,FALSE)-50))</f>
        <v>208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332</v>
      </c>
      <c r="AM139" s="28" t="str">
        <f>VLOOKUP(A139,Classification!A:B,2,FALSE)</f>
        <v>A</v>
      </c>
      <c r="AN139" s="28" t="b">
        <f t="shared" si="98"/>
        <v>1</v>
      </c>
      <c r="AO139" s="3" t="str">
        <f>IF(ISERROR(MATCH(A139,'SegEnds_Xtal_Prot#'!B:B, 0)), "NoXtal", "Xtal")</f>
        <v>NoXtal</v>
      </c>
      <c r="AP139" s="3" t="str">
        <f t="shared" si="81"/>
        <v>-</v>
      </c>
      <c r="AQ139" s="3" t="str">
        <f t="shared" si="82"/>
        <v>-</v>
      </c>
      <c r="AR139" s="3">
        <f t="shared" si="83"/>
        <v>2</v>
      </c>
      <c r="AS139" s="3">
        <f t="shared" si="84"/>
        <v>1</v>
      </c>
      <c r="AT139" s="3">
        <f t="shared" si="85"/>
        <v>1</v>
      </c>
      <c r="AU139" s="3">
        <f t="shared" si="86"/>
        <v>1</v>
      </c>
      <c r="AV139" s="3">
        <f t="shared" si="87"/>
        <v>11</v>
      </c>
      <c r="AW139" s="3">
        <f t="shared" si="88"/>
        <v>15</v>
      </c>
      <c r="AX139" s="3">
        <f t="shared" si="89"/>
        <v>5</v>
      </c>
      <c r="AY139" s="3">
        <f t="shared" si="90"/>
        <v>9</v>
      </c>
      <c r="AZ139" s="3">
        <f t="shared" si="91"/>
        <v>1</v>
      </c>
      <c r="BA139" s="3">
        <f>IF(ISERROR(LEN(VLOOKUP(A139,Seqs!A:E,2,FALSE))-AL139),"-",LEN(VLOOKUP(A139,Seqs!A:E,2,FALSE))-AL139)</f>
        <v>24</v>
      </c>
      <c r="BB139" s="16">
        <f t="shared" si="92"/>
        <v>27</v>
      </c>
      <c r="BC139" s="9">
        <f t="shared" si="93"/>
        <v>20</v>
      </c>
      <c r="BD139" s="3">
        <f t="shared" si="94"/>
        <v>27</v>
      </c>
      <c r="BE139" s="3">
        <f t="shared" si="9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25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0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9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98"/>
        <v>1</v>
      </c>
      <c r="AO140" s="3" t="str">
        <f>IF(ISERROR(MATCH(A140,'SegEnds_Xtal_Prot#'!B:B, 0)), "NoXtal", "Xtal")</f>
        <v>NoXtal</v>
      </c>
      <c r="AP140" s="3" t="str">
        <f t="shared" si="81"/>
        <v>-</v>
      </c>
      <c r="AQ140" s="3" t="str">
        <f t="shared" si="82"/>
        <v>-</v>
      </c>
      <c r="AR140" s="3">
        <f t="shared" si="83"/>
        <v>3</v>
      </c>
      <c r="AS140" s="3">
        <f t="shared" si="84"/>
        <v>1</v>
      </c>
      <c r="AT140" s="3">
        <f t="shared" si="85"/>
        <v>1</v>
      </c>
      <c r="AU140" s="3">
        <f t="shared" si="86"/>
        <v>1</v>
      </c>
      <c r="AV140" s="3">
        <f t="shared" si="87"/>
        <v>12</v>
      </c>
      <c r="AW140" s="3">
        <f t="shared" si="88"/>
        <v>20</v>
      </c>
      <c r="AX140" s="3">
        <f t="shared" si="89"/>
        <v>5</v>
      </c>
      <c r="AY140" s="3">
        <f t="shared" si="90"/>
        <v>6</v>
      </c>
      <c r="AZ140" s="3">
        <f t="shared" si="91"/>
        <v>1</v>
      </c>
      <c r="BA140" s="3">
        <f>IF(ISERROR(LEN(VLOOKUP(A140,Seqs!A:E,2,FALSE))-AL140),"-",LEN(VLOOKUP(A140,Seqs!A:E,2,FALSE))-AL140)</f>
        <v>16</v>
      </c>
      <c r="BB140" s="16">
        <f t="shared" si="92"/>
        <v>27</v>
      </c>
      <c r="BC140" s="9">
        <f t="shared" si="93"/>
        <v>20</v>
      </c>
      <c r="BD140" s="3">
        <f t="shared" si="94"/>
        <v>27</v>
      </c>
      <c r="BE140" s="3">
        <f t="shared" si="9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ptafr_human</v>
      </c>
      <c r="C141" s="3">
        <f>VLOOKUP($A141,'SegEnds_NonXtal_BW#'!$A:$Z,3,FALSE)+D141-50</f>
        <v>49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83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117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0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99"/>
        <v>206</v>
      </c>
      <c r="AA141" s="3">
        <f>IF(ISERROR(VLOOKUP($A141,'SegEnds_NonXtal_BW#'!$A:$Z,19,FALSE)+VLOOKUP($A141,A:AL,28,FALSE)-50),"-",(VLOOKUP($A141,'SegEnds_NonXtal_BW#'!$A:$Z,19,FALSE)+VLOOKUP($A141,A:AL,28,FALSE)-50))</f>
        <v>213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333</v>
      </c>
      <c r="AJ141" s="3">
        <f>IF(ISERROR(VLOOKUP($A141,'SegEnds_NonXtal_BW#'!$A:$Z,25,FALSE)+VLOOKUP($A141,A:AL,37,FALSE)-50),"-",(VLOOKUP($A141,'SegEnds_NonXtal_BW#'!$A:$Z,25,FALSE)+VLOOKUP($A141,A:AL,37,FALSE)-50))</f>
        <v>334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347</v>
      </c>
      <c r="AM141" s="28" t="str">
        <f>VLOOKUP(A141,Classification!A:B,2,FALSE)</f>
        <v>A</v>
      </c>
      <c r="AN141" s="28" t="b">
        <f t="shared" si="98"/>
        <v>1</v>
      </c>
      <c r="AO141" s="3" t="str">
        <f>IF(ISERROR(MATCH(A141,'SegEnds_Xtal_Prot#'!B:B, 0)), "NoXtal", "Xtal")</f>
        <v>NoXtal</v>
      </c>
      <c r="AP141" s="3" t="str">
        <f t="shared" si="81"/>
        <v>-</v>
      </c>
      <c r="AQ141" s="3" t="str">
        <f t="shared" si="82"/>
        <v>-</v>
      </c>
      <c r="AR141" s="3">
        <f t="shared" si="83"/>
        <v>2</v>
      </c>
      <c r="AS141" s="3">
        <f t="shared" si="84"/>
        <v>1</v>
      </c>
      <c r="AT141" s="3">
        <f t="shared" si="85"/>
        <v>1</v>
      </c>
      <c r="AU141" s="3">
        <f t="shared" si="86"/>
        <v>1</v>
      </c>
      <c r="AV141" s="3">
        <f t="shared" si="87"/>
        <v>12</v>
      </c>
      <c r="AW141" s="3">
        <f t="shared" si="88"/>
        <v>7</v>
      </c>
      <c r="AX141" s="3">
        <f t="shared" si="89"/>
        <v>6</v>
      </c>
      <c r="AY141" s="3">
        <f t="shared" si="90"/>
        <v>6</v>
      </c>
      <c r="AZ141" s="3">
        <f t="shared" si="91"/>
        <v>1</v>
      </c>
      <c r="BA141" s="3">
        <f>IF(ISERROR(LEN(VLOOKUP(A141,Seqs!A:E,2,FALSE))-AL141),"-",LEN(VLOOKUP(A141,Seqs!A:E,2,FALSE))-AL141)</f>
        <v>34</v>
      </c>
      <c r="BB141" s="16">
        <f t="shared" si="92"/>
        <v>28</v>
      </c>
      <c r="BC141" s="9">
        <f t="shared" si="93"/>
        <v>20</v>
      </c>
      <c r="BD141" s="3">
        <f t="shared" si="94"/>
        <v>28</v>
      </c>
      <c r="BE141" s="3">
        <f t="shared" si="9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0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9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98"/>
        <v>1</v>
      </c>
      <c r="AO142" s="3" t="str">
        <f>IF(ISERROR(MATCH(A142,'SegEnds_Xtal_Prot#'!B:B, 0)), "NoXtal", "Xtal")</f>
        <v>NoXtal</v>
      </c>
      <c r="AP142" s="3">
        <f t="shared" si="81"/>
        <v>1</v>
      </c>
      <c r="AQ142" s="3">
        <f t="shared" si="82"/>
        <v>1</v>
      </c>
      <c r="AR142" s="3" t="str">
        <f t="shared" si="83"/>
        <v>-</v>
      </c>
      <c r="AS142" s="3" t="str">
        <f t="shared" si="84"/>
        <v>-</v>
      </c>
      <c r="AT142" s="3">
        <f t="shared" si="85"/>
        <v>1</v>
      </c>
      <c r="AU142" s="3">
        <f t="shared" si="86"/>
        <v>1</v>
      </c>
      <c r="AV142" s="3">
        <f t="shared" si="87"/>
        <v>7</v>
      </c>
      <c r="AW142" s="3">
        <f t="shared" si="88"/>
        <v>4</v>
      </c>
      <c r="AX142" s="3">
        <f t="shared" si="89"/>
        <v>5</v>
      </c>
      <c r="AY142" s="3">
        <f t="shared" si="90"/>
        <v>8</v>
      </c>
      <c r="AZ142" s="3">
        <f t="shared" si="91"/>
        <v>1</v>
      </c>
      <c r="BA142" s="3">
        <f>IF(ISERROR(LEN(VLOOKUP(A142,Seqs!A:E,2,FALSE))-AL142),"-",LEN(VLOOKUP(A142,Seqs!A:E,2,FALSE))-AL142)</f>
        <v>18</v>
      </c>
      <c r="BB142" s="16">
        <f t="shared" si="92"/>
        <v>28</v>
      </c>
      <c r="BC142" s="9">
        <f t="shared" si="93"/>
        <v>20</v>
      </c>
      <c r="BD142" s="3">
        <f t="shared" si="94"/>
        <v>28</v>
      </c>
      <c r="BE142" s="3">
        <f t="shared" si="9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0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9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520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98"/>
        <v>1</v>
      </c>
      <c r="AO143" s="3" t="str">
        <f>IF(ISERROR(MATCH(A143,'SegEnds_Xtal_Prot#'!B:B, 0)), "NoXtal", "Xtal")</f>
        <v>NoXtal</v>
      </c>
      <c r="AP143" s="3">
        <f t="shared" si="81"/>
        <v>1</v>
      </c>
      <c r="AQ143" s="3">
        <f t="shared" si="82"/>
        <v>1</v>
      </c>
      <c r="AR143" s="3">
        <f t="shared" si="83"/>
        <v>2</v>
      </c>
      <c r="AS143" s="3">
        <f t="shared" si="84"/>
        <v>1</v>
      </c>
      <c r="AT143" s="3">
        <f t="shared" si="85"/>
        <v>2</v>
      </c>
      <c r="AU143" s="3">
        <f t="shared" si="86"/>
        <v>1</v>
      </c>
      <c r="AV143" s="3">
        <f t="shared" si="87"/>
        <v>18</v>
      </c>
      <c r="AW143" s="3">
        <f t="shared" si="88"/>
        <v>11</v>
      </c>
      <c r="AX143" s="3">
        <f t="shared" si="89"/>
        <v>5</v>
      </c>
      <c r="AY143" s="3">
        <f t="shared" si="90"/>
        <v>2</v>
      </c>
      <c r="AZ143" s="3">
        <f t="shared" si="91"/>
        <v>1</v>
      </c>
      <c r="BA143" s="3">
        <f>IF(ISERROR(LEN(VLOOKUP(A143,Seqs!A:E,2,FALSE))-AL143),"-",LEN(VLOOKUP(A143,Seqs!A:E,2,FALSE))-AL143)</f>
        <v>47</v>
      </c>
      <c r="BB143" s="16">
        <f t="shared" si="92"/>
        <v>28</v>
      </c>
      <c r="BC143" s="9">
        <f t="shared" si="93"/>
        <v>20</v>
      </c>
      <c r="BD143" s="3">
        <f t="shared" si="94"/>
        <v>28</v>
      </c>
      <c r="BE143" s="3">
        <f t="shared" si="9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0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9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98"/>
        <v>1</v>
      </c>
      <c r="AO144" s="3" t="str">
        <f>IF(ISERROR(MATCH(A144,'SegEnds_Xtal_Prot#'!B:B, 0)), "NoXtal", "Xtal")</f>
        <v>NoXtal</v>
      </c>
      <c r="AP144" s="3" t="str">
        <f t="shared" si="81"/>
        <v>-</v>
      </c>
      <c r="AQ144" s="3" t="str">
        <f t="shared" si="82"/>
        <v>-</v>
      </c>
      <c r="AR144" s="3" t="str">
        <f t="shared" si="83"/>
        <v>-</v>
      </c>
      <c r="AS144" s="3" t="str">
        <f t="shared" si="84"/>
        <v>-</v>
      </c>
      <c r="AT144" s="3">
        <f t="shared" si="85"/>
        <v>1</v>
      </c>
      <c r="AU144" s="3">
        <f t="shared" si="86"/>
        <v>1</v>
      </c>
      <c r="AV144" s="3">
        <f t="shared" si="87"/>
        <v>36</v>
      </c>
      <c r="AW144" s="3">
        <f t="shared" si="88"/>
        <v>4</v>
      </c>
      <c r="AX144" s="3">
        <f t="shared" si="89"/>
        <v>15</v>
      </c>
      <c r="AY144" s="3">
        <f t="shared" si="90"/>
        <v>6</v>
      </c>
      <c r="AZ144" s="3">
        <f t="shared" si="91"/>
        <v>1</v>
      </c>
      <c r="BA144" s="3">
        <f>IF(ISERROR(LEN(VLOOKUP(A144,Seqs!A:E,2,FALSE))-AL144),"-",LEN(VLOOKUP(A144,Seqs!A:E,2,FALSE))-AL144)</f>
        <v>94</v>
      </c>
      <c r="BB144" s="16">
        <f t="shared" si="92"/>
        <v>31</v>
      </c>
      <c r="BC144" s="9">
        <f t="shared" si="93"/>
        <v>20</v>
      </c>
      <c r="BD144" s="3">
        <f t="shared" si="94"/>
        <v>31</v>
      </c>
      <c r="BE144" s="3">
        <f t="shared" si="9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ptafr_human</v>
      </c>
      <c r="C145" s="3">
        <f>VLOOKUP($A145,'SegEnds_NonXtal_BW#'!$A:$Z,3,FALSE)+D145-50</f>
        <v>12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80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0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155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99"/>
        <v>170</v>
      </c>
      <c r="AA145" s="3">
        <f>IF(ISERROR(VLOOKUP($A145,'SegEnds_NonXtal_BW#'!$A:$Z,19,FALSE)+VLOOKUP($A145,A:AL,28,FALSE)-50),"-",(VLOOKUP($A145,'SegEnds_NonXtal_BW#'!$A:$Z,19,FALSE)+VLOOKUP($A145,A:AL,28,FALSE)-50))</f>
        <v>176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292</v>
      </c>
      <c r="AJ145" s="3">
        <f>IF(ISERROR(VLOOKUP($A145,'SegEnds_NonXtal_BW#'!$A:$Z,25,FALSE)+VLOOKUP($A145,A:AL,37,FALSE)-50),"-",(VLOOKUP($A145,'SegEnds_NonXtal_BW#'!$A:$Z,25,FALSE)+VLOOKUP($A145,A:AL,37,FALSE)-50))</f>
        <v>293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306</v>
      </c>
      <c r="AM145" s="28" t="str">
        <f>VLOOKUP(A145,Classification!A:B,2,FALSE)</f>
        <v>A</v>
      </c>
      <c r="AN145" s="28" t="b">
        <f t="shared" si="98"/>
        <v>1</v>
      </c>
      <c r="AO145" s="3" t="str">
        <f>IF(ISERROR(MATCH(A145,'SegEnds_Xtal_Prot#'!B:B, 0)), "NoXtal", "Xtal")</f>
        <v>NoXtal</v>
      </c>
      <c r="AP145" s="3" t="str">
        <f t="shared" si="81"/>
        <v>-</v>
      </c>
      <c r="AQ145" s="3" t="str">
        <f t="shared" si="82"/>
        <v>-</v>
      </c>
      <c r="AR145" s="3">
        <f t="shared" si="83"/>
        <v>2</v>
      </c>
      <c r="AS145" s="3">
        <f t="shared" si="84"/>
        <v>1</v>
      </c>
      <c r="AT145" s="3">
        <f t="shared" si="85"/>
        <v>1</v>
      </c>
      <c r="AU145" s="3">
        <f t="shared" si="86"/>
        <v>1</v>
      </c>
      <c r="AV145" s="3">
        <f t="shared" si="87"/>
        <v>13</v>
      </c>
      <c r="AW145" s="3">
        <f t="shared" si="88"/>
        <v>6</v>
      </c>
      <c r="AX145" s="3">
        <f t="shared" si="89"/>
        <v>5</v>
      </c>
      <c r="AY145" s="3">
        <f t="shared" si="90"/>
        <v>4</v>
      </c>
      <c r="AZ145" s="3">
        <f t="shared" si="91"/>
        <v>1</v>
      </c>
      <c r="BA145" s="3">
        <f>IF(ISERROR(LEN(VLOOKUP(A145,Seqs!A:E,2,FALSE))-AL145),"-",LEN(VLOOKUP(A145,Seqs!A:E,2,FALSE))-AL145)</f>
        <v>56</v>
      </c>
      <c r="BB145" s="16">
        <f t="shared" si="92"/>
        <v>28</v>
      </c>
      <c r="BC145" s="9">
        <f t="shared" si="93"/>
        <v>20</v>
      </c>
      <c r="BD145" s="3">
        <f t="shared" si="94"/>
        <v>28</v>
      </c>
      <c r="BE145" s="3">
        <f t="shared" si="9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0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9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98"/>
        <v>1</v>
      </c>
      <c r="AO146" s="3" t="str">
        <f>IF(ISERROR(MATCH(A146,'SegEnds_Xtal_Prot#'!B:B, 0)), "NoXtal", "Xtal")</f>
        <v>NoXtal</v>
      </c>
      <c r="AP146" s="3" t="str">
        <f t="shared" si="81"/>
        <v>-</v>
      </c>
      <c r="AQ146" s="3" t="str">
        <f t="shared" si="82"/>
        <v>-</v>
      </c>
      <c r="AR146" s="3">
        <f t="shared" si="83"/>
        <v>3</v>
      </c>
      <c r="AS146" s="3">
        <f t="shared" si="84"/>
        <v>1</v>
      </c>
      <c r="AT146" s="3">
        <f t="shared" si="85"/>
        <v>1</v>
      </c>
      <c r="AU146" s="3">
        <f t="shared" si="86"/>
        <v>1</v>
      </c>
      <c r="AV146" s="3">
        <f t="shared" si="87"/>
        <v>16</v>
      </c>
      <c r="AW146" s="3">
        <f t="shared" si="88"/>
        <v>7</v>
      </c>
      <c r="AX146" s="3">
        <f t="shared" si="89"/>
        <v>4</v>
      </c>
      <c r="AY146" s="3">
        <f t="shared" si="90"/>
        <v>5</v>
      </c>
      <c r="AZ146" s="3">
        <f t="shared" si="91"/>
        <v>1</v>
      </c>
      <c r="BA146" s="3">
        <f>IF(ISERROR(LEN(VLOOKUP(A146,Seqs!A:E,2,FALSE))-AL146),"-",LEN(VLOOKUP(A146,Seqs!A:E,2,FALSE))-AL146)</f>
        <v>52</v>
      </c>
      <c r="BB146" s="16">
        <f t="shared" si="92"/>
        <v>29</v>
      </c>
      <c r="BC146" s="9">
        <f t="shared" si="93"/>
        <v>20</v>
      </c>
      <c r="BD146" s="3">
        <f t="shared" si="94"/>
        <v>29</v>
      </c>
      <c r="BE146" s="3">
        <f t="shared" si="9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5ht2b_human</v>
      </c>
      <c r="C147" s="3">
        <f>VLOOKUP($A147,'SegEnds_NonXtal_BW#'!$A:$Z,3,FALSE)+D147-50</f>
        <v>39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0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9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98"/>
        <v>1</v>
      </c>
      <c r="AO147" s="3" t="str">
        <f>IF(ISERROR(MATCH(A147,'SegEnds_Xtal_Prot#'!B:B, 0)), "NoXtal", "Xtal")</f>
        <v>NoXtal</v>
      </c>
      <c r="AP147" s="3">
        <f t="shared" si="81"/>
        <v>1</v>
      </c>
      <c r="AQ147" s="3">
        <f t="shared" si="82"/>
        <v>1</v>
      </c>
      <c r="AR147" s="3" t="str">
        <f t="shared" si="83"/>
        <v>-</v>
      </c>
      <c r="AS147" s="3" t="str">
        <f t="shared" si="84"/>
        <v>-</v>
      </c>
      <c r="AT147" s="3">
        <f t="shared" si="85"/>
        <v>1</v>
      </c>
      <c r="AU147" s="3">
        <f t="shared" si="86"/>
        <v>1</v>
      </c>
      <c r="AV147" s="3">
        <f t="shared" si="87"/>
        <v>13</v>
      </c>
      <c r="AW147" s="3">
        <f t="shared" si="88"/>
        <v>4</v>
      </c>
      <c r="AX147" s="3">
        <f t="shared" si="89"/>
        <v>13</v>
      </c>
      <c r="AY147" s="3">
        <f t="shared" si="90"/>
        <v>5</v>
      </c>
      <c r="AZ147" s="3">
        <f t="shared" si="91"/>
        <v>1</v>
      </c>
      <c r="BA147" s="3">
        <f>IF(ISERROR(LEN(VLOOKUP(A147,Seqs!A:E,2,FALSE))-AL147),"-",LEN(VLOOKUP(A147,Seqs!A:E,2,FALSE))-AL147)</f>
        <v>29</v>
      </c>
      <c r="BB147" s="16">
        <f t="shared" si="92"/>
        <v>29</v>
      </c>
      <c r="BC147" s="9">
        <f t="shared" si="93"/>
        <v>20</v>
      </c>
      <c r="BD147" s="3">
        <f t="shared" si="94"/>
        <v>29</v>
      </c>
      <c r="BE147" s="3">
        <f t="shared" si="9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0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9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98"/>
        <v>1</v>
      </c>
      <c r="AO148" s="3" t="str">
        <f>IF(ISERROR(MATCH(A148,'SegEnds_Xtal_Prot#'!B:B, 0)), "NoXtal", "Xtal")</f>
        <v>NoXtal</v>
      </c>
      <c r="AP148" s="3" t="str">
        <f t="shared" si="81"/>
        <v>-</v>
      </c>
      <c r="AQ148" s="3" t="str">
        <f t="shared" si="82"/>
        <v>-</v>
      </c>
      <c r="AR148" s="3" t="str">
        <f t="shared" si="83"/>
        <v>-</v>
      </c>
      <c r="AS148" s="3" t="str">
        <f t="shared" si="84"/>
        <v>-</v>
      </c>
      <c r="AT148" s="3">
        <f t="shared" si="85"/>
        <v>1</v>
      </c>
      <c r="AU148" s="3">
        <f t="shared" si="86"/>
        <v>1</v>
      </c>
      <c r="AV148" s="3">
        <f t="shared" si="87"/>
        <v>8</v>
      </c>
      <c r="AW148" s="3">
        <f t="shared" si="88"/>
        <v>3</v>
      </c>
      <c r="AX148" s="3">
        <f t="shared" si="89"/>
        <v>4</v>
      </c>
      <c r="AY148" s="3">
        <f t="shared" si="90"/>
        <v>4</v>
      </c>
      <c r="AZ148" s="3">
        <f t="shared" si="91"/>
        <v>1</v>
      </c>
      <c r="BA148" s="3">
        <f>IF(ISERROR(LEN(VLOOKUP(A148,Seqs!A:E,2,FALSE))-AL148),"-",LEN(VLOOKUP(A148,Seqs!A:E,2,FALSE))-AL148)</f>
        <v>15</v>
      </c>
      <c r="BB148" s="16">
        <f t="shared" si="92"/>
        <v>32</v>
      </c>
      <c r="BC148" s="9">
        <f t="shared" si="93"/>
        <v>20</v>
      </c>
      <c r="BD148" s="3">
        <f t="shared" si="94"/>
        <v>32</v>
      </c>
      <c r="BE148" s="3">
        <f t="shared" si="9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0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98"/>
        <v>1</v>
      </c>
      <c r="AO149" s="3" t="str">
        <f>IF(ISERROR(MATCH(A149,'SegEnds_Xtal_Prot#'!B:B, 0)), "NoXtal", "Xtal")</f>
        <v>NoXtal</v>
      </c>
      <c r="AP149" s="3">
        <f t="shared" si="81"/>
        <v>1</v>
      </c>
      <c r="AQ149" s="3">
        <f t="shared" si="82"/>
        <v>1</v>
      </c>
      <c r="AR149" s="3">
        <f t="shared" si="83"/>
        <v>2</v>
      </c>
      <c r="AS149" s="3">
        <f t="shared" si="84"/>
        <v>1</v>
      </c>
      <c r="AT149" s="3">
        <f t="shared" si="85"/>
        <v>1</v>
      </c>
      <c r="AU149" s="3">
        <f t="shared" si="86"/>
        <v>1</v>
      </c>
      <c r="AV149" s="3" t="str">
        <f t="shared" si="87"/>
        <v>-</v>
      </c>
      <c r="AW149" s="3" t="str">
        <f t="shared" si="88"/>
        <v>-</v>
      </c>
      <c r="AX149" s="3">
        <f t="shared" si="89"/>
        <v>6</v>
      </c>
      <c r="AY149" s="3">
        <f t="shared" si="90"/>
        <v>5</v>
      </c>
      <c r="AZ149" s="3">
        <f t="shared" si="91"/>
        <v>1</v>
      </c>
      <c r="BA149" s="3">
        <f>IF(ISERROR(LEN(VLOOKUP(A149,Seqs!A:E,2,FALSE))-AL149),"-",LEN(VLOOKUP(A149,Seqs!A:E,2,FALSE))-AL149)</f>
        <v>17</v>
      </c>
      <c r="BB149" s="16">
        <f t="shared" si="92"/>
        <v>28</v>
      </c>
      <c r="BC149" s="9">
        <f t="shared" si="93"/>
        <v>20</v>
      </c>
      <c r="BD149" s="3">
        <f t="shared" si="94"/>
        <v>28</v>
      </c>
      <c r="BE149" s="3">
        <f t="shared" si="9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0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98"/>
        <v>1</v>
      </c>
      <c r="AO150" s="3" t="str">
        <f>IF(ISERROR(MATCH(A150,'SegEnds_Xtal_Prot#'!B:B, 0)), "NoXtal", "Xtal")</f>
        <v>NoXtal</v>
      </c>
      <c r="AP150" s="3" t="str">
        <f t="shared" si="81"/>
        <v>-</v>
      </c>
      <c r="AQ150" s="3" t="str">
        <f t="shared" si="82"/>
        <v>-</v>
      </c>
      <c r="AR150" s="3">
        <f t="shared" si="83"/>
        <v>2</v>
      </c>
      <c r="AS150" s="3">
        <f t="shared" si="84"/>
        <v>1</v>
      </c>
      <c r="AT150" s="3">
        <f t="shared" si="85"/>
        <v>1</v>
      </c>
      <c r="AU150" s="3">
        <f t="shared" si="86"/>
        <v>1</v>
      </c>
      <c r="AV150" s="3">
        <f t="shared" si="87"/>
        <v>14</v>
      </c>
      <c r="AW150" s="3">
        <f t="shared" si="88"/>
        <v>8</v>
      </c>
      <c r="AX150" s="3">
        <f t="shared" si="89"/>
        <v>30</v>
      </c>
      <c r="AY150" s="3">
        <f t="shared" si="90"/>
        <v>6</v>
      </c>
      <c r="AZ150" s="3">
        <f t="shared" si="91"/>
        <v>1</v>
      </c>
      <c r="BA150" s="3">
        <f>IF(ISERROR(LEN(VLOOKUP(A150,Seqs!A:E,2,FALSE))-AL150),"-",LEN(VLOOKUP(A150,Seqs!A:E,2,FALSE))-AL150)</f>
        <v>95</v>
      </c>
      <c r="BB150" s="16">
        <f t="shared" si="92"/>
        <v>26</v>
      </c>
      <c r="BC150" s="9">
        <f t="shared" si="93"/>
        <v>20</v>
      </c>
      <c r="BD150" s="3">
        <f t="shared" si="94"/>
        <v>26</v>
      </c>
      <c r="BE150" s="3">
        <f t="shared" si="9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0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98"/>
        <v>1</v>
      </c>
      <c r="AO151" s="3" t="str">
        <f>IF(ISERROR(MATCH(A151,'SegEnds_Xtal_Prot#'!B:B, 0)), "NoXtal", "Xtal")</f>
        <v>NoXtal</v>
      </c>
      <c r="AP151" s="3">
        <f t="shared" si="81"/>
        <v>1</v>
      </c>
      <c r="AQ151" s="3">
        <f t="shared" si="82"/>
        <v>1</v>
      </c>
      <c r="AR151" s="3" t="str">
        <f t="shared" si="83"/>
        <v>-</v>
      </c>
      <c r="AS151" s="3" t="str">
        <f t="shared" si="84"/>
        <v>-</v>
      </c>
      <c r="AT151" s="3">
        <f t="shared" si="85"/>
        <v>1</v>
      </c>
      <c r="AU151" s="3">
        <f t="shared" si="86"/>
        <v>1</v>
      </c>
      <c r="AV151" s="3">
        <f t="shared" si="87"/>
        <v>13</v>
      </c>
      <c r="AW151" s="3">
        <f t="shared" si="88"/>
        <v>11</v>
      </c>
      <c r="AX151" s="3">
        <f t="shared" si="89"/>
        <v>20</v>
      </c>
      <c r="AY151" s="3">
        <f t="shared" si="90"/>
        <v>5</v>
      </c>
      <c r="AZ151" s="3">
        <f t="shared" si="91"/>
        <v>1</v>
      </c>
      <c r="BA151" s="3">
        <f>IF(ISERROR(LEN(VLOOKUP(A151,Seqs!A:E,2,FALSE))-AL151),"-",LEN(VLOOKUP(A151,Seqs!A:E,2,FALSE))-AL151)</f>
        <v>53</v>
      </c>
      <c r="BB151" s="16">
        <f t="shared" si="92"/>
        <v>29</v>
      </c>
      <c r="BC151" s="9">
        <f t="shared" si="93"/>
        <v>20</v>
      </c>
      <c r="BD151" s="3">
        <f t="shared" si="94"/>
        <v>29</v>
      </c>
      <c r="BE151" s="3">
        <f t="shared" si="9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oprd_human</v>
      </c>
      <c r="C152" s="3">
        <f>VLOOKUP($A152,'SegEnds_NonXtal_BW#'!$A:$Z,3,FALSE)+D152-50</f>
        <v>5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0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326</v>
      </c>
      <c r="AM152" s="28" t="str">
        <f>VLOOKUP(A152,Classification!A:B,2,FALSE)</f>
        <v>A</v>
      </c>
      <c r="AN152" s="28" t="b">
        <f t="shared" si="98"/>
        <v>1</v>
      </c>
      <c r="AO152" s="3" t="str">
        <f>IF(ISERROR(MATCH(A152,'SegEnds_Xtal_Prot#'!B:B, 0)), "NoXtal", "Xtal")</f>
        <v>NoXtal</v>
      </c>
      <c r="AP152" s="3" t="str">
        <f t="shared" si="81"/>
        <v>-</v>
      </c>
      <c r="AQ152" s="3" t="str">
        <f t="shared" si="82"/>
        <v>-</v>
      </c>
      <c r="AR152" s="3">
        <f t="shared" si="83"/>
        <v>2</v>
      </c>
      <c r="AS152" s="3">
        <f t="shared" si="84"/>
        <v>1</v>
      </c>
      <c r="AT152" s="3">
        <f t="shared" si="85"/>
        <v>17</v>
      </c>
      <c r="AU152" s="3">
        <f t="shared" si="86"/>
        <v>1</v>
      </c>
      <c r="AV152" s="3" t="str">
        <f t="shared" si="87"/>
        <v>-</v>
      </c>
      <c r="AW152" s="3" t="str">
        <f t="shared" si="88"/>
        <v>-</v>
      </c>
      <c r="AX152" s="3">
        <f t="shared" si="89"/>
        <v>6</v>
      </c>
      <c r="AY152" s="3">
        <f t="shared" si="90"/>
        <v>9</v>
      </c>
      <c r="AZ152" s="3">
        <f t="shared" si="91"/>
        <v>1</v>
      </c>
      <c r="BA152" s="3">
        <f>IF(ISERROR(LEN(VLOOKUP(A152,Seqs!A:E,2,FALSE))-AL152),"-",LEN(VLOOKUP(A152,Seqs!A:E,2,FALSE))-AL152)</f>
        <v>10</v>
      </c>
      <c r="BB152" s="16">
        <f t="shared" si="92"/>
        <v>28</v>
      </c>
      <c r="BC152" s="9">
        <f t="shared" si="93"/>
        <v>20</v>
      </c>
      <c r="BD152" s="3">
        <f t="shared" si="94"/>
        <v>28</v>
      </c>
      <c r="BE152" s="3">
        <f t="shared" si="9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ednrb_human</v>
      </c>
      <c r="C153" s="3">
        <f>VLOOKUP($A153,'SegEnds_NonXtal_BW#'!$A:$Z,3,FALSE)+D153-50</f>
        <v>10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0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159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213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98"/>
        <v>1</v>
      </c>
      <c r="AO153" s="3" t="str">
        <f>IF(ISERROR(MATCH(A153,'SegEnds_Xtal_Prot#'!B:B, 0)), "NoXtal", "Xtal")</f>
        <v>NoXtal</v>
      </c>
      <c r="AP153" s="3">
        <f t="shared" si="81"/>
        <v>1</v>
      </c>
      <c r="AQ153" s="3">
        <f t="shared" si="82"/>
        <v>1</v>
      </c>
      <c r="AR153" s="3" t="str">
        <f t="shared" si="83"/>
        <v>-</v>
      </c>
      <c r="AS153" s="3" t="str">
        <f t="shared" si="84"/>
        <v>-</v>
      </c>
      <c r="AT153" s="3">
        <f t="shared" si="85"/>
        <v>1</v>
      </c>
      <c r="AU153" s="3">
        <f t="shared" si="86"/>
        <v>1</v>
      </c>
      <c r="AV153" s="3">
        <f t="shared" si="87"/>
        <v>9</v>
      </c>
      <c r="AW153" s="3">
        <f t="shared" si="88"/>
        <v>43</v>
      </c>
      <c r="AX153" s="3">
        <f t="shared" si="89"/>
        <v>49</v>
      </c>
      <c r="AY153" s="3">
        <f t="shared" si="90"/>
        <v>5</v>
      </c>
      <c r="AZ153" s="3">
        <f t="shared" si="91"/>
        <v>1</v>
      </c>
      <c r="BA153" s="3">
        <f>IF(ISERROR(LEN(VLOOKUP(A153,Seqs!A:E,2,FALSE))-AL153),"-",LEN(VLOOKUP(A153,Seqs!A:E,2,FALSE))-AL153)</f>
        <v>9</v>
      </c>
      <c r="BB153" s="16">
        <f t="shared" si="92"/>
        <v>28</v>
      </c>
      <c r="BC153" s="9">
        <f t="shared" si="93"/>
        <v>20</v>
      </c>
      <c r="BD153" s="3">
        <f t="shared" si="94"/>
        <v>28</v>
      </c>
      <c r="BE153" s="3">
        <f t="shared" si="9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0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98"/>
        <v>1</v>
      </c>
      <c r="AO154" s="3" t="str">
        <f>IF(ISERROR(MATCH(A154,'SegEnds_Xtal_Prot#'!B:B, 0)), "NoXtal", "Xtal")</f>
        <v>NoXtal</v>
      </c>
      <c r="AP154" s="3">
        <f t="shared" si="81"/>
        <v>1</v>
      </c>
      <c r="AQ154" s="3">
        <f t="shared" si="82"/>
        <v>1</v>
      </c>
      <c r="AR154" s="3">
        <f t="shared" si="83"/>
        <v>2</v>
      </c>
      <c r="AS154" s="3">
        <f t="shared" si="84"/>
        <v>1</v>
      </c>
      <c r="AT154" s="3">
        <f t="shared" si="85"/>
        <v>1</v>
      </c>
      <c r="AU154" s="3">
        <f t="shared" si="86"/>
        <v>1</v>
      </c>
      <c r="AV154" s="3">
        <f t="shared" si="87"/>
        <v>9</v>
      </c>
      <c r="AW154" s="3">
        <f t="shared" si="88"/>
        <v>44</v>
      </c>
      <c r="AX154" s="3">
        <f t="shared" si="89"/>
        <v>15</v>
      </c>
      <c r="AY154" s="3">
        <f t="shared" si="90"/>
        <v>6</v>
      </c>
      <c r="AZ154" s="3">
        <f t="shared" si="91"/>
        <v>1</v>
      </c>
      <c r="BA154" s="3">
        <f>IF(ISERROR(LEN(VLOOKUP(A154,Seqs!A:E,2,FALSE))-AL154),"-",LEN(VLOOKUP(A154,Seqs!A:E,2,FALSE))-AL154)</f>
        <v>14</v>
      </c>
      <c r="BB154" s="16">
        <f t="shared" si="92"/>
        <v>28</v>
      </c>
      <c r="BC154" s="9">
        <f t="shared" si="93"/>
        <v>20</v>
      </c>
      <c r="BD154" s="3">
        <f t="shared" si="94"/>
        <v>28</v>
      </c>
      <c r="BE154" s="3">
        <f t="shared" si="9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0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98"/>
        <v>1</v>
      </c>
      <c r="AO155" s="3" t="str">
        <f>IF(ISERROR(MATCH(A155,'SegEnds_Xtal_Prot#'!B:B, 0)), "NoXtal", "Xtal")</f>
        <v>NoXtal</v>
      </c>
      <c r="AP155" s="3" t="str">
        <f t="shared" si="81"/>
        <v>-</v>
      </c>
      <c r="AQ155" s="3" t="str">
        <f t="shared" si="82"/>
        <v>-</v>
      </c>
      <c r="AR155" s="3">
        <f t="shared" si="83"/>
        <v>3</v>
      </c>
      <c r="AS155" s="3">
        <f t="shared" si="84"/>
        <v>1</v>
      </c>
      <c r="AT155" s="3">
        <f t="shared" si="85"/>
        <v>1</v>
      </c>
      <c r="AU155" s="3">
        <f t="shared" si="86"/>
        <v>1</v>
      </c>
      <c r="AV155" s="3">
        <f t="shared" si="87"/>
        <v>12</v>
      </c>
      <c r="AW155" s="3">
        <f t="shared" si="88"/>
        <v>4</v>
      </c>
      <c r="AX155" s="3">
        <f t="shared" si="89"/>
        <v>5</v>
      </c>
      <c r="AY155" s="3">
        <f t="shared" si="90"/>
        <v>4</v>
      </c>
      <c r="AZ155" s="3">
        <f t="shared" si="91"/>
        <v>1</v>
      </c>
      <c r="BA155" s="3">
        <f>IF(ISERROR(LEN(VLOOKUP(A155,Seqs!A:E,2,FALSE))-AL155),"-",LEN(VLOOKUP(A155,Seqs!A:E,2,FALSE))-AL155)</f>
        <v>30</v>
      </c>
      <c r="BB155" s="16">
        <f t="shared" si="92"/>
        <v>27</v>
      </c>
      <c r="BC155" s="9">
        <f t="shared" si="93"/>
        <v>20</v>
      </c>
      <c r="BD155" s="3">
        <f t="shared" si="94"/>
        <v>27</v>
      </c>
      <c r="BE155" s="3">
        <f t="shared" si="9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98"/>
        <v>1</v>
      </c>
      <c r="AO156" s="3" t="str">
        <f>IF(ISERROR(MATCH(A156,'SegEnds_Xtal_Prot#'!B:B, 0)), "NoXtal", "Xtal")</f>
        <v>NoXtal</v>
      </c>
      <c r="AP156" s="3">
        <f t="shared" si="81"/>
        <v>1</v>
      </c>
      <c r="AQ156" s="3">
        <f t="shared" si="82"/>
        <v>1</v>
      </c>
      <c r="AR156" s="3" t="str">
        <f t="shared" si="83"/>
        <v>-</v>
      </c>
      <c r="AS156" s="3" t="str">
        <f t="shared" si="84"/>
        <v>-</v>
      </c>
      <c r="AT156" s="3">
        <f t="shared" si="85"/>
        <v>2</v>
      </c>
      <c r="AU156" s="3">
        <f t="shared" si="86"/>
        <v>1</v>
      </c>
      <c r="AV156" s="3" t="str">
        <f t="shared" si="87"/>
        <v>-</v>
      </c>
      <c r="AW156" s="3" t="str">
        <f t="shared" si="88"/>
        <v>-</v>
      </c>
      <c r="AX156" s="3">
        <f t="shared" si="89"/>
        <v>8</v>
      </c>
      <c r="AY156" s="3">
        <f t="shared" si="90"/>
        <v>5</v>
      </c>
      <c r="AZ156" s="3">
        <f t="shared" si="91"/>
        <v>1</v>
      </c>
      <c r="BA156" s="3">
        <f>IF(ISERROR(LEN(VLOOKUP(A156,Seqs!A:E,2,FALSE))-AL156),"-",LEN(VLOOKUP(A156,Seqs!A:E,2,FALSE))-AL156)</f>
        <v>33</v>
      </c>
      <c r="BB156" s="16">
        <f t="shared" si="92"/>
        <v>28</v>
      </c>
      <c r="BC156" s="9">
        <f t="shared" si="93"/>
        <v>20</v>
      </c>
      <c r="BD156" s="3">
        <f t="shared" si="94"/>
        <v>28</v>
      </c>
      <c r="BE156" s="3">
        <f t="shared" si="9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0">M157-1</f>
        <v>105</v>
      </c>
      <c r="M157" s="3">
        <v>106</v>
      </c>
      <c r="N157" s="3">
        <f t="shared" ref="N157:N163" si="101">M157+2</f>
        <v>108</v>
      </c>
      <c r="O157" s="3">
        <f t="shared" ref="O157:O163" si="10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0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98"/>
        <v>1</v>
      </c>
      <c r="AO157" s="3" t="str">
        <f>IF(ISERROR(MATCH(A157,'SegEnds_Xtal_Prot#'!B:B, 0)), "NoXtal", "Xtal")</f>
        <v>NoXtal</v>
      </c>
      <c r="AP157" s="3">
        <f t="shared" si="81"/>
        <v>1</v>
      </c>
      <c r="AQ157" s="3">
        <f t="shared" si="82"/>
        <v>1</v>
      </c>
      <c r="AR157" s="3">
        <f t="shared" si="83"/>
        <v>2</v>
      </c>
      <c r="AS157" s="3">
        <f t="shared" si="84"/>
        <v>1</v>
      </c>
      <c r="AT157" s="3">
        <f t="shared" si="85"/>
        <v>1</v>
      </c>
      <c r="AU157" s="3">
        <f t="shared" si="86"/>
        <v>1</v>
      </c>
      <c r="AV157" s="3">
        <f t="shared" si="87"/>
        <v>17</v>
      </c>
      <c r="AW157" s="3">
        <f t="shared" si="88"/>
        <v>2</v>
      </c>
      <c r="AX157" s="3">
        <f t="shared" si="89"/>
        <v>6</v>
      </c>
      <c r="AY157" s="3">
        <f t="shared" si="90"/>
        <v>7</v>
      </c>
      <c r="AZ157" s="3">
        <f t="shared" si="91"/>
        <v>1</v>
      </c>
      <c r="BA157" s="3">
        <f>IF(ISERROR(LEN(VLOOKUP(A157,Seqs!A:E,2,FALSE))-AL157),"-",LEN(VLOOKUP(A157,Seqs!A:E,2,FALSE))-AL157)</f>
        <v>45</v>
      </c>
      <c r="BB157" s="16">
        <f t="shared" si="92"/>
        <v>28</v>
      </c>
      <c r="BC157" s="9">
        <f t="shared" si="93"/>
        <v>20</v>
      </c>
      <c r="BD157" s="3">
        <f t="shared" si="94"/>
        <v>28</v>
      </c>
      <c r="BE157" s="3">
        <f t="shared" si="9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0"/>
        <v>80</v>
      </c>
      <c r="M158" s="3">
        <v>81</v>
      </c>
      <c r="N158" s="3">
        <f t="shared" si="101"/>
        <v>83</v>
      </c>
      <c r="O158" s="3">
        <f t="shared" si="10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0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98"/>
        <v>1</v>
      </c>
      <c r="AO158" s="3" t="str">
        <f>IF(ISERROR(MATCH(A158,'SegEnds_Xtal_Prot#'!B:B, 0)), "NoXtal", "Xtal")</f>
        <v>NoXtal</v>
      </c>
      <c r="AP158" s="3" t="str">
        <f t="shared" si="81"/>
        <v>-</v>
      </c>
      <c r="AQ158" s="3" t="str">
        <f t="shared" si="82"/>
        <v>-</v>
      </c>
      <c r="AR158" s="3">
        <f t="shared" si="83"/>
        <v>3</v>
      </c>
      <c r="AS158" s="3">
        <f t="shared" si="84"/>
        <v>1</v>
      </c>
      <c r="AT158" s="3">
        <f t="shared" si="85"/>
        <v>1</v>
      </c>
      <c r="AU158" s="3">
        <f t="shared" si="86"/>
        <v>1</v>
      </c>
      <c r="AV158" s="3">
        <f t="shared" si="87"/>
        <v>11</v>
      </c>
      <c r="AW158" s="3">
        <f t="shared" si="88"/>
        <v>3</v>
      </c>
      <c r="AX158" s="3">
        <f t="shared" si="89"/>
        <v>6</v>
      </c>
      <c r="AY158" s="3">
        <f t="shared" si="90"/>
        <v>7</v>
      </c>
      <c r="AZ158" s="3">
        <f t="shared" si="91"/>
        <v>1</v>
      </c>
      <c r="BA158" s="3">
        <f>IF(ISERROR(LEN(VLOOKUP(A158,Seqs!A:E,2,FALSE))-AL158),"-",LEN(VLOOKUP(A158,Seqs!A:E,2,FALSE))-AL158)</f>
        <v>52</v>
      </c>
      <c r="BB158" s="16">
        <f t="shared" si="92"/>
        <v>28</v>
      </c>
      <c r="BC158" s="9">
        <f t="shared" si="93"/>
        <v>20</v>
      </c>
      <c r="BD158" s="3">
        <f t="shared" si="94"/>
        <v>28</v>
      </c>
      <c r="BE158" s="3">
        <f t="shared" si="9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00"/>
        <v>92</v>
      </c>
      <c r="M159" s="3">
        <v>93</v>
      </c>
      <c r="N159" s="3">
        <f t="shared" si="101"/>
        <v>95</v>
      </c>
      <c r="O159" s="3">
        <f t="shared" si="10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0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98"/>
        <v>1</v>
      </c>
      <c r="AO159" s="3" t="str">
        <f>IF(ISERROR(MATCH(A159,'SegEnds_Xtal_Prot#'!B:B, 0)), "NoXtal", "Xtal")</f>
        <v>NoXtal</v>
      </c>
      <c r="AP159" s="3" t="str">
        <f t="shared" si="81"/>
        <v>-</v>
      </c>
      <c r="AQ159" s="3" t="str">
        <f t="shared" si="82"/>
        <v>-</v>
      </c>
      <c r="AR159" s="3">
        <f t="shared" si="83"/>
        <v>2</v>
      </c>
      <c r="AS159" s="3">
        <f t="shared" si="84"/>
        <v>1</v>
      </c>
      <c r="AT159" s="3">
        <f t="shared" si="85"/>
        <v>1</v>
      </c>
      <c r="AU159" s="3">
        <f t="shared" si="86"/>
        <v>1</v>
      </c>
      <c r="AV159" s="3">
        <f t="shared" si="87"/>
        <v>11</v>
      </c>
      <c r="AW159" s="3">
        <f t="shared" si="88"/>
        <v>1</v>
      </c>
      <c r="AX159" s="3">
        <f t="shared" si="89"/>
        <v>5</v>
      </c>
      <c r="AY159" s="3">
        <f t="shared" si="90"/>
        <v>5</v>
      </c>
      <c r="AZ159" s="3">
        <f t="shared" si="91"/>
        <v>1</v>
      </c>
      <c r="BA159" s="3">
        <f>IF(ISERROR(LEN(VLOOKUP(A159,Seqs!A:E,2,FALSE))-AL159),"-",LEN(VLOOKUP(A159,Seqs!A:E,2,FALSE))-AL159)</f>
        <v>53</v>
      </c>
      <c r="BB159" s="16">
        <f t="shared" si="92"/>
        <v>28</v>
      </c>
      <c r="BC159" s="9">
        <f t="shared" si="93"/>
        <v>20</v>
      </c>
      <c r="BD159" s="3">
        <f t="shared" si="94"/>
        <v>28</v>
      </c>
      <c r="BE159" s="3">
        <f t="shared" si="9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0"/>
        <v>92</v>
      </c>
      <c r="M160" s="3">
        <v>93</v>
      </c>
      <c r="N160" s="3">
        <f t="shared" si="101"/>
        <v>95</v>
      </c>
      <c r="O160" s="3">
        <f t="shared" si="10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98"/>
        <v>1</v>
      </c>
      <c r="AO160" s="3" t="str">
        <f>IF(ISERROR(MATCH(A160,'SegEnds_Xtal_Prot#'!B:B, 0)), "NoXtal", "Xtal")</f>
        <v>NoXtal</v>
      </c>
      <c r="AP160" s="3" t="str">
        <f t="shared" si="81"/>
        <v>-</v>
      </c>
      <c r="AQ160" s="3" t="str">
        <f t="shared" si="82"/>
        <v>-</v>
      </c>
      <c r="AR160" s="3">
        <f t="shared" si="83"/>
        <v>3</v>
      </c>
      <c r="AS160" s="3">
        <f t="shared" si="84"/>
        <v>1</v>
      </c>
      <c r="AT160" s="3">
        <f t="shared" si="85"/>
        <v>1</v>
      </c>
      <c r="AU160" s="3">
        <f t="shared" si="86"/>
        <v>1</v>
      </c>
      <c r="AV160" s="3">
        <f t="shared" si="87"/>
        <v>11</v>
      </c>
      <c r="AW160" s="3">
        <f t="shared" si="88"/>
        <v>3</v>
      </c>
      <c r="AX160" s="3">
        <f t="shared" si="89"/>
        <v>5</v>
      </c>
      <c r="AY160" s="3">
        <f t="shared" si="90"/>
        <v>5</v>
      </c>
      <c r="AZ160" s="3">
        <f t="shared" si="91"/>
        <v>1</v>
      </c>
      <c r="BA160" s="3">
        <f>IF(ISERROR(LEN(VLOOKUP(A160,Seqs!A:E,2,FALSE))-AL160),"-",LEN(VLOOKUP(A160,Seqs!A:E,2,FALSE))-AL160)</f>
        <v>77</v>
      </c>
      <c r="BB160" s="16">
        <f t="shared" si="92"/>
        <v>28</v>
      </c>
      <c r="BC160" s="9">
        <f t="shared" si="93"/>
        <v>20</v>
      </c>
      <c r="BD160" s="3">
        <f t="shared" si="94"/>
        <v>28</v>
      </c>
      <c r="BE160" s="3">
        <f t="shared" si="9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4">G161+1</f>
        <v>59</v>
      </c>
      <c r="I161" s="3">
        <f t="shared" si="10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0"/>
        <v>92</v>
      </c>
      <c r="M161" s="3">
        <v>93</v>
      </c>
      <c r="N161" s="3">
        <f t="shared" si="101"/>
        <v>95</v>
      </c>
      <c r="O161" s="3">
        <f t="shared" si="10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98"/>
        <v>1</v>
      </c>
      <c r="AO161" s="3" t="str">
        <f>IF(ISERROR(MATCH(A161,'SegEnds_Xtal_Prot#'!B:B, 0)), "NoXtal", "Xtal")</f>
        <v>Xtal</v>
      </c>
      <c r="AP161" s="3">
        <f t="shared" si="81"/>
        <v>1</v>
      </c>
      <c r="AQ161" s="3">
        <f t="shared" si="82"/>
        <v>1</v>
      </c>
      <c r="AR161" s="3">
        <f t="shared" si="83"/>
        <v>2</v>
      </c>
      <c r="AS161" s="3">
        <f t="shared" si="84"/>
        <v>1</v>
      </c>
      <c r="AT161" s="3">
        <f t="shared" si="85"/>
        <v>1</v>
      </c>
      <c r="AU161" s="3">
        <f t="shared" si="86"/>
        <v>1</v>
      </c>
      <c r="AV161" s="3">
        <f t="shared" si="87"/>
        <v>16</v>
      </c>
      <c r="AW161" s="3">
        <f t="shared" si="88"/>
        <v>5</v>
      </c>
      <c r="AX161" s="3">
        <f t="shared" si="89"/>
        <v>176</v>
      </c>
      <c r="AY161" s="3">
        <f t="shared" si="90"/>
        <v>5</v>
      </c>
      <c r="AZ161" s="3">
        <f t="shared" si="91"/>
        <v>1</v>
      </c>
      <c r="BA161" s="3">
        <f>IF(ISERROR(LEN(VLOOKUP(A161,Seqs!A:E,2,FALSE))-AL161),"-",LEN(VLOOKUP(A161,Seqs!A:E,2,FALSE))-AL161)</f>
        <v>3</v>
      </c>
      <c r="BB161" s="16">
        <f t="shared" si="92"/>
        <v>28</v>
      </c>
      <c r="BC161" s="9">
        <f t="shared" si="93"/>
        <v>20</v>
      </c>
      <c r="BD161" s="3">
        <f t="shared" si="94"/>
        <v>28</v>
      </c>
      <c r="BE161" s="3">
        <f t="shared" si="9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4"/>
        <v>50</v>
      </c>
      <c r="I162" s="3">
        <f t="shared" si="10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0"/>
        <v>83</v>
      </c>
      <c r="M162" s="3">
        <v>84</v>
      </c>
      <c r="N162" s="3">
        <f t="shared" si="101"/>
        <v>86</v>
      </c>
      <c r="O162" s="3">
        <f t="shared" si="10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0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98"/>
        <v>1</v>
      </c>
      <c r="AO162" s="3" t="str">
        <f>IF(ISERROR(MATCH(A162,'SegEnds_Xtal_Prot#'!B:B, 0)), "NoXtal", "Xtal")</f>
        <v>NoXtal</v>
      </c>
      <c r="AP162" s="3">
        <f t="shared" si="81"/>
        <v>1</v>
      </c>
      <c r="AQ162" s="3">
        <f t="shared" si="82"/>
        <v>1</v>
      </c>
      <c r="AR162" s="3">
        <f t="shared" si="83"/>
        <v>2</v>
      </c>
      <c r="AS162" s="3">
        <f t="shared" si="84"/>
        <v>1</v>
      </c>
      <c r="AT162" s="3">
        <f t="shared" si="85"/>
        <v>1</v>
      </c>
      <c r="AU162" s="3">
        <f t="shared" si="86"/>
        <v>1</v>
      </c>
      <c r="AV162" s="3">
        <f t="shared" si="87"/>
        <v>17</v>
      </c>
      <c r="AW162" s="3">
        <f t="shared" si="88"/>
        <v>3</v>
      </c>
      <c r="AX162" s="3">
        <f t="shared" si="89"/>
        <v>4</v>
      </c>
      <c r="AY162" s="3">
        <f t="shared" si="90"/>
        <v>6</v>
      </c>
      <c r="AZ162" s="3">
        <f t="shared" si="91"/>
        <v>1</v>
      </c>
      <c r="BA162" s="3">
        <f>IF(ISERROR(LEN(VLOOKUP(A162,Seqs!A:E,2,FALSE))-AL162),"-",LEN(VLOOKUP(A162,Seqs!A:E,2,FALSE))-AL162)</f>
        <v>55</v>
      </c>
      <c r="BB162" s="16">
        <f t="shared" si="92"/>
        <v>28</v>
      </c>
      <c r="BC162" s="9">
        <f t="shared" si="93"/>
        <v>20</v>
      </c>
      <c r="BD162" s="3">
        <f t="shared" si="94"/>
        <v>28</v>
      </c>
      <c r="BE162" s="3">
        <f t="shared" si="9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4"/>
        <v>74</v>
      </c>
      <c r="I163" s="3">
        <f t="shared" si="10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00"/>
        <v>107</v>
      </c>
      <c r="M163" s="3">
        <v>108</v>
      </c>
      <c r="N163" s="3">
        <f t="shared" si="101"/>
        <v>110</v>
      </c>
      <c r="O163" s="3">
        <f t="shared" si="10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0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98"/>
        <v>1</v>
      </c>
      <c r="AO163" s="3" t="str">
        <f>IF(ISERROR(MATCH(A163,'SegEnds_Xtal_Prot#'!B:B, 0)), "NoXtal", "Xtal")</f>
        <v>NoXtal</v>
      </c>
      <c r="AP163" s="3">
        <f t="shared" si="81"/>
        <v>1</v>
      </c>
      <c r="AQ163" s="3">
        <f t="shared" si="82"/>
        <v>1</v>
      </c>
      <c r="AR163" s="3">
        <f t="shared" si="83"/>
        <v>2</v>
      </c>
      <c r="AS163" s="3">
        <f t="shared" si="84"/>
        <v>1</v>
      </c>
      <c r="AT163" s="3">
        <f t="shared" si="85"/>
        <v>1</v>
      </c>
      <c r="AU163" s="3">
        <f t="shared" si="86"/>
        <v>1</v>
      </c>
      <c r="AV163" s="3">
        <f t="shared" si="87"/>
        <v>10</v>
      </c>
      <c r="AW163" s="3">
        <f t="shared" si="88"/>
        <v>3</v>
      </c>
      <c r="AX163" s="3">
        <f t="shared" si="89"/>
        <v>9</v>
      </c>
      <c r="AY163" s="3">
        <f t="shared" si="90"/>
        <v>9</v>
      </c>
      <c r="AZ163" s="3">
        <f t="shared" si="91"/>
        <v>1</v>
      </c>
      <c r="BA163" s="3">
        <f>IF(ISERROR(LEN(VLOOKUP(A163,Seqs!A:E,2,FALSE))-AL163),"-",LEN(VLOOKUP(A163,Seqs!A:E,2,FALSE))-AL163)</f>
        <v>59</v>
      </c>
      <c r="BB163" s="16">
        <f t="shared" si="92"/>
        <v>28</v>
      </c>
      <c r="BC163" s="9">
        <f t="shared" si="93"/>
        <v>20</v>
      </c>
      <c r="BD163" s="3">
        <f t="shared" si="94"/>
        <v>28</v>
      </c>
      <c r="BE163" s="3">
        <f t="shared" si="9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534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0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98"/>
        <v>1</v>
      </c>
      <c r="AO164" s="3" t="str">
        <f>IF(ISERROR(MATCH(A164,'SegEnds_Xtal_Prot#'!B:B, 0)), "NoXtal", "Xtal")</f>
        <v>NoXtal</v>
      </c>
      <c r="AP164" s="3" t="str">
        <f t="shared" si="81"/>
        <v>-</v>
      </c>
      <c r="AQ164" s="3" t="str">
        <f t="shared" si="82"/>
        <v>-</v>
      </c>
      <c r="AR164" s="3" t="str">
        <f t="shared" si="83"/>
        <v>-</v>
      </c>
      <c r="AS164" s="3" t="str">
        <f t="shared" si="84"/>
        <v>-</v>
      </c>
      <c r="AT164" s="3">
        <f t="shared" si="85"/>
        <v>1</v>
      </c>
      <c r="AU164" s="3">
        <f t="shared" si="86"/>
        <v>1</v>
      </c>
      <c r="AV164" s="3">
        <f t="shared" si="87"/>
        <v>9</v>
      </c>
      <c r="AW164" s="3">
        <f t="shared" si="88"/>
        <v>6</v>
      </c>
      <c r="AX164" s="3">
        <f t="shared" si="89"/>
        <v>6</v>
      </c>
      <c r="AY164" s="3">
        <f t="shared" si="90"/>
        <v>6</v>
      </c>
      <c r="AZ164" s="3">
        <f t="shared" si="91"/>
        <v>1</v>
      </c>
      <c r="BA164" s="3">
        <f>IF(ISERROR(LEN(VLOOKUP(A164,Seqs!A:E,2,FALSE))-AL164),"-",LEN(VLOOKUP(A164,Seqs!A:E,2,FALSE))-AL164)</f>
        <v>132</v>
      </c>
      <c r="BB164" s="16">
        <f t="shared" si="92"/>
        <v>28</v>
      </c>
      <c r="BC164" s="9">
        <f t="shared" si="93"/>
        <v>20</v>
      </c>
      <c r="BD164" s="3">
        <f t="shared" si="94"/>
        <v>28</v>
      </c>
      <c r="BE164" s="3">
        <f t="shared" si="9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0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98"/>
        <v>1</v>
      </c>
      <c r="AO165" s="3" t="str">
        <f>IF(ISERROR(MATCH(A165,'SegEnds_Xtal_Prot#'!B:B, 0)), "NoXtal", "Xtal")</f>
        <v>NoXtal</v>
      </c>
      <c r="AP165" s="3" t="str">
        <f t="shared" si="81"/>
        <v>-</v>
      </c>
      <c r="AQ165" s="3" t="str">
        <f t="shared" si="82"/>
        <v>-</v>
      </c>
      <c r="AR165" s="3" t="str">
        <f t="shared" si="83"/>
        <v>-</v>
      </c>
      <c r="AS165" s="3" t="str">
        <f t="shared" si="84"/>
        <v>-</v>
      </c>
      <c r="AT165" s="3">
        <f t="shared" si="85"/>
        <v>1</v>
      </c>
      <c r="AU165" s="3">
        <f t="shared" si="86"/>
        <v>1</v>
      </c>
      <c r="AV165" s="3">
        <f t="shared" si="87"/>
        <v>10</v>
      </c>
      <c r="AW165" s="3">
        <f t="shared" si="88"/>
        <v>6</v>
      </c>
      <c r="AX165" s="3">
        <f t="shared" si="89"/>
        <v>6</v>
      </c>
      <c r="AY165" s="3">
        <f t="shared" si="90"/>
        <v>6</v>
      </c>
      <c r="AZ165" s="3">
        <f t="shared" si="91"/>
        <v>1</v>
      </c>
      <c r="BA165" s="3">
        <f>IF(ISERROR(LEN(VLOOKUP(A165,Seqs!A:E,2,FALSE))-AL165),"-",LEN(VLOOKUP(A165,Seqs!A:E,2,FALSE))-AL165)</f>
        <v>61</v>
      </c>
      <c r="BB165" s="16">
        <f t="shared" si="92"/>
        <v>28</v>
      </c>
      <c r="BC165" s="9">
        <f t="shared" si="93"/>
        <v>20</v>
      </c>
      <c r="BD165" s="3">
        <f t="shared" si="94"/>
        <v>28</v>
      </c>
      <c r="BE165" s="3">
        <f t="shared" si="9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mtr1a_human</v>
      </c>
      <c r="C166" s="3">
        <f>VLOOKUP($A166,'SegEnds_NonXtal_BW#'!$A:$Z,3,FALSE)+D166-50</f>
        <v>557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626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0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847</v>
      </c>
      <c r="AM166" s="28" t="str">
        <f>VLOOKUP(A166,Classification!A:B,2,FALSE)</f>
        <v>A</v>
      </c>
      <c r="AN166" s="28" t="b">
        <f t="shared" si="98"/>
        <v>1</v>
      </c>
      <c r="AO166" s="3" t="str">
        <f>IF(ISERROR(MATCH(A166,'SegEnds_Xtal_Prot#'!B:B, 0)), "NoXtal", "Xtal")</f>
        <v>NoXtal</v>
      </c>
      <c r="AP166" s="3" t="str">
        <f t="shared" si="81"/>
        <v>-</v>
      </c>
      <c r="AQ166" s="3" t="str">
        <f t="shared" si="82"/>
        <v>-</v>
      </c>
      <c r="AR166" s="3" t="str">
        <f t="shared" si="83"/>
        <v>-</v>
      </c>
      <c r="AS166" s="3" t="str">
        <f t="shared" si="84"/>
        <v>-</v>
      </c>
      <c r="AT166" s="3">
        <f t="shared" si="85"/>
        <v>1</v>
      </c>
      <c r="AU166" s="3">
        <f t="shared" si="86"/>
        <v>1</v>
      </c>
      <c r="AV166" s="3">
        <f t="shared" si="87"/>
        <v>9</v>
      </c>
      <c r="AW166" s="3">
        <f t="shared" si="88"/>
        <v>9</v>
      </c>
      <c r="AX166" s="3">
        <f t="shared" si="89"/>
        <v>6</v>
      </c>
      <c r="AY166" s="3">
        <f t="shared" si="90"/>
        <v>6</v>
      </c>
      <c r="AZ166" s="3">
        <f t="shared" si="91"/>
        <v>1</v>
      </c>
      <c r="BA166" s="3">
        <f>IF(ISERROR(LEN(VLOOKUP(A166,Seqs!A:E,2,FALSE))-AL166),"-",LEN(VLOOKUP(A166,Seqs!A:E,2,FALSE))-AL166)</f>
        <v>120</v>
      </c>
      <c r="BB166" s="16">
        <f t="shared" si="92"/>
        <v>29</v>
      </c>
      <c r="BC166" s="9">
        <f t="shared" si="93"/>
        <v>20</v>
      </c>
      <c r="BD166" s="3">
        <f t="shared" si="94"/>
        <v>29</v>
      </c>
      <c r="BE166" s="3">
        <f t="shared" si="9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5">G167-2</f>
        <v>68</v>
      </c>
      <c r="G167" s="3">
        <v>70</v>
      </c>
      <c r="H167" s="3">
        <f t="shared" ref="H167:I172" si="106">G167+1</f>
        <v>71</v>
      </c>
      <c r="I167" s="3">
        <f t="shared" si="10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7">M167-1</f>
        <v>103</v>
      </c>
      <c r="M167" s="3">
        <v>104</v>
      </c>
      <c r="N167" s="3">
        <f t="shared" ref="N167:N172" si="108">M167+2</f>
        <v>106</v>
      </c>
      <c r="O167" s="3">
        <f t="shared" ref="O167:O172" si="10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0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98"/>
        <v>1</v>
      </c>
      <c r="AO167" s="3" t="str">
        <f>IF(ISERROR(MATCH(A167,'SegEnds_Xtal_Prot#'!B:B, 0)), "NoXtal", "Xtal")</f>
        <v>NoXtal</v>
      </c>
      <c r="AP167" s="3">
        <f t="shared" si="81"/>
        <v>1</v>
      </c>
      <c r="AQ167" s="3">
        <f t="shared" si="82"/>
        <v>1</v>
      </c>
      <c r="AR167" s="3">
        <f t="shared" si="83"/>
        <v>2</v>
      </c>
      <c r="AS167" s="3">
        <f t="shared" si="84"/>
        <v>1</v>
      </c>
      <c r="AT167" s="3">
        <f t="shared" si="85"/>
        <v>1</v>
      </c>
      <c r="AU167" s="3">
        <f t="shared" si="86"/>
        <v>1</v>
      </c>
      <c r="AV167" s="3">
        <f t="shared" si="87"/>
        <v>11</v>
      </c>
      <c r="AW167" s="3">
        <f t="shared" si="88"/>
        <v>6</v>
      </c>
      <c r="AX167" s="3">
        <f t="shared" si="89"/>
        <v>4</v>
      </c>
      <c r="AY167" s="3">
        <f t="shared" si="90"/>
        <v>4</v>
      </c>
      <c r="AZ167" s="3">
        <f t="shared" si="91"/>
        <v>1</v>
      </c>
      <c r="BA167" s="3">
        <f>IF(ISERROR(LEN(VLOOKUP(A167,Seqs!A:E,2,FALSE))-AL167),"-",LEN(VLOOKUP(A167,Seqs!A:E,2,FALSE))-AL167)</f>
        <v>43</v>
      </c>
      <c r="BB167" s="16">
        <f t="shared" si="92"/>
        <v>28</v>
      </c>
      <c r="BC167" s="9">
        <f t="shared" si="93"/>
        <v>20</v>
      </c>
      <c r="BD167" s="3">
        <f t="shared" si="94"/>
        <v>28</v>
      </c>
      <c r="BE167" s="3">
        <f t="shared" si="9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5"/>
        <v>51</v>
      </c>
      <c r="G168" s="3">
        <v>53</v>
      </c>
      <c r="H168" s="3">
        <f t="shared" si="106"/>
        <v>54</v>
      </c>
      <c r="I168" s="3">
        <f t="shared" si="10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7"/>
        <v>86</v>
      </c>
      <c r="M168" s="3">
        <v>87</v>
      </c>
      <c r="N168" s="3">
        <f t="shared" si="108"/>
        <v>89</v>
      </c>
      <c r="O168" s="3">
        <f t="shared" si="10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0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98"/>
        <v>1</v>
      </c>
      <c r="AO168" s="3" t="str">
        <f>IF(ISERROR(MATCH(A168,'SegEnds_Xtal_Prot#'!B:B, 0)), "NoXtal", "Xtal")</f>
        <v>NoXtal</v>
      </c>
      <c r="AP168" s="3">
        <f t="shared" si="81"/>
        <v>1</v>
      </c>
      <c r="AQ168" s="3">
        <f t="shared" si="82"/>
        <v>1</v>
      </c>
      <c r="AR168" s="3">
        <f t="shared" si="83"/>
        <v>2</v>
      </c>
      <c r="AS168" s="3">
        <f t="shared" si="84"/>
        <v>1</v>
      </c>
      <c r="AT168" s="3">
        <f t="shared" si="85"/>
        <v>1</v>
      </c>
      <c r="AU168" s="3">
        <f t="shared" si="86"/>
        <v>1</v>
      </c>
      <c r="AV168" s="3">
        <f t="shared" si="87"/>
        <v>17</v>
      </c>
      <c r="AW168" s="3">
        <f t="shared" si="88"/>
        <v>7</v>
      </c>
      <c r="AX168" s="3">
        <f t="shared" si="89"/>
        <v>5</v>
      </c>
      <c r="AY168" s="3">
        <f t="shared" si="90"/>
        <v>5</v>
      </c>
      <c r="AZ168" s="3">
        <f t="shared" si="91"/>
        <v>1</v>
      </c>
      <c r="BA168" s="3">
        <f>IF(ISERROR(LEN(VLOOKUP(A168,Seqs!A:E,2,FALSE))-AL168),"-",LEN(VLOOKUP(A168,Seqs!A:E,2,FALSE))-AL168)</f>
        <v>57</v>
      </c>
      <c r="BB168" s="16">
        <f t="shared" si="92"/>
        <v>28</v>
      </c>
      <c r="BC168" s="9">
        <f t="shared" si="93"/>
        <v>20</v>
      </c>
      <c r="BD168" s="3">
        <f t="shared" si="94"/>
        <v>28</v>
      </c>
      <c r="BE168" s="3">
        <f t="shared" si="9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ptafr_human</v>
      </c>
      <c r="C169" s="3">
        <f>VLOOKUP($A169,'SegEnds_NonXtal_BW#'!$A:$Z,3,FALSE)+D169-50</f>
        <v>12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5"/>
        <v>46</v>
      </c>
      <c r="G169" s="3">
        <v>48</v>
      </c>
      <c r="H169" s="3">
        <f t="shared" si="106"/>
        <v>49</v>
      </c>
      <c r="I169" s="3">
        <f t="shared" si="10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7"/>
        <v>81</v>
      </c>
      <c r="M169" s="3">
        <v>82</v>
      </c>
      <c r="N169" s="3">
        <f t="shared" si="108"/>
        <v>84</v>
      </c>
      <c r="O169" s="3">
        <f t="shared" si="10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0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154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3"/>
        <v>170</v>
      </c>
      <c r="AA169" s="3">
        <f>IF(ISERROR(VLOOKUP($A169,'SegEnds_NonXtal_BW#'!$A:$Z,19,FALSE)+VLOOKUP($A169,A:AL,28,FALSE)-50),"-",(VLOOKUP($A169,'SegEnds_NonXtal_BW#'!$A:$Z,19,FALSE)+VLOOKUP($A169,A:AL,28,FALSE)-50))</f>
        <v>179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297</v>
      </c>
      <c r="AJ169" s="3">
        <f>IF(ISERROR(VLOOKUP($A169,'SegEnds_NonXtal_BW#'!$A:$Z,25,FALSE)+VLOOKUP($A169,A:AL,37,FALSE)-50),"-",(VLOOKUP($A169,'SegEnds_NonXtal_BW#'!$A:$Z,25,FALSE)+VLOOKUP($A169,A:AL,37,FALSE)-50))</f>
        <v>298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311</v>
      </c>
      <c r="AM169" s="28" t="str">
        <f>VLOOKUP(A169,Classification!A:B,2,FALSE)</f>
        <v>A</v>
      </c>
      <c r="AN169" s="28" t="b">
        <f t="shared" si="98"/>
        <v>1</v>
      </c>
      <c r="AO169" s="3" t="str">
        <f>IF(ISERROR(MATCH(A169,'SegEnds_Xtal_Prot#'!B:B, 0)), "NoXtal", "Xtal")</f>
        <v>NoXtal</v>
      </c>
      <c r="AP169" s="3">
        <f t="shared" si="81"/>
        <v>1</v>
      </c>
      <c r="AQ169" s="3">
        <f t="shared" si="82"/>
        <v>1</v>
      </c>
      <c r="AR169" s="3">
        <f t="shared" si="83"/>
        <v>2</v>
      </c>
      <c r="AS169" s="3">
        <f t="shared" si="84"/>
        <v>1</v>
      </c>
      <c r="AT169" s="3">
        <f t="shared" si="85"/>
        <v>1</v>
      </c>
      <c r="AU169" s="3">
        <f t="shared" si="86"/>
        <v>1</v>
      </c>
      <c r="AV169" s="3">
        <f t="shared" si="87"/>
        <v>14</v>
      </c>
      <c r="AW169" s="3">
        <f t="shared" si="88"/>
        <v>9</v>
      </c>
      <c r="AX169" s="3">
        <f t="shared" si="89"/>
        <v>4</v>
      </c>
      <c r="AY169" s="3">
        <f t="shared" si="90"/>
        <v>4</v>
      </c>
      <c r="AZ169" s="3">
        <f t="shared" si="91"/>
        <v>1</v>
      </c>
      <c r="BA169" s="3">
        <f>IF(ISERROR(LEN(VLOOKUP(A169,Seqs!A:E,2,FALSE))-AL169),"-",LEN(VLOOKUP(A169,Seqs!A:E,2,FALSE))-AL169)</f>
        <v>33</v>
      </c>
      <c r="BB169" s="16">
        <f t="shared" si="92"/>
        <v>28</v>
      </c>
      <c r="BC169" s="9">
        <f t="shared" si="93"/>
        <v>20</v>
      </c>
      <c r="BD169" s="3">
        <f t="shared" si="94"/>
        <v>28</v>
      </c>
      <c r="BE169" s="3">
        <f t="shared" si="9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5"/>
        <v>389</v>
      </c>
      <c r="G170" s="3">
        <v>391</v>
      </c>
      <c r="H170" s="3">
        <f t="shared" si="106"/>
        <v>392</v>
      </c>
      <c r="I170" s="3">
        <f t="shared" si="10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7"/>
        <v>432</v>
      </c>
      <c r="M170" s="3">
        <v>433</v>
      </c>
      <c r="N170" s="3">
        <f t="shared" si="108"/>
        <v>435</v>
      </c>
      <c r="O170" s="3">
        <f t="shared" si="10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0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98"/>
        <v>1</v>
      </c>
      <c r="AO170" s="3" t="str">
        <f>IF(ISERROR(MATCH(A170,'SegEnds_Xtal_Prot#'!B:B, 0)), "NoXtal", "Xtal")</f>
        <v>NoXtal</v>
      </c>
      <c r="AP170" s="3">
        <f t="shared" si="81"/>
        <v>2</v>
      </c>
      <c r="AQ170" s="3">
        <f t="shared" si="82"/>
        <v>1</v>
      </c>
      <c r="AR170" s="3">
        <f t="shared" si="83"/>
        <v>10</v>
      </c>
      <c r="AS170" s="3">
        <f t="shared" si="84"/>
        <v>1</v>
      </c>
      <c r="AT170" s="3">
        <f t="shared" si="85"/>
        <v>1</v>
      </c>
      <c r="AU170" s="3">
        <f t="shared" si="86"/>
        <v>1</v>
      </c>
      <c r="AV170" s="3">
        <f t="shared" si="87"/>
        <v>11</v>
      </c>
      <c r="AW170" s="3">
        <f t="shared" si="88"/>
        <v>7</v>
      </c>
      <c r="AX170" s="3">
        <f t="shared" si="89"/>
        <v>5</v>
      </c>
      <c r="AY170" s="3">
        <f t="shared" si="90"/>
        <v>6</v>
      </c>
      <c r="AZ170" s="3">
        <f t="shared" si="91"/>
        <v>1</v>
      </c>
      <c r="BA170" s="3">
        <f>IF(ISERROR(LEN(VLOOKUP(A170,Seqs!A:E,2,FALSE))-AL170),"-",LEN(VLOOKUP(A170,Seqs!A:E,2,FALSE))-AL170)</f>
        <v>60</v>
      </c>
      <c r="BB170" s="16">
        <f t="shared" si="92"/>
        <v>28</v>
      </c>
      <c r="BC170" s="9">
        <f t="shared" si="93"/>
        <v>20</v>
      </c>
      <c r="BD170" s="3">
        <f t="shared" si="94"/>
        <v>28</v>
      </c>
      <c r="BE170" s="3">
        <f t="shared" si="9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pd2r2_human</v>
      </c>
      <c r="C171" s="3">
        <f>VLOOKUP($A171,'SegEnds_NonXtal_BW#'!$A:$Z,3,FALSE)+D171-50</f>
        <v>18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5"/>
        <v>47</v>
      </c>
      <c r="G171" s="3">
        <v>49</v>
      </c>
      <c r="H171" s="3">
        <f t="shared" si="106"/>
        <v>50</v>
      </c>
      <c r="I171" s="3">
        <f t="shared" si="10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7"/>
        <v>82</v>
      </c>
      <c r="M171" s="3">
        <v>83</v>
      </c>
      <c r="N171" s="3">
        <f t="shared" si="108"/>
        <v>85</v>
      </c>
      <c r="O171" s="3">
        <f t="shared" si="10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0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3"/>
        <v>170</v>
      </c>
      <c r="AA171" s="3">
        <f>IF(ISERROR(VLOOKUP($A171,'SegEnds_NonXtal_BW#'!$A:$Z,19,FALSE)+VLOOKUP($A171,A:AL,28,FALSE)-50),"-",(VLOOKUP($A171,'SegEnds_NonXtal_BW#'!$A:$Z,19,FALSE)+VLOOKUP($A171,A:AL,28,FALSE)-50))</f>
        <v>172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306</v>
      </c>
      <c r="AM171" s="28" t="str">
        <f>VLOOKUP(A171,Classification!A:B,2,FALSE)</f>
        <v>A</v>
      </c>
      <c r="AN171" s="28" t="b">
        <f>AND(IF(Y171="-",IF(AA171-W171&gt;3,TRUE,FALSE),TRUE),IF(M171="-",IF(O171-K171&gt;3,TRUE,FALSE),TRUE),IF(AG171-AF171&gt;1,TRUE,FALSE),C171&lt;E171,OR(E171&lt;F171,F171="-"),OR(F171&lt;H171,F171="-"),OR(H171&lt;I171,H171="-"),I171&lt;K171,OR(K171&lt;L171,L171="-"),OR(L171&lt;N171,L171="-"),OR(N171&lt;O171,N171="-"),O171&lt;Q171,OR(Q171&lt;R171,R171="-"),OR(R171&lt;T171,R171="-"),OR(T171&lt;U171,T171="-"),U171&lt;W171,OR(W171&lt;X171,X171="-"),OR(X171&lt;Z171,X171="-"),OR(Z171&lt;AA171,Z171="-"),AA171&lt;AC171,AC171&lt;AD171,AD171&lt;AF171,AF171&lt;AG171,AG171&lt;AI171,OR(AI171&lt;AJ171,AJ171="-"),OR(AJ171&lt;AL171,AJ171="-"))</f>
        <v>1</v>
      </c>
      <c r="AO171" s="3" t="str">
        <f>IF(ISERROR(MATCH(A171,'SegEnds_Xtal_Prot#'!B:B, 0)), "NoXtal", "Xtal")</f>
        <v>NoXtal</v>
      </c>
      <c r="AP171" s="3">
        <f t="shared" si="81"/>
        <v>1</v>
      </c>
      <c r="AQ171" s="3">
        <f t="shared" si="82"/>
        <v>1</v>
      </c>
      <c r="AR171" s="3">
        <f t="shared" si="83"/>
        <v>2</v>
      </c>
      <c r="AS171" s="3">
        <f t="shared" si="84"/>
        <v>1</v>
      </c>
      <c r="AT171" s="3">
        <f t="shared" si="85"/>
        <v>1</v>
      </c>
      <c r="AU171" s="3">
        <f t="shared" si="86"/>
        <v>1</v>
      </c>
      <c r="AV171" s="3">
        <f t="shared" si="87"/>
        <v>12</v>
      </c>
      <c r="AW171" s="3">
        <f t="shared" si="88"/>
        <v>2</v>
      </c>
      <c r="AX171" s="3">
        <f t="shared" si="89"/>
        <v>5</v>
      </c>
      <c r="AY171" s="3">
        <f t="shared" si="90"/>
        <v>6</v>
      </c>
      <c r="AZ171" s="3">
        <f t="shared" si="91"/>
        <v>1</v>
      </c>
      <c r="BA171" s="3">
        <f>IF(ISERROR(LEN(VLOOKUP(A171,Seqs!A:E,2,FALSE))-AL171),"-",LEN(VLOOKUP(A171,Seqs!A:E,2,FALSE))-AL171)</f>
        <v>46</v>
      </c>
      <c r="BB171" s="16">
        <f t="shared" si="92"/>
        <v>28</v>
      </c>
      <c r="BC171" s="9">
        <f t="shared" si="93"/>
        <v>20</v>
      </c>
      <c r="BD171" s="3">
        <f t="shared" si="94"/>
        <v>28</v>
      </c>
      <c r="BE171" s="3">
        <f t="shared" si="9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pd2r2_human</v>
      </c>
      <c r="C172" s="3">
        <f>VLOOKUP($A172,'SegEnds_NonXtal_BW#'!$A:$Z,3,FALSE)+D172-50</f>
        <v>51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5"/>
        <v>80</v>
      </c>
      <c r="G172" s="3">
        <v>82</v>
      </c>
      <c r="H172" s="3">
        <f t="shared" si="106"/>
        <v>83</v>
      </c>
      <c r="I172" s="3">
        <f t="shared" si="10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7"/>
        <v>117</v>
      </c>
      <c r="M172" s="3">
        <v>118</v>
      </c>
      <c r="N172" s="3">
        <f t="shared" si="108"/>
        <v>120</v>
      </c>
      <c r="O172" s="3">
        <f t="shared" si="10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0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340</v>
      </c>
      <c r="AM172" s="28" t="str">
        <f>VLOOKUP(A172,Classification!A:B,2,FALSE)</f>
        <v>A</v>
      </c>
      <c r="AN172" s="28" t="b">
        <f t="shared" si="98"/>
        <v>1</v>
      </c>
      <c r="AO172" s="3" t="str">
        <f>IF(ISERROR(MATCH(A172,'SegEnds_Xtal_Prot#'!B:B, 0)), "NoXtal", "Xtal")</f>
        <v>NoXtal</v>
      </c>
      <c r="AP172" s="3">
        <f t="shared" si="81"/>
        <v>1</v>
      </c>
      <c r="AQ172" s="3">
        <f t="shared" si="82"/>
        <v>1</v>
      </c>
      <c r="AR172" s="3">
        <f t="shared" si="83"/>
        <v>2</v>
      </c>
      <c r="AS172" s="3">
        <f t="shared" si="84"/>
        <v>1</v>
      </c>
      <c r="AT172" s="3">
        <f t="shared" si="85"/>
        <v>1</v>
      </c>
      <c r="AU172" s="3">
        <f t="shared" si="86"/>
        <v>1</v>
      </c>
      <c r="AV172" s="3">
        <f t="shared" si="87"/>
        <v>11</v>
      </c>
      <c r="AW172" s="3">
        <f t="shared" si="88"/>
        <v>5</v>
      </c>
      <c r="AX172" s="3">
        <f t="shared" si="89"/>
        <v>5</v>
      </c>
      <c r="AY172" s="3">
        <f t="shared" si="90"/>
        <v>6</v>
      </c>
      <c r="AZ172" s="3">
        <f t="shared" si="91"/>
        <v>1</v>
      </c>
      <c r="BA172" s="3">
        <f>IF(ISERROR(LEN(VLOOKUP(A172,Seqs!A:E,2,FALSE))-AL172),"-",LEN(VLOOKUP(A172,Seqs!A:E,2,FALSE))-AL172)</f>
        <v>49</v>
      </c>
      <c r="BB172" s="16">
        <f t="shared" si="92"/>
        <v>30</v>
      </c>
      <c r="BC172" s="9">
        <f t="shared" si="93"/>
        <v>20</v>
      </c>
      <c r="BD172" s="3">
        <f t="shared" si="94"/>
        <v>30</v>
      </c>
      <c r="BE172" s="3">
        <f t="shared" si="9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28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0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98"/>
        <v>1</v>
      </c>
      <c r="AO173" s="3" t="str">
        <f>IF(ISERROR(MATCH(A173,'SegEnds_Xtal_Prot#'!B:B, 0)), "NoXtal", "Xtal")</f>
        <v>NoXtal</v>
      </c>
      <c r="AP173" s="3" t="str">
        <f t="shared" si="81"/>
        <v>-</v>
      </c>
      <c r="AQ173" s="3" t="str">
        <f t="shared" si="82"/>
        <v>-</v>
      </c>
      <c r="AR173" s="3" t="str">
        <f t="shared" si="83"/>
        <v>-</v>
      </c>
      <c r="AS173" s="3" t="str">
        <f t="shared" si="84"/>
        <v>-</v>
      </c>
      <c r="AT173" s="3">
        <f t="shared" si="85"/>
        <v>1</v>
      </c>
      <c r="AU173" s="3">
        <f t="shared" si="86"/>
        <v>1</v>
      </c>
      <c r="AV173" s="3" t="str">
        <f t="shared" si="87"/>
        <v>-</v>
      </c>
      <c r="AW173" s="3" t="str">
        <f t="shared" si="88"/>
        <v>-</v>
      </c>
      <c r="AX173" s="3">
        <f t="shared" si="89"/>
        <v>4</v>
      </c>
      <c r="AY173" s="3">
        <f t="shared" si="90"/>
        <v>5</v>
      </c>
      <c r="AZ173" s="3">
        <f t="shared" si="91"/>
        <v>1</v>
      </c>
      <c r="BA173" s="3">
        <f>IF(ISERROR(LEN(VLOOKUP(A173,Seqs!A:E,2,FALSE))-AL173),"-",LEN(VLOOKUP(A173,Seqs!A:E,2,FALSE))-AL173)</f>
        <v>27</v>
      </c>
      <c r="BB173" s="16">
        <f t="shared" si="92"/>
        <v>27</v>
      </c>
      <c r="BC173" s="9">
        <f t="shared" si="93"/>
        <v>20</v>
      </c>
      <c r="BD173" s="3">
        <f t="shared" si="94"/>
        <v>27</v>
      </c>
      <c r="BE173" s="3">
        <f t="shared" si="9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0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98"/>
        <v>1</v>
      </c>
      <c r="AO174" s="3" t="str">
        <f>IF(ISERROR(MATCH(A174,'SegEnds_Xtal_Prot#'!B:B, 0)), "NoXtal", "Xtal")</f>
        <v>NoXtal</v>
      </c>
      <c r="AP174" s="3" t="str">
        <f t="shared" si="81"/>
        <v>-</v>
      </c>
      <c r="AQ174" s="3" t="str">
        <f t="shared" si="82"/>
        <v>-</v>
      </c>
      <c r="AR174" s="3" t="str">
        <f t="shared" si="83"/>
        <v>-</v>
      </c>
      <c r="AS174" s="3" t="str">
        <f t="shared" si="84"/>
        <v>-</v>
      </c>
      <c r="AT174" s="3">
        <f t="shared" si="85"/>
        <v>1</v>
      </c>
      <c r="AU174" s="3">
        <f t="shared" si="86"/>
        <v>1</v>
      </c>
      <c r="AV174" s="3" t="str">
        <f t="shared" si="87"/>
        <v>-</v>
      </c>
      <c r="AW174" s="3" t="str">
        <f t="shared" si="88"/>
        <v>-</v>
      </c>
      <c r="AX174" s="3">
        <f t="shared" si="89"/>
        <v>4</v>
      </c>
      <c r="AY174" s="3">
        <f t="shared" si="90"/>
        <v>5</v>
      </c>
      <c r="AZ174" s="3">
        <f t="shared" si="91"/>
        <v>1</v>
      </c>
      <c r="BA174" s="3">
        <f>IF(ISERROR(LEN(VLOOKUP(A174,Seqs!A:E,2,FALSE))-AL174),"-",LEN(VLOOKUP(A174,Seqs!A:E,2,FALSE))-AL174)</f>
        <v>40</v>
      </c>
      <c r="BB174" s="16">
        <f t="shared" si="92"/>
        <v>26</v>
      </c>
      <c r="BC174" s="9">
        <f t="shared" si="93"/>
        <v>20</v>
      </c>
      <c r="BD174" s="3">
        <f t="shared" si="94"/>
        <v>26</v>
      </c>
      <c r="BE174" s="3">
        <f t="shared" si="9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0">G175+1</f>
        <v>70</v>
      </c>
      <c r="I175" s="3">
        <f t="shared" si="11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0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276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98"/>
        <v>1</v>
      </c>
      <c r="AO175" s="3" t="str">
        <f>IF(ISERROR(MATCH(A175,'SegEnds_Xtal_Prot#'!B:B, 0)), "NoXtal", "Xtal")</f>
        <v>NoXtal</v>
      </c>
      <c r="AP175" s="3">
        <f t="shared" si="81"/>
        <v>1</v>
      </c>
      <c r="AQ175" s="3">
        <f t="shared" si="82"/>
        <v>1</v>
      </c>
      <c r="AR175" s="3" t="str">
        <f t="shared" si="83"/>
        <v>-</v>
      </c>
      <c r="AS175" s="3" t="str">
        <f t="shared" si="84"/>
        <v>-</v>
      </c>
      <c r="AT175" s="3">
        <f t="shared" si="85"/>
        <v>1</v>
      </c>
      <c r="AU175" s="3">
        <f t="shared" si="86"/>
        <v>1</v>
      </c>
      <c r="AV175" s="3" t="str">
        <f t="shared" si="87"/>
        <v>-</v>
      </c>
      <c r="AW175" s="3" t="str">
        <f t="shared" si="88"/>
        <v>-</v>
      </c>
      <c r="AX175" s="3">
        <f t="shared" si="89"/>
        <v>7</v>
      </c>
      <c r="AY175" s="3">
        <f t="shared" si="90"/>
        <v>8</v>
      </c>
      <c r="AZ175" s="3">
        <f t="shared" si="91"/>
        <v>1</v>
      </c>
      <c r="BA175" s="3">
        <f>IF(ISERROR(LEN(VLOOKUP(A175,Seqs!A:E,2,FALSE))-AL175),"-",LEN(VLOOKUP(A175,Seqs!A:E,2,FALSE))-AL175)</f>
        <v>8</v>
      </c>
      <c r="BB175" s="16">
        <f t="shared" si="92"/>
        <v>28</v>
      </c>
      <c r="BC175" s="9">
        <f t="shared" si="93"/>
        <v>20</v>
      </c>
      <c r="BD175" s="3">
        <f t="shared" si="94"/>
        <v>28</v>
      </c>
      <c r="BE175" s="3">
        <f t="shared" si="95"/>
        <v>48</v>
      </c>
      <c r="BF175" s="3">
        <f t="shared" ref="BF175:BF181" si="11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0"/>
        <v>76</v>
      </c>
      <c r="I176" s="3">
        <f t="shared" si="11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0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279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98"/>
        <v>1</v>
      </c>
      <c r="AO176" s="3" t="str">
        <f>IF(ISERROR(MATCH(A176,'SegEnds_Xtal_Prot#'!B:B, 0)), "NoXtal", "Xtal")</f>
        <v>NoXtal</v>
      </c>
      <c r="AP176" s="3">
        <f t="shared" si="81"/>
        <v>1</v>
      </c>
      <c r="AQ176" s="3">
        <f t="shared" si="82"/>
        <v>1</v>
      </c>
      <c r="AR176" s="3" t="str">
        <f t="shared" si="83"/>
        <v>-</v>
      </c>
      <c r="AS176" s="3" t="str">
        <f t="shared" si="84"/>
        <v>-</v>
      </c>
      <c r="AT176" s="3">
        <f t="shared" si="85"/>
        <v>1</v>
      </c>
      <c r="AU176" s="3">
        <f t="shared" si="86"/>
        <v>1</v>
      </c>
      <c r="AV176" s="3" t="str">
        <f t="shared" si="87"/>
        <v>-</v>
      </c>
      <c r="AW176" s="3" t="str">
        <f t="shared" si="88"/>
        <v>-</v>
      </c>
      <c r="AX176" s="3">
        <f t="shared" si="89"/>
        <v>6</v>
      </c>
      <c r="AY176" s="3">
        <f t="shared" si="90"/>
        <v>8</v>
      </c>
      <c r="AZ176" s="3">
        <f t="shared" si="91"/>
        <v>1</v>
      </c>
      <c r="BA176" s="3">
        <f>IF(ISERROR(LEN(VLOOKUP(A176,Seqs!A:E,2,FALSE))-AL176),"-",LEN(VLOOKUP(A176,Seqs!A:E,2,FALSE))-AL176)</f>
        <v>14</v>
      </c>
      <c r="BB176" s="16">
        <f t="shared" si="92"/>
        <v>28</v>
      </c>
      <c r="BC176" s="9">
        <f t="shared" si="93"/>
        <v>20</v>
      </c>
      <c r="BD176" s="3">
        <f t="shared" si="94"/>
        <v>28</v>
      </c>
      <c r="BE176" s="3">
        <f t="shared" si="95"/>
        <v>46</v>
      </c>
      <c r="BF176" s="3">
        <f t="shared" si="11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0"/>
        <v>68</v>
      </c>
      <c r="I177" s="3">
        <f t="shared" si="11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0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272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98"/>
        <v>1</v>
      </c>
      <c r="AO177" s="3" t="str">
        <f>IF(ISERROR(MATCH(A177,'SegEnds_Xtal_Prot#'!B:B, 0)), "NoXtal", "Xtal")</f>
        <v>NoXtal</v>
      </c>
      <c r="AP177" s="3">
        <f t="shared" si="81"/>
        <v>1</v>
      </c>
      <c r="AQ177" s="3">
        <f t="shared" si="82"/>
        <v>1</v>
      </c>
      <c r="AR177" s="3" t="str">
        <f t="shared" si="83"/>
        <v>-</v>
      </c>
      <c r="AS177" s="3" t="str">
        <f t="shared" si="84"/>
        <v>-</v>
      </c>
      <c r="AT177" s="3">
        <f t="shared" si="85"/>
        <v>1</v>
      </c>
      <c r="AU177" s="3">
        <f t="shared" si="86"/>
        <v>1</v>
      </c>
      <c r="AV177" s="3" t="str">
        <f t="shared" si="87"/>
        <v>-</v>
      </c>
      <c r="AW177" s="3" t="str">
        <f t="shared" si="88"/>
        <v>-</v>
      </c>
      <c r="AX177" s="3">
        <f t="shared" si="89"/>
        <v>6</v>
      </c>
      <c r="AY177" s="3">
        <f t="shared" si="90"/>
        <v>8</v>
      </c>
      <c r="AZ177" s="3">
        <f t="shared" si="91"/>
        <v>1</v>
      </c>
      <c r="BA177" s="3">
        <f>IF(ISERROR(LEN(VLOOKUP(A177,Seqs!A:E,2,FALSE))-AL177),"-",LEN(VLOOKUP(A177,Seqs!A:E,2,FALSE))-AL177)</f>
        <v>14</v>
      </c>
      <c r="BB177" s="16">
        <f t="shared" si="92"/>
        <v>28</v>
      </c>
      <c r="BC177" s="9">
        <f t="shared" si="93"/>
        <v>20</v>
      </c>
      <c r="BD177" s="3">
        <f t="shared" si="94"/>
        <v>28</v>
      </c>
      <c r="BE177" s="3">
        <f t="shared" si="95"/>
        <v>46</v>
      </c>
      <c r="BF177" s="3">
        <f t="shared" si="11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0"/>
        <v>141</v>
      </c>
      <c r="I178" s="3">
        <f t="shared" si="11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0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98"/>
        <v>1</v>
      </c>
      <c r="AO178" s="3" t="str">
        <f>IF(ISERROR(MATCH(A178,'SegEnds_Xtal_Prot#'!B:B, 0)), "NoXtal", "Xtal")</f>
        <v>NoXtal</v>
      </c>
      <c r="AP178" s="3">
        <f t="shared" si="81"/>
        <v>1</v>
      </c>
      <c r="AQ178" s="3">
        <f t="shared" si="82"/>
        <v>1</v>
      </c>
      <c r="AR178" s="3">
        <f t="shared" si="83"/>
        <v>2</v>
      </c>
      <c r="AS178" s="3">
        <f t="shared" si="84"/>
        <v>1</v>
      </c>
      <c r="AT178" s="3">
        <f t="shared" si="85"/>
        <v>1</v>
      </c>
      <c r="AU178" s="3">
        <f t="shared" si="86"/>
        <v>1</v>
      </c>
      <c r="AV178" s="3">
        <f t="shared" si="87"/>
        <v>12</v>
      </c>
      <c r="AW178" s="3">
        <f t="shared" si="88"/>
        <v>4</v>
      </c>
      <c r="AX178" s="3">
        <f t="shared" si="89"/>
        <v>6</v>
      </c>
      <c r="AY178" s="3">
        <f t="shared" si="90"/>
        <v>7</v>
      </c>
      <c r="AZ178" s="3">
        <f t="shared" si="91"/>
        <v>1</v>
      </c>
      <c r="BA178" s="3">
        <f>IF(ISERROR(LEN(VLOOKUP(A178,Seqs!A:E,2,FALSE))-AL178),"-",LEN(VLOOKUP(A178,Seqs!A:E,2,FALSE))-AL178)</f>
        <v>26</v>
      </c>
      <c r="BB178" s="16">
        <f t="shared" si="92"/>
        <v>31</v>
      </c>
      <c r="BC178" s="9">
        <f t="shared" si="93"/>
        <v>20</v>
      </c>
      <c r="BD178" s="3">
        <f t="shared" si="94"/>
        <v>31</v>
      </c>
      <c r="BE178" s="3">
        <f t="shared" si="95"/>
        <v>51</v>
      </c>
      <c r="BF178" s="3">
        <f t="shared" si="11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0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98"/>
        <v>1</v>
      </c>
      <c r="AO179" s="3" t="str">
        <f>IF(ISERROR(MATCH(A179,'SegEnds_Xtal_Prot#'!B:B, 0)), "NoXtal", "Xtal")</f>
        <v>NoXtal</v>
      </c>
      <c r="AP179" s="3" t="str">
        <f t="shared" si="81"/>
        <v>-</v>
      </c>
      <c r="AQ179" s="3" t="str">
        <f t="shared" si="82"/>
        <v>-</v>
      </c>
      <c r="AR179" s="3">
        <f t="shared" si="83"/>
        <v>3</v>
      </c>
      <c r="AS179" s="3">
        <f t="shared" si="84"/>
        <v>1</v>
      </c>
      <c r="AT179" s="3">
        <f t="shared" si="85"/>
        <v>1</v>
      </c>
      <c r="AU179" s="3">
        <f t="shared" si="86"/>
        <v>1</v>
      </c>
      <c r="AV179" s="3">
        <f t="shared" si="87"/>
        <v>12</v>
      </c>
      <c r="AW179" s="3">
        <f t="shared" si="88"/>
        <v>4</v>
      </c>
      <c r="AX179" s="3">
        <f t="shared" si="89"/>
        <v>6</v>
      </c>
      <c r="AY179" s="3">
        <f t="shared" si="90"/>
        <v>7</v>
      </c>
      <c r="AZ179" s="3">
        <f t="shared" si="91"/>
        <v>1</v>
      </c>
      <c r="BA179" s="3">
        <f>IF(ISERROR(LEN(VLOOKUP(A179,Seqs!A:E,2,FALSE))-AL179),"-",LEN(VLOOKUP(A179,Seqs!A:E,2,FALSE))-AL179)</f>
        <v>17</v>
      </c>
      <c r="BB179" s="16">
        <f t="shared" si="92"/>
        <v>27</v>
      </c>
      <c r="BC179" s="9">
        <f t="shared" si="93"/>
        <v>20</v>
      </c>
      <c r="BD179" s="3">
        <f t="shared" si="94"/>
        <v>27</v>
      </c>
      <c r="BE179" s="3">
        <f t="shared" si="95"/>
        <v>57</v>
      </c>
      <c r="BF179" s="3">
        <f t="shared" si="11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c5ar1_human</v>
      </c>
      <c r="C180" s="3">
        <f>VLOOKUP($A180,'SegEnds_NonXtal_BW#'!$A:$Z,3,FALSE)+D180-50</f>
        <v>24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0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173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289</v>
      </c>
      <c r="AM180" s="28" t="str">
        <f>VLOOKUP(A180,Classification!A:B,2,FALSE)</f>
        <v>A</v>
      </c>
      <c r="AN180" s="28" t="b">
        <f t="shared" si="98"/>
        <v>1</v>
      </c>
      <c r="AO180" s="3" t="str">
        <f>IF(ISERROR(MATCH(A180,'SegEnds_Xtal_Prot#'!B:B, 0)), "NoXtal", "Xtal")</f>
        <v>NoXtal</v>
      </c>
      <c r="AP180" s="3" t="str">
        <f t="shared" si="81"/>
        <v>-</v>
      </c>
      <c r="AQ180" s="3" t="str">
        <f t="shared" si="82"/>
        <v>-</v>
      </c>
      <c r="AR180" s="3" t="str">
        <f t="shared" si="83"/>
        <v>-</v>
      </c>
      <c r="AS180" s="3" t="str">
        <f t="shared" si="84"/>
        <v>-</v>
      </c>
      <c r="AT180" s="3">
        <f t="shared" si="85"/>
        <v>1</v>
      </c>
      <c r="AU180" s="3">
        <f t="shared" si="86"/>
        <v>1</v>
      </c>
      <c r="AV180" s="3" t="str">
        <f t="shared" si="87"/>
        <v>-</v>
      </c>
      <c r="AW180" s="3" t="str">
        <f t="shared" si="88"/>
        <v>-</v>
      </c>
      <c r="AX180" s="3">
        <f t="shared" si="89"/>
        <v>4</v>
      </c>
      <c r="AY180" s="3">
        <f t="shared" si="90"/>
        <v>7</v>
      </c>
      <c r="AZ180" s="3">
        <f t="shared" si="91"/>
        <v>1</v>
      </c>
      <c r="BA180" s="3">
        <f>IF(ISERROR(LEN(VLOOKUP(A180,Seqs!A:E,2,FALSE))-AL180),"-",LEN(VLOOKUP(A180,Seqs!A:E,2,FALSE))-AL180)</f>
        <v>32</v>
      </c>
      <c r="BB180" s="16">
        <f t="shared" si="92"/>
        <v>27</v>
      </c>
      <c r="BC180" s="9">
        <f t="shared" si="93"/>
        <v>20</v>
      </c>
      <c r="BD180" s="3">
        <f t="shared" si="94"/>
        <v>27</v>
      </c>
      <c r="BE180" s="3">
        <f t="shared" si="95"/>
        <v>44</v>
      </c>
      <c r="BF180" s="3">
        <f t="shared" si="11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0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98"/>
        <v>1</v>
      </c>
      <c r="AO181" s="3" t="str">
        <f>IF(ISERROR(MATCH(A181,'SegEnds_Xtal_Prot#'!B:B, 0)), "NoXtal", "Xtal")</f>
        <v>NoXtal</v>
      </c>
      <c r="AP181" s="3" t="str">
        <f t="shared" si="81"/>
        <v>-</v>
      </c>
      <c r="AQ181" s="3" t="str">
        <f t="shared" si="82"/>
        <v>-</v>
      </c>
      <c r="AR181" s="3" t="str">
        <f t="shared" si="83"/>
        <v>-</v>
      </c>
      <c r="AS181" s="3" t="str">
        <f t="shared" si="84"/>
        <v>-</v>
      </c>
      <c r="AT181" s="3">
        <f t="shared" si="85"/>
        <v>1</v>
      </c>
      <c r="AU181" s="3">
        <f t="shared" si="86"/>
        <v>1</v>
      </c>
      <c r="AV181" s="3" t="str">
        <f t="shared" si="87"/>
        <v>-</v>
      </c>
      <c r="AW181" s="3" t="str">
        <f t="shared" si="88"/>
        <v>-</v>
      </c>
      <c r="AX181" s="3">
        <f t="shared" si="89"/>
        <v>4</v>
      </c>
      <c r="AY181" s="3">
        <f t="shared" si="90"/>
        <v>5</v>
      </c>
      <c r="AZ181" s="3">
        <f t="shared" si="91"/>
        <v>1</v>
      </c>
      <c r="BA181" s="3">
        <f>IF(ISERROR(LEN(VLOOKUP(A181,Seqs!A:E,2,FALSE))-AL181),"-",LEN(VLOOKUP(A181,Seqs!A:E,2,FALSE))-AL181)</f>
        <v>27</v>
      </c>
      <c r="BB181" s="16">
        <f t="shared" si="92"/>
        <v>27</v>
      </c>
      <c r="BC181" s="9">
        <f t="shared" si="93"/>
        <v>20</v>
      </c>
      <c r="BD181" s="3">
        <f t="shared" si="94"/>
        <v>27</v>
      </c>
      <c r="BE181" s="3">
        <f t="shared" si="95"/>
        <v>42</v>
      </c>
      <c r="BF181" s="3">
        <f t="shared" si="11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0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98"/>
        <v>1</v>
      </c>
      <c r="AO182" s="3" t="str">
        <f>IF(ISERROR(MATCH(A182,'SegEnds_Xtal_Prot#'!B:B, 0)), "NoXtal", "Xtal")</f>
        <v>NoXtal</v>
      </c>
      <c r="AP182" s="3" t="str">
        <f t="shared" si="81"/>
        <v>-</v>
      </c>
      <c r="AQ182" s="3" t="str">
        <f t="shared" si="82"/>
        <v>-</v>
      </c>
      <c r="AR182" s="3" t="str">
        <f t="shared" si="83"/>
        <v>-</v>
      </c>
      <c r="AS182" s="3" t="str">
        <f t="shared" si="84"/>
        <v>-</v>
      </c>
      <c r="AT182" s="3">
        <f t="shared" si="85"/>
        <v>1</v>
      </c>
      <c r="AU182" s="3">
        <f t="shared" si="86"/>
        <v>1</v>
      </c>
      <c r="AV182" s="3" t="str">
        <f t="shared" si="87"/>
        <v>-</v>
      </c>
      <c r="AW182" s="3" t="str">
        <f t="shared" si="88"/>
        <v>-</v>
      </c>
      <c r="AX182" s="3">
        <f t="shared" si="89"/>
        <v>5</v>
      </c>
      <c r="AY182" s="3">
        <f t="shared" si="90"/>
        <v>5</v>
      </c>
      <c r="AZ182" s="3">
        <f t="shared" si="91"/>
        <v>1</v>
      </c>
      <c r="BA182" s="3">
        <f>IF(ISERROR(LEN(VLOOKUP(A182,Seqs!A:E,2,FALSE))-AL182),"-",LEN(VLOOKUP(A182,Seqs!A:E,2,FALSE))-AL182)</f>
        <v>39</v>
      </c>
      <c r="BB182" s="16">
        <f t="shared" si="92"/>
        <v>27</v>
      </c>
      <c r="BC182" s="9">
        <f t="shared" si="93"/>
        <v>20</v>
      </c>
      <c r="BD182" s="3">
        <f t="shared" si="94"/>
        <v>27</v>
      </c>
      <c r="BE182" s="3">
        <f t="shared" si="9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agtr1_human</v>
      </c>
      <c r="C183" s="3">
        <f>VLOOKUP($A183,'SegEnds_NonXtal_BW#'!$A:$Z,3,FALSE)+D183-50</f>
        <v>8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77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0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98"/>
        <v>1</v>
      </c>
      <c r="AO183" s="3" t="str">
        <f>IF(ISERROR(MATCH(A183,'SegEnds_Xtal_Prot#'!B:B, 0)), "NoXtal", "Xtal")</f>
        <v>NoXtal</v>
      </c>
      <c r="AP183" s="3" t="str">
        <f t="shared" si="81"/>
        <v>-</v>
      </c>
      <c r="AQ183" s="3" t="str">
        <f t="shared" si="82"/>
        <v>-</v>
      </c>
      <c r="AR183" s="3" t="str">
        <f t="shared" si="83"/>
        <v>-</v>
      </c>
      <c r="AS183" s="3" t="str">
        <f t="shared" si="84"/>
        <v>-</v>
      </c>
      <c r="AT183" s="3">
        <f t="shared" si="85"/>
        <v>1</v>
      </c>
      <c r="AU183" s="3">
        <f t="shared" si="86"/>
        <v>1</v>
      </c>
      <c r="AV183" s="3" t="str">
        <f t="shared" si="87"/>
        <v>-</v>
      </c>
      <c r="AW183" s="3" t="str">
        <f t="shared" si="88"/>
        <v>-</v>
      </c>
      <c r="AX183" s="3">
        <f t="shared" si="89"/>
        <v>4</v>
      </c>
      <c r="AY183" s="3">
        <f t="shared" si="90"/>
        <v>5</v>
      </c>
      <c r="AZ183" s="3">
        <f t="shared" si="91"/>
        <v>1</v>
      </c>
      <c r="BA183" s="3">
        <f>IF(ISERROR(LEN(VLOOKUP(A183,Seqs!A:E,2,FALSE))-AL183),"-",LEN(VLOOKUP(A183,Seqs!A:E,2,FALSE))-AL183)</f>
        <v>21</v>
      </c>
      <c r="BB183" s="16">
        <f t="shared" si="92"/>
        <v>27</v>
      </c>
      <c r="BC183" s="9">
        <f t="shared" si="93"/>
        <v>20</v>
      </c>
      <c r="BD183" s="3">
        <f t="shared" si="94"/>
        <v>27</v>
      </c>
      <c r="BE183" s="3">
        <f t="shared" si="9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23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0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244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98"/>
        <v>1</v>
      </c>
      <c r="AO184" s="3" t="str">
        <f>IF(ISERROR(MATCH(A184,'SegEnds_Xtal_Prot#'!B:B, 0)), "NoXtal", "Xtal")</f>
        <v>NoXtal</v>
      </c>
      <c r="AP184" s="3" t="str">
        <f t="shared" si="81"/>
        <v>-</v>
      </c>
      <c r="AQ184" s="3" t="str">
        <f t="shared" si="82"/>
        <v>-</v>
      </c>
      <c r="AR184" s="3" t="str">
        <f t="shared" si="83"/>
        <v>-</v>
      </c>
      <c r="AS184" s="3" t="str">
        <f t="shared" si="84"/>
        <v>-</v>
      </c>
      <c r="AT184" s="3">
        <f t="shared" si="85"/>
        <v>1</v>
      </c>
      <c r="AU184" s="3">
        <f t="shared" si="86"/>
        <v>1</v>
      </c>
      <c r="AV184" s="3" t="str">
        <f t="shared" si="87"/>
        <v>-</v>
      </c>
      <c r="AW184" s="3" t="str">
        <f t="shared" si="88"/>
        <v>-</v>
      </c>
      <c r="AX184" s="3">
        <f t="shared" si="89"/>
        <v>4</v>
      </c>
      <c r="AY184" s="3">
        <f t="shared" si="90"/>
        <v>2</v>
      </c>
      <c r="AZ184" s="3">
        <f t="shared" si="91"/>
        <v>1</v>
      </c>
      <c r="BA184" s="3">
        <f>IF(ISERROR(LEN(VLOOKUP(A184,Seqs!A:E,2,FALSE))-AL184),"-",LEN(VLOOKUP(A184,Seqs!A:E,2,FALSE))-AL184)</f>
        <v>32</v>
      </c>
      <c r="BB184" s="16">
        <f t="shared" si="92"/>
        <v>27</v>
      </c>
      <c r="BC184" s="9">
        <f t="shared" si="93"/>
        <v>20</v>
      </c>
      <c r="BD184" s="3">
        <f t="shared" si="94"/>
        <v>27</v>
      </c>
      <c r="BE184" s="3">
        <f t="shared" si="9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c5ar1_human</v>
      </c>
      <c r="C185" s="3">
        <f>VLOOKUP($A185,'SegEnds_NonXtal_BW#'!$A:$Z,3,FALSE)+D185-50</f>
        <v>27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92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0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251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292</v>
      </c>
      <c r="AM185" s="28" t="str">
        <f>VLOOKUP(A185,Classification!A:B,2,FALSE)</f>
        <v>A</v>
      </c>
      <c r="AN185" s="28" t="b">
        <f t="shared" si="98"/>
        <v>1</v>
      </c>
      <c r="AO185" s="3" t="str">
        <f>IF(ISERROR(MATCH(A185,'SegEnds_Xtal_Prot#'!B:B, 0)), "NoXtal", "Xtal")</f>
        <v>NoXtal</v>
      </c>
      <c r="AP185" s="3" t="str">
        <f t="shared" si="81"/>
        <v>-</v>
      </c>
      <c r="AQ185" s="3" t="str">
        <f t="shared" si="82"/>
        <v>-</v>
      </c>
      <c r="AR185" s="3" t="str">
        <f t="shared" si="83"/>
        <v>-</v>
      </c>
      <c r="AS185" s="3" t="str">
        <f t="shared" si="84"/>
        <v>-</v>
      </c>
      <c r="AT185" s="3">
        <f t="shared" si="85"/>
        <v>1</v>
      </c>
      <c r="AU185" s="3">
        <f t="shared" si="86"/>
        <v>1</v>
      </c>
      <c r="AV185" s="3" t="str">
        <f t="shared" si="87"/>
        <v>-</v>
      </c>
      <c r="AW185" s="3" t="str">
        <f t="shared" si="88"/>
        <v>-</v>
      </c>
      <c r="AX185" s="3">
        <f t="shared" si="89"/>
        <v>4</v>
      </c>
      <c r="AY185" s="3">
        <f t="shared" si="90"/>
        <v>2</v>
      </c>
      <c r="AZ185" s="3">
        <f t="shared" si="91"/>
        <v>1</v>
      </c>
      <c r="BA185" s="3">
        <f>IF(ISERROR(LEN(VLOOKUP(A185,Seqs!A:E,2,FALSE))-AL185),"-",LEN(VLOOKUP(A185,Seqs!A:E,2,FALSE))-AL185)</f>
        <v>38</v>
      </c>
      <c r="BB185" s="16">
        <f t="shared" si="92"/>
        <v>27</v>
      </c>
      <c r="BC185" s="9">
        <f t="shared" si="93"/>
        <v>20</v>
      </c>
      <c r="BD185" s="3">
        <f t="shared" si="94"/>
        <v>27</v>
      </c>
      <c r="BE185" s="3">
        <f t="shared" si="9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pd2r2_human</v>
      </c>
      <c r="C186" s="3">
        <f>VLOOKUP($A186,'SegEnds_NonXtal_BW#'!$A:$Z,3,FALSE)+D186-50</f>
        <v>27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0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165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246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293</v>
      </c>
      <c r="AM186" s="28" t="str">
        <f>VLOOKUP(A186,Classification!A:B,2,FALSE)</f>
        <v>A</v>
      </c>
      <c r="AN186" s="28" t="b">
        <f t="shared" si="98"/>
        <v>1</v>
      </c>
      <c r="AO186" s="3" t="str">
        <f>IF(ISERROR(MATCH(A186,'SegEnds_Xtal_Prot#'!B:B, 0)), "NoXtal", "Xtal")</f>
        <v>NoXtal</v>
      </c>
      <c r="AP186" s="3" t="str">
        <f t="shared" si="81"/>
        <v>-</v>
      </c>
      <c r="AQ186" s="3" t="str">
        <f t="shared" si="82"/>
        <v>-</v>
      </c>
      <c r="AR186" s="3" t="str">
        <f t="shared" si="83"/>
        <v>-</v>
      </c>
      <c r="AS186" s="3" t="str">
        <f t="shared" si="84"/>
        <v>-</v>
      </c>
      <c r="AT186" s="3">
        <f t="shared" si="85"/>
        <v>1</v>
      </c>
      <c r="AU186" s="3">
        <f t="shared" si="86"/>
        <v>1</v>
      </c>
      <c r="AV186" s="3" t="str">
        <f t="shared" si="87"/>
        <v>-</v>
      </c>
      <c r="AW186" s="3" t="str">
        <f t="shared" si="88"/>
        <v>-</v>
      </c>
      <c r="AX186" s="3">
        <f t="shared" si="89"/>
        <v>4</v>
      </c>
      <c r="AY186" s="3">
        <f t="shared" si="90"/>
        <v>4</v>
      </c>
      <c r="AZ186" s="3">
        <f t="shared" si="91"/>
        <v>1</v>
      </c>
      <c r="BA186" s="3">
        <f>IF(ISERROR(LEN(VLOOKUP(A186,Seqs!A:E,2,FALSE))-AL186),"-",LEN(VLOOKUP(A186,Seqs!A:E,2,FALSE))-AL186)</f>
        <v>29</v>
      </c>
      <c r="BB186" s="16">
        <f t="shared" si="92"/>
        <v>27</v>
      </c>
      <c r="BC186" s="9">
        <f t="shared" si="93"/>
        <v>20</v>
      </c>
      <c r="BD186" s="3">
        <f t="shared" si="94"/>
        <v>27</v>
      </c>
      <c r="BE186" s="3">
        <f t="shared" si="9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par2_human</v>
      </c>
      <c r="C187" s="3">
        <f>VLOOKUP($A187,'SegEnds_NonXtal_BW#'!$A:$Z,3,FALSE)+D187-50</f>
        <v>23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159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250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290</v>
      </c>
      <c r="AM187" s="28" t="str">
        <f>VLOOKUP(A187,Classification!A:B,2,FALSE)</f>
        <v>A</v>
      </c>
      <c r="AN187" s="28" t="b">
        <f t="shared" si="98"/>
        <v>1</v>
      </c>
      <c r="AO187" s="3" t="str">
        <f>IF(ISERROR(MATCH(A187,'SegEnds_Xtal_Prot#'!B:B, 0)), "NoXtal", "Xtal")</f>
        <v>NoXtal</v>
      </c>
      <c r="AP187" s="3" t="str">
        <f t="shared" si="81"/>
        <v>-</v>
      </c>
      <c r="AQ187" s="3" t="str">
        <f t="shared" si="82"/>
        <v>-</v>
      </c>
      <c r="AR187" s="3" t="str">
        <f t="shared" si="83"/>
        <v>-</v>
      </c>
      <c r="AS187" s="3" t="str">
        <f t="shared" si="84"/>
        <v>-</v>
      </c>
      <c r="AT187" s="3">
        <f t="shared" si="85"/>
        <v>1</v>
      </c>
      <c r="AU187" s="3">
        <f t="shared" si="86"/>
        <v>1</v>
      </c>
      <c r="AV187" s="3" t="str">
        <f t="shared" si="87"/>
        <v>-</v>
      </c>
      <c r="AW187" s="3" t="str">
        <f t="shared" si="88"/>
        <v>-</v>
      </c>
      <c r="AX187" s="3">
        <f t="shared" si="89"/>
        <v>4</v>
      </c>
      <c r="AY187" s="3">
        <f t="shared" si="90"/>
        <v>8</v>
      </c>
      <c r="AZ187" s="3">
        <f t="shared" si="91"/>
        <v>1</v>
      </c>
      <c r="BA187" s="3">
        <f>IF(ISERROR(LEN(VLOOKUP(A187,Seqs!A:E,2,FALSE))-AL187),"-",LEN(VLOOKUP(A187,Seqs!A:E,2,FALSE))-AL187)</f>
        <v>32</v>
      </c>
      <c r="BB187" s="16">
        <f t="shared" si="92"/>
        <v>27</v>
      </c>
      <c r="BC187" s="9">
        <f t="shared" si="93"/>
        <v>20</v>
      </c>
      <c r="BD187" s="3">
        <f t="shared" si="94"/>
        <v>27</v>
      </c>
      <c r="BE187" s="3">
        <f t="shared" si="9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2">G188-2</f>
        <v>67</v>
      </c>
      <c r="G188" s="3">
        <v>69</v>
      </c>
      <c r="H188" s="3">
        <f t="shared" ref="H188:I197" si="113">G188+1</f>
        <v>70</v>
      </c>
      <c r="I188" s="3">
        <f t="shared" si="11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0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275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98"/>
        <v>1</v>
      </c>
      <c r="AO188" s="3" t="str">
        <f>IF(ISERROR(MATCH(A188,'SegEnds_Xtal_Prot#'!B:B, 0)), "NoXtal", "Xtal")</f>
        <v>NoXtal</v>
      </c>
      <c r="AP188" s="3">
        <f t="shared" si="81"/>
        <v>1</v>
      </c>
      <c r="AQ188" s="3">
        <f t="shared" si="82"/>
        <v>1</v>
      </c>
      <c r="AR188" s="3" t="str">
        <f t="shared" si="83"/>
        <v>-</v>
      </c>
      <c r="AS188" s="3" t="str">
        <f t="shared" si="84"/>
        <v>-</v>
      </c>
      <c r="AT188" s="3">
        <f t="shared" si="85"/>
        <v>1</v>
      </c>
      <c r="AU188" s="3">
        <f t="shared" si="86"/>
        <v>1</v>
      </c>
      <c r="AV188" s="3" t="str">
        <f t="shared" si="87"/>
        <v>-</v>
      </c>
      <c r="AW188" s="3" t="str">
        <f t="shared" si="88"/>
        <v>-</v>
      </c>
      <c r="AX188" s="3">
        <f t="shared" si="89"/>
        <v>7</v>
      </c>
      <c r="AY188" s="3">
        <f t="shared" si="90"/>
        <v>8</v>
      </c>
      <c r="AZ188" s="3">
        <f t="shared" si="91"/>
        <v>1</v>
      </c>
      <c r="BA188" s="3">
        <f>IF(ISERROR(LEN(VLOOKUP(A188,Seqs!A:E,2,FALSE))-AL188),"-",LEN(VLOOKUP(A188,Seqs!A:E,2,FALSE))-AL188)</f>
        <v>3</v>
      </c>
      <c r="BB188" s="16">
        <f t="shared" si="92"/>
        <v>28</v>
      </c>
      <c r="BC188" s="9">
        <f t="shared" si="93"/>
        <v>20</v>
      </c>
      <c r="BD188" s="3">
        <f t="shared" si="94"/>
        <v>28</v>
      </c>
      <c r="BE188" s="3">
        <f t="shared" si="9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2"/>
        <v>67</v>
      </c>
      <c r="G189" s="3">
        <v>69</v>
      </c>
      <c r="H189" s="3">
        <f t="shared" si="113"/>
        <v>70</v>
      </c>
      <c r="I189" s="3">
        <f t="shared" si="11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4">M189-1</f>
        <v>103</v>
      </c>
      <c r="M189" s="3">
        <v>104</v>
      </c>
      <c r="N189" s="3">
        <f t="shared" ref="N189:N196" si="115">M189+2</f>
        <v>106</v>
      </c>
      <c r="O189" s="3">
        <f t="shared" ref="O189:O214" si="11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0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326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98"/>
        <v>1</v>
      </c>
      <c r="AO189" s="3" t="str">
        <f>IF(ISERROR(MATCH(A189,'SegEnds_Xtal_Prot#'!B:B, 0)), "NoXtal", "Xtal")</f>
        <v>NoXtal</v>
      </c>
      <c r="AP189" s="3">
        <f t="shared" si="81"/>
        <v>1</v>
      </c>
      <c r="AQ189" s="3">
        <f t="shared" si="82"/>
        <v>1</v>
      </c>
      <c r="AR189" s="3">
        <f t="shared" si="83"/>
        <v>2</v>
      </c>
      <c r="AS189" s="3">
        <f t="shared" si="84"/>
        <v>1</v>
      </c>
      <c r="AT189" s="3">
        <f t="shared" si="85"/>
        <v>1</v>
      </c>
      <c r="AU189" s="3">
        <f t="shared" si="86"/>
        <v>1</v>
      </c>
      <c r="AV189" s="3">
        <f t="shared" si="87"/>
        <v>58</v>
      </c>
      <c r="AW189" s="3">
        <f t="shared" si="88"/>
        <v>4</v>
      </c>
      <c r="AX189" s="3">
        <f t="shared" si="89"/>
        <v>6</v>
      </c>
      <c r="AY189" s="3">
        <f t="shared" si="90"/>
        <v>2</v>
      </c>
      <c r="AZ189" s="3">
        <f t="shared" si="91"/>
        <v>1</v>
      </c>
      <c r="BA189" s="3">
        <f>IF(ISERROR(LEN(VLOOKUP(A189,Seqs!A:E,2,FALSE))-AL189),"-",LEN(VLOOKUP(A189,Seqs!A:E,2,FALSE))-AL189)</f>
        <v>42</v>
      </c>
      <c r="BB189" s="16">
        <f t="shared" si="92"/>
        <v>28</v>
      </c>
      <c r="BC189" s="9">
        <f t="shared" si="93"/>
        <v>20</v>
      </c>
      <c r="BD189" s="3">
        <f t="shared" si="94"/>
        <v>28</v>
      </c>
      <c r="BE189" s="3">
        <f t="shared" si="9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mtr1a_human</v>
      </c>
      <c r="C190" s="3">
        <f>VLOOKUP($A190,'SegEnds_NonXtal_BW#'!$A:$Z,3,FALSE)+D190-50</f>
        <v>23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2"/>
        <v>56</v>
      </c>
      <c r="G190" s="3">
        <v>58</v>
      </c>
      <c r="H190" s="3">
        <f t="shared" si="113"/>
        <v>59</v>
      </c>
      <c r="I190" s="3">
        <f t="shared" si="11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14"/>
        <v>92</v>
      </c>
      <c r="M190" s="3">
        <v>93</v>
      </c>
      <c r="N190" s="3">
        <f t="shared" si="115"/>
        <v>95</v>
      </c>
      <c r="O190" s="3">
        <f t="shared" si="11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0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273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315</v>
      </c>
      <c r="AM190" s="28" t="str">
        <f>VLOOKUP(A190,Classification!A:B,2,FALSE)</f>
        <v>A</v>
      </c>
      <c r="AN190" s="28" t="b">
        <f t="shared" si="98"/>
        <v>1</v>
      </c>
      <c r="AO190" s="3" t="str">
        <f>IF(ISERROR(MATCH(A190,'SegEnds_Xtal_Prot#'!B:B, 0)), "NoXtal", "Xtal")</f>
        <v>Xtal</v>
      </c>
      <c r="AP190" s="3">
        <f t="shared" si="81"/>
        <v>1</v>
      </c>
      <c r="AQ190" s="3">
        <f t="shared" si="82"/>
        <v>1</v>
      </c>
      <c r="AR190" s="3">
        <f t="shared" si="83"/>
        <v>1</v>
      </c>
      <c r="AS190" s="3">
        <f t="shared" si="84"/>
        <v>1</v>
      </c>
      <c r="AT190" s="3">
        <f t="shared" si="85"/>
        <v>1</v>
      </c>
      <c r="AU190" s="3">
        <f t="shared" si="86"/>
        <v>1</v>
      </c>
      <c r="AV190" s="3">
        <f t="shared" si="87"/>
        <v>11</v>
      </c>
      <c r="AW190" s="3">
        <f t="shared" si="88"/>
        <v>5</v>
      </c>
      <c r="AX190" s="3">
        <f t="shared" si="89"/>
        <v>6</v>
      </c>
      <c r="AY190" s="3">
        <f t="shared" si="90"/>
        <v>9</v>
      </c>
      <c r="AZ190" s="3">
        <f t="shared" si="91"/>
        <v>1</v>
      </c>
      <c r="BA190" s="3">
        <f>IF(ISERROR(LEN(VLOOKUP(A190,Seqs!A:E,2,FALSE))-AL190),"-",LEN(VLOOKUP(A190,Seqs!A:E,2,FALSE))-AL190)</f>
        <v>35</v>
      </c>
      <c r="BB190" s="16">
        <f t="shared" si="92"/>
        <v>28</v>
      </c>
      <c r="BC190" s="9">
        <f t="shared" si="93"/>
        <v>20</v>
      </c>
      <c r="BD190" s="3">
        <f t="shared" si="94"/>
        <v>28</v>
      </c>
      <c r="BE190" s="3">
        <f t="shared" si="9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mtr1b_human</v>
      </c>
      <c r="C191" s="3">
        <f>VLOOKUP($A191,'SegEnds_NonXtal_BW#'!$A:$Z,3,FALSE)+D191-50</f>
        <v>38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2"/>
        <v>69</v>
      </c>
      <c r="G191" s="3">
        <v>71</v>
      </c>
      <c r="H191" s="3">
        <f t="shared" si="113"/>
        <v>72</v>
      </c>
      <c r="I191" s="3">
        <f t="shared" si="11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14"/>
        <v>105</v>
      </c>
      <c r="M191" s="3">
        <v>106</v>
      </c>
      <c r="N191" s="3">
        <f t="shared" si="115"/>
        <v>108</v>
      </c>
      <c r="O191" s="3">
        <f t="shared" si="11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0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286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328</v>
      </c>
      <c r="AM191" s="28" t="str">
        <f>VLOOKUP(A191,Classification!A:B,2,FALSE)</f>
        <v>A</v>
      </c>
      <c r="AN191" s="28" t="b">
        <f t="shared" si="98"/>
        <v>1</v>
      </c>
      <c r="AO191" s="3" t="str">
        <f>IF(ISERROR(MATCH(A191,'SegEnds_Xtal_Prot#'!B:B, 0)), "NoXtal", "Xtal")</f>
        <v>Xtal</v>
      </c>
      <c r="AP191" s="3">
        <f t="shared" si="81"/>
        <v>1</v>
      </c>
      <c r="AQ191" s="3">
        <f t="shared" si="82"/>
        <v>1</v>
      </c>
      <c r="AR191" s="3">
        <f t="shared" si="83"/>
        <v>1</v>
      </c>
      <c r="AS191" s="3">
        <f t="shared" si="84"/>
        <v>1</v>
      </c>
      <c r="AT191" s="3">
        <f t="shared" si="85"/>
        <v>1</v>
      </c>
      <c r="AU191" s="3">
        <f t="shared" si="86"/>
        <v>1</v>
      </c>
      <c r="AV191" s="3">
        <f t="shared" si="87"/>
        <v>11</v>
      </c>
      <c r="AW191" s="3">
        <f t="shared" si="88"/>
        <v>5</v>
      </c>
      <c r="AX191" s="3">
        <f t="shared" si="89"/>
        <v>6</v>
      </c>
      <c r="AY191" s="3">
        <f t="shared" si="90"/>
        <v>9</v>
      </c>
      <c r="AZ191" s="3">
        <f t="shared" si="91"/>
        <v>1</v>
      </c>
      <c r="BA191" s="3">
        <f>IF(ISERROR(LEN(VLOOKUP(A191,Seqs!A:E,2,FALSE))-AL191),"-",LEN(VLOOKUP(A191,Seqs!A:E,2,FALSE))-AL191)</f>
        <v>34</v>
      </c>
      <c r="BB191" s="16">
        <f t="shared" si="92"/>
        <v>28</v>
      </c>
      <c r="BC191" s="9">
        <f t="shared" si="93"/>
        <v>20</v>
      </c>
      <c r="BD191" s="3">
        <f t="shared" si="94"/>
        <v>28</v>
      </c>
      <c r="BE191" s="3">
        <f t="shared" si="9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mtr1a_human</v>
      </c>
      <c r="C192" s="3">
        <f>VLOOKUP($A192,'SegEnds_NonXtal_BW#'!$A:$Z,3,FALSE)+D192-50</f>
        <v>24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2"/>
        <v>57</v>
      </c>
      <c r="G192" s="3">
        <v>59</v>
      </c>
      <c r="H192" s="3">
        <f t="shared" si="113"/>
        <v>60</v>
      </c>
      <c r="I192" s="3">
        <f t="shared" si="11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14"/>
        <v>93</v>
      </c>
      <c r="M192" s="3">
        <v>94</v>
      </c>
      <c r="N192" s="3">
        <f t="shared" si="115"/>
        <v>96</v>
      </c>
      <c r="O192" s="3">
        <f t="shared" si="11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0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272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314</v>
      </c>
      <c r="AM192" s="28" t="str">
        <f>VLOOKUP(A192,Classification!A:B,2,FALSE)</f>
        <v>A</v>
      </c>
      <c r="AN192" s="28" t="b">
        <f t="shared" si="98"/>
        <v>1</v>
      </c>
      <c r="AO192" s="3" t="str">
        <f>IF(ISERROR(MATCH(A192,'SegEnds_Xtal_Prot#'!B:B, 0)), "NoXtal", "Xtal")</f>
        <v>NoXtal</v>
      </c>
      <c r="AP192" s="3">
        <f t="shared" si="81"/>
        <v>1</v>
      </c>
      <c r="AQ192" s="3">
        <f t="shared" si="82"/>
        <v>1</v>
      </c>
      <c r="AR192" s="3">
        <f t="shared" si="83"/>
        <v>1</v>
      </c>
      <c r="AS192" s="3">
        <f t="shared" si="84"/>
        <v>1</v>
      </c>
      <c r="AT192" s="3">
        <f t="shared" si="85"/>
        <v>1</v>
      </c>
      <c r="AU192" s="3">
        <f t="shared" si="86"/>
        <v>1</v>
      </c>
      <c r="AV192" s="3">
        <f t="shared" si="87"/>
        <v>11</v>
      </c>
      <c r="AW192" s="3">
        <f t="shared" si="88"/>
        <v>5</v>
      </c>
      <c r="AX192" s="3">
        <f t="shared" si="89"/>
        <v>4</v>
      </c>
      <c r="AY192" s="3">
        <f t="shared" si="90"/>
        <v>9</v>
      </c>
      <c r="AZ192" s="3">
        <f t="shared" si="91"/>
        <v>1</v>
      </c>
      <c r="BA192" s="3">
        <f>IF(ISERROR(LEN(VLOOKUP(A192,Seqs!A:E,2,FALSE))-AL192),"-",LEN(VLOOKUP(A192,Seqs!A:E,2,FALSE))-AL192)</f>
        <v>303</v>
      </c>
      <c r="BB192" s="16">
        <f t="shared" si="92"/>
        <v>28</v>
      </c>
      <c r="BC192" s="9">
        <f t="shared" si="93"/>
        <v>20</v>
      </c>
      <c r="BD192" s="3">
        <f t="shared" si="94"/>
        <v>28</v>
      </c>
      <c r="BE192" s="3">
        <f t="shared" si="9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2"/>
        <v>72</v>
      </c>
      <c r="G193" s="3">
        <v>74</v>
      </c>
      <c r="H193" s="3">
        <f t="shared" si="113"/>
        <v>75</v>
      </c>
      <c r="I193" s="3">
        <f t="shared" si="11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4"/>
        <v>108</v>
      </c>
      <c r="M193" s="3">
        <v>109</v>
      </c>
      <c r="N193" s="3">
        <f t="shared" si="115"/>
        <v>111</v>
      </c>
      <c r="O193" s="3">
        <f t="shared" si="11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0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98"/>
        <v>1</v>
      </c>
      <c r="AO193" s="3" t="str">
        <f>IF(ISERROR(MATCH(A193,'SegEnds_Xtal_Prot#'!B:B, 0)), "NoXtal", "Xtal")</f>
        <v>NoXtal</v>
      </c>
      <c r="AP193" s="3">
        <f t="shared" si="81"/>
        <v>1</v>
      </c>
      <c r="AQ193" s="3">
        <f t="shared" si="82"/>
        <v>1</v>
      </c>
      <c r="AR193" s="3">
        <f t="shared" si="83"/>
        <v>2</v>
      </c>
      <c r="AS193" s="3">
        <f t="shared" si="84"/>
        <v>1</v>
      </c>
      <c r="AT193" s="3">
        <f t="shared" si="85"/>
        <v>1</v>
      </c>
      <c r="AU193" s="3">
        <f t="shared" si="86"/>
        <v>1</v>
      </c>
      <c r="AV193" s="3">
        <f t="shared" si="87"/>
        <v>16</v>
      </c>
      <c r="AW193" s="3">
        <f t="shared" si="88"/>
        <v>2</v>
      </c>
      <c r="AX193" s="3">
        <f t="shared" si="89"/>
        <v>6</v>
      </c>
      <c r="AY193" s="3">
        <f t="shared" si="90"/>
        <v>7</v>
      </c>
      <c r="AZ193" s="3">
        <f t="shared" si="91"/>
        <v>1</v>
      </c>
      <c r="BA193" s="3">
        <f>IF(ISERROR(LEN(VLOOKUP(A193,Seqs!A:E,2,FALSE))-AL193),"-",LEN(VLOOKUP(A193,Seqs!A:E,2,FALSE))-AL193)</f>
        <v>49</v>
      </c>
      <c r="BB193" s="16">
        <f t="shared" si="92"/>
        <v>28</v>
      </c>
      <c r="BC193" s="9">
        <f t="shared" si="93"/>
        <v>20</v>
      </c>
      <c r="BD193" s="3">
        <f t="shared" si="94"/>
        <v>28</v>
      </c>
      <c r="BE193" s="3">
        <f t="shared" si="9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2"/>
        <v>89</v>
      </c>
      <c r="G194" s="3">
        <v>91</v>
      </c>
      <c r="H194" s="3">
        <f t="shared" si="113"/>
        <v>92</v>
      </c>
      <c r="I194" s="3">
        <f t="shared" si="11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4"/>
        <v>124</v>
      </c>
      <c r="M194" s="3">
        <v>125</v>
      </c>
      <c r="N194" s="3">
        <f t="shared" si="115"/>
        <v>127</v>
      </c>
      <c r="O194" s="3">
        <f t="shared" si="11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0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98"/>
        <v>1</v>
      </c>
      <c r="AO194" s="3" t="str">
        <f>IF(ISERROR(MATCH(A194,'SegEnds_Xtal_Prot#'!B:B, 0)), "NoXtal", "Xtal")</f>
        <v>NoXtal</v>
      </c>
      <c r="AP194" s="3">
        <f t="shared" si="81"/>
        <v>1</v>
      </c>
      <c r="AQ194" s="3">
        <f t="shared" si="82"/>
        <v>1</v>
      </c>
      <c r="AR194" s="3">
        <f t="shared" si="83"/>
        <v>2</v>
      </c>
      <c r="AS194" s="3">
        <f t="shared" si="84"/>
        <v>1</v>
      </c>
      <c r="AT194" s="3">
        <f t="shared" si="85"/>
        <v>1</v>
      </c>
      <c r="AU194" s="3">
        <f t="shared" si="86"/>
        <v>1</v>
      </c>
      <c r="AV194" s="3">
        <f t="shared" si="87"/>
        <v>19</v>
      </c>
      <c r="AW194" s="3">
        <f t="shared" si="88"/>
        <v>4</v>
      </c>
      <c r="AX194" s="3">
        <f t="shared" si="89"/>
        <v>17</v>
      </c>
      <c r="AY194" s="3">
        <f t="shared" si="90"/>
        <v>8</v>
      </c>
      <c r="AZ194" s="3">
        <f t="shared" si="91"/>
        <v>1</v>
      </c>
      <c r="BA194" s="3">
        <f>IF(ISERROR(LEN(VLOOKUP(A194,Seqs!A:E,2,FALSE))-AL194),"-",LEN(VLOOKUP(A194,Seqs!A:E,2,FALSE))-AL194)</f>
        <v>55</v>
      </c>
      <c r="BB194" s="16">
        <f t="shared" si="92"/>
        <v>28</v>
      </c>
      <c r="BC194" s="9">
        <f t="shared" si="93"/>
        <v>20</v>
      </c>
      <c r="BD194" s="3">
        <f t="shared" si="94"/>
        <v>28</v>
      </c>
      <c r="BE194" s="3">
        <f t="shared" si="9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2"/>
        <v>74</v>
      </c>
      <c r="G195" s="3">
        <v>76</v>
      </c>
      <c r="H195" s="3">
        <f t="shared" si="113"/>
        <v>77</v>
      </c>
      <c r="I195" s="3">
        <f t="shared" si="11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4"/>
        <v>109</v>
      </c>
      <c r="M195" s="3">
        <v>110</v>
      </c>
      <c r="N195" s="3">
        <f t="shared" si="115"/>
        <v>112</v>
      </c>
      <c r="O195" s="3">
        <f t="shared" si="11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0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98"/>
        <v>1</v>
      </c>
      <c r="AO195" s="3" t="str">
        <f>IF(ISERROR(MATCH(A195,'SegEnds_Xtal_Prot#'!B:B, 0)), "NoXtal", "Xtal")</f>
        <v>NoXtal</v>
      </c>
      <c r="AP195" s="3">
        <f t="shared" si="81"/>
        <v>1</v>
      </c>
      <c r="AQ195" s="3">
        <f t="shared" si="82"/>
        <v>1</v>
      </c>
      <c r="AR195" s="3">
        <f t="shared" si="83"/>
        <v>2</v>
      </c>
      <c r="AS195" s="3">
        <f t="shared" si="84"/>
        <v>1</v>
      </c>
      <c r="AT195" s="3">
        <f t="shared" si="85"/>
        <v>1</v>
      </c>
      <c r="AU195" s="3">
        <f t="shared" si="86"/>
        <v>1</v>
      </c>
      <c r="AV195" s="3">
        <f t="shared" si="87"/>
        <v>19</v>
      </c>
      <c r="AW195" s="3">
        <f t="shared" si="88"/>
        <v>4</v>
      </c>
      <c r="AX195" s="3">
        <f t="shared" si="89"/>
        <v>4</v>
      </c>
      <c r="AY195" s="3">
        <f t="shared" si="90"/>
        <v>8</v>
      </c>
      <c r="AZ195" s="3">
        <f t="shared" si="91"/>
        <v>1</v>
      </c>
      <c r="BA195" s="3">
        <f>IF(ISERROR(LEN(VLOOKUP(A195,Seqs!A:E,2,FALSE))-AL195),"-",LEN(VLOOKUP(A195,Seqs!A:E,2,FALSE))-AL195)</f>
        <v>73</v>
      </c>
      <c r="BB195" s="16">
        <f t="shared" si="92"/>
        <v>28</v>
      </c>
      <c r="BC195" s="9">
        <f t="shared" si="93"/>
        <v>20</v>
      </c>
      <c r="BD195" s="3">
        <f t="shared" si="94"/>
        <v>28</v>
      </c>
      <c r="BE195" s="3">
        <f t="shared" si="9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2"/>
        <v>92</v>
      </c>
      <c r="G196" s="3">
        <v>94</v>
      </c>
      <c r="H196" s="3">
        <f t="shared" si="113"/>
        <v>95</v>
      </c>
      <c r="I196" s="3">
        <f t="shared" si="113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4"/>
        <v>133</v>
      </c>
      <c r="M196" s="3">
        <v>134</v>
      </c>
      <c r="N196" s="3">
        <f t="shared" si="115"/>
        <v>136</v>
      </c>
      <c r="O196" s="3">
        <f t="shared" si="11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0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7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98"/>
        <v>1</v>
      </c>
      <c r="AO196" s="3" t="str">
        <f>IF(ISERROR(MATCH(A196,'SegEnds_Xtal_Prot#'!B:B, 0)), "NoXtal", "Xtal")</f>
        <v>NoXtal</v>
      </c>
      <c r="AP196" s="3">
        <f t="shared" ref="AP196:AP259" si="118">IF(ISERROR(F196-E196),"-",F196-E196)</f>
        <v>1</v>
      </c>
      <c r="AQ196" s="3">
        <f t="shared" ref="AQ196:AQ259" si="119">IF(ISERROR(I196-H196),"-",I196-H196)</f>
        <v>1</v>
      </c>
      <c r="AR196" s="3">
        <f t="shared" ref="AR196:AR259" si="120">IF(ISERROR(L196-K196),"-",L196-K196)</f>
        <v>3</v>
      </c>
      <c r="AS196" s="3">
        <f t="shared" ref="AS196:AS259" si="121">IF(ISERROR(O196-N196),"-",O196-N196)</f>
        <v>1</v>
      </c>
      <c r="AT196" s="3">
        <f t="shared" ref="AT196:AT259" si="122">IF(ISERROR(R196-Q196),"-",R196-Q196)</f>
        <v>1</v>
      </c>
      <c r="AU196" s="3">
        <f t="shared" ref="AU196:AU259" si="123">IF(ISERROR(U196-T196),"-",U196-T196)</f>
        <v>1</v>
      </c>
      <c r="AV196" s="3">
        <f t="shared" ref="AV196:AV259" si="124">IF(ISERROR(X196-W196),"-",X196-W196)</f>
        <v>17</v>
      </c>
      <c r="AW196" s="3">
        <f t="shared" ref="AW196:AW259" si="125">IF(ISERROR(AA196-Z196),"-",AA196-Z196)</f>
        <v>4</v>
      </c>
      <c r="AX196" s="3">
        <f t="shared" ref="AX196:AX259" si="126">IF(ISERROR(AD196-AC196),"-",AD196-AC196)</f>
        <v>18</v>
      </c>
      <c r="AY196" s="3">
        <f t="shared" ref="AY196:AY259" si="127">IF(ISERROR(AG196-AF196),"-",AG196-AF196)</f>
        <v>6</v>
      </c>
      <c r="AZ196" s="3">
        <f t="shared" ref="AZ196:AZ259" si="128">IF(ISERROR(AJ196-AI196),"-",AJ196-AI196)</f>
        <v>1</v>
      </c>
      <c r="BA196" s="3">
        <f>IF(ISERROR(LEN(VLOOKUP(A196,Seqs!A:E,2,FALSE))-AL196),"-",LEN(VLOOKUP(A196,Seqs!A:E,2,FALSE))-AL196)</f>
        <v>39</v>
      </c>
      <c r="BB196" s="16">
        <f t="shared" ref="BB196:BB259" si="129">J196-D196</f>
        <v>31</v>
      </c>
      <c r="BC196" s="9">
        <f t="shared" ref="BC196:BC259" si="130">IF(ISERROR(V196-S196),"-",V196-S196)</f>
        <v>20</v>
      </c>
      <c r="BD196" s="3">
        <f t="shared" ref="BD196:BD259" si="131">J196-D196</f>
        <v>31</v>
      </c>
      <c r="BE196" s="3">
        <f t="shared" ref="BE196:BE259" si="132">AE196-AB196</f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2"/>
        <v>93</v>
      </c>
      <c r="G197" s="3">
        <v>95</v>
      </c>
      <c r="H197" s="3">
        <f t="shared" si="113"/>
        <v>96</v>
      </c>
      <c r="I197" s="3">
        <f t="shared" si="113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0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ref="AN197:AN260" si="13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>
        <f t="shared" si="118"/>
        <v>1</v>
      </c>
      <c r="AQ197" s="3">
        <f t="shared" si="119"/>
        <v>1</v>
      </c>
      <c r="AR197" s="3">
        <f t="shared" si="120"/>
        <v>3</v>
      </c>
      <c r="AS197" s="3">
        <f t="shared" si="121"/>
        <v>1</v>
      </c>
      <c r="AT197" s="3">
        <f t="shared" si="122"/>
        <v>1</v>
      </c>
      <c r="AU197" s="3">
        <f t="shared" si="123"/>
        <v>1</v>
      </c>
      <c r="AV197" s="3">
        <f t="shared" si="124"/>
        <v>17</v>
      </c>
      <c r="AW197" s="3">
        <f t="shared" si="125"/>
        <v>4</v>
      </c>
      <c r="AX197" s="3">
        <f t="shared" si="126"/>
        <v>22</v>
      </c>
      <c r="AY197" s="3">
        <f t="shared" si="127"/>
        <v>6</v>
      </c>
      <c r="AZ197" s="3">
        <f t="shared" si="128"/>
        <v>1</v>
      </c>
      <c r="BA197" s="3">
        <f>IF(ISERROR(LEN(VLOOKUP(A197,Seqs!A:E,2,FALSE))-AL197),"-",LEN(VLOOKUP(A197,Seqs!A:E,2,FALSE))-AL197)</f>
        <v>40</v>
      </c>
      <c r="BB197" s="16">
        <f t="shared" si="129"/>
        <v>31</v>
      </c>
      <c r="BC197" s="9">
        <f t="shared" si="130"/>
        <v>20</v>
      </c>
      <c r="BD197" s="3">
        <f t="shared" si="131"/>
        <v>31</v>
      </c>
      <c r="BE197" s="3">
        <f t="shared" si="13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0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si="133"/>
        <v>1</v>
      </c>
      <c r="AO198" s="3" t="str">
        <f>IF(ISERROR(MATCH(A198,'SegEnds_Xtal_Prot#'!B:B, 0)), "NoXtal", "Xtal")</f>
        <v>NoXtal</v>
      </c>
      <c r="AP198" s="3" t="str">
        <f t="shared" si="118"/>
        <v>-</v>
      </c>
      <c r="AQ198" s="3" t="str">
        <f t="shared" si="119"/>
        <v>-</v>
      </c>
      <c r="AR198" s="3">
        <f t="shared" si="120"/>
        <v>3</v>
      </c>
      <c r="AS198" s="3">
        <f t="shared" si="121"/>
        <v>1</v>
      </c>
      <c r="AT198" s="3">
        <f t="shared" si="122"/>
        <v>1</v>
      </c>
      <c r="AU198" s="3">
        <f t="shared" si="123"/>
        <v>1</v>
      </c>
      <c r="AV198" s="3">
        <f t="shared" si="124"/>
        <v>20</v>
      </c>
      <c r="AW198" s="3">
        <f t="shared" si="125"/>
        <v>4</v>
      </c>
      <c r="AX198" s="3">
        <f t="shared" si="126"/>
        <v>44</v>
      </c>
      <c r="AY198" s="3">
        <f t="shared" si="127"/>
        <v>6</v>
      </c>
      <c r="AZ198" s="3">
        <f t="shared" si="128"/>
        <v>1</v>
      </c>
      <c r="BA198" s="3">
        <f>IF(ISERROR(LEN(VLOOKUP(A198,Seqs!A:E,2,FALSE))-AL198),"-",LEN(VLOOKUP(A198,Seqs!A:E,2,FALSE))-AL198)</f>
        <v>37</v>
      </c>
      <c r="BB198" s="16">
        <f t="shared" si="129"/>
        <v>29</v>
      </c>
      <c r="BC198" s="9">
        <f t="shared" si="130"/>
        <v>20</v>
      </c>
      <c r="BD198" s="3">
        <f t="shared" si="131"/>
        <v>29</v>
      </c>
      <c r="BE198" s="3">
        <f t="shared" si="13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ptafr_human</v>
      </c>
      <c r="C199" s="3">
        <f>VLOOKUP($A199,'SegEnds_NonXtal_BW#'!$A:$Z,3,FALSE)+D199-50</f>
        <v>16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84</v>
      </c>
      <c r="L199" s="3">
        <f>M199-1</f>
        <v>86</v>
      </c>
      <c r="M199" s="3">
        <v>87</v>
      </c>
      <c r="N199" s="3">
        <f>M199+2</f>
        <v>89</v>
      </c>
      <c r="O199" s="3">
        <f t="shared" si="11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0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159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7"/>
        <v>174</v>
      </c>
      <c r="AA199" s="3">
        <f>IF(ISERROR(VLOOKUP($A199,'SegEnds_NonXtal_BW#'!$A:$Z,19,FALSE)+VLOOKUP($A199,A:AL,28,FALSE)-50),"-",(VLOOKUP($A199,'SegEnds_NonXtal_BW#'!$A:$Z,19,FALSE)+VLOOKUP($A199,A:AL,28,FALSE)-50))</f>
        <v>180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292</v>
      </c>
      <c r="AJ199" s="3">
        <f>IF(ISERROR(VLOOKUP($A199,'SegEnds_NonXtal_BW#'!$A:$Z,25,FALSE)+VLOOKUP($A199,A:AL,37,FALSE)-50),"-",(VLOOKUP($A199,'SegEnds_NonXtal_BW#'!$A:$Z,25,FALSE)+VLOOKUP($A199,A:AL,37,FALSE)-50))</f>
        <v>293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306</v>
      </c>
      <c r="AM199" s="28" t="str">
        <f>VLOOKUP(A199,Classification!A:B,2,FALSE)</f>
        <v>A</v>
      </c>
      <c r="AN199" s="28" t="b">
        <f t="shared" si="133"/>
        <v>1</v>
      </c>
      <c r="AO199" s="3" t="str">
        <f>IF(ISERROR(MATCH(A199,'SegEnds_Xtal_Prot#'!B:B, 0)), "NoXtal", "Xtal")</f>
        <v>NoXtal</v>
      </c>
      <c r="AP199" s="3">
        <f t="shared" si="118"/>
        <v>1</v>
      </c>
      <c r="AQ199" s="3">
        <f t="shared" si="119"/>
        <v>1</v>
      </c>
      <c r="AR199" s="3">
        <f t="shared" si="120"/>
        <v>2</v>
      </c>
      <c r="AS199" s="3">
        <f t="shared" si="121"/>
        <v>1</v>
      </c>
      <c r="AT199" s="3">
        <f t="shared" si="122"/>
        <v>1</v>
      </c>
      <c r="AU199" s="3">
        <f t="shared" si="123"/>
        <v>1</v>
      </c>
      <c r="AV199" s="3">
        <f t="shared" si="124"/>
        <v>13</v>
      </c>
      <c r="AW199" s="3">
        <f t="shared" si="125"/>
        <v>6</v>
      </c>
      <c r="AX199" s="3">
        <f t="shared" si="126"/>
        <v>5</v>
      </c>
      <c r="AY199" s="3">
        <f t="shared" si="127"/>
        <v>7</v>
      </c>
      <c r="AZ199" s="3">
        <f t="shared" si="128"/>
        <v>1</v>
      </c>
      <c r="BA199" s="3">
        <f>IF(ISERROR(LEN(VLOOKUP(A199,Seqs!A:E,2,FALSE))-AL199),"-",LEN(VLOOKUP(A199,Seqs!A:E,2,FALSE))-AL199)</f>
        <v>59</v>
      </c>
      <c r="BB199" s="16">
        <f t="shared" si="129"/>
        <v>28</v>
      </c>
      <c r="BC199" s="9">
        <f t="shared" si="130"/>
        <v>20</v>
      </c>
      <c r="BD199" s="3">
        <f t="shared" si="131"/>
        <v>28</v>
      </c>
      <c r="BE199" s="3">
        <f t="shared" si="132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4">G200-2</f>
        <v>99</v>
      </c>
      <c r="G200" s="3">
        <v>101</v>
      </c>
      <c r="H200" s="3">
        <f t="shared" ref="H200:I208" si="135">G200+1</f>
        <v>102</v>
      </c>
      <c r="I200" s="3">
        <f t="shared" si="13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0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3"/>
        <v>1</v>
      </c>
      <c r="AO200" s="3" t="str">
        <f>IF(ISERROR(MATCH(A200,'SegEnds_Xtal_Prot#'!B:B, 0)), "NoXtal", "Xtal")</f>
        <v>NoXtal</v>
      </c>
      <c r="AP200" s="3">
        <f t="shared" si="118"/>
        <v>1</v>
      </c>
      <c r="AQ200" s="3">
        <f t="shared" si="119"/>
        <v>1</v>
      </c>
      <c r="AR200" s="3">
        <f t="shared" si="120"/>
        <v>1</v>
      </c>
      <c r="AS200" s="3">
        <f t="shared" si="121"/>
        <v>1</v>
      </c>
      <c r="AT200" s="3">
        <f t="shared" si="122"/>
        <v>1</v>
      </c>
      <c r="AU200" s="3">
        <f t="shared" si="123"/>
        <v>1</v>
      </c>
      <c r="AV200" s="3">
        <f t="shared" si="124"/>
        <v>14</v>
      </c>
      <c r="AW200" s="3">
        <f t="shared" si="125"/>
        <v>8</v>
      </c>
      <c r="AX200" s="3">
        <f t="shared" si="126"/>
        <v>11</v>
      </c>
      <c r="AY200" s="3">
        <f t="shared" si="127"/>
        <v>6</v>
      </c>
      <c r="AZ200" s="3">
        <f t="shared" si="128"/>
        <v>1</v>
      </c>
      <c r="BA200" s="3">
        <f>IF(ISERROR(LEN(VLOOKUP(A200,Seqs!A:E,2,FALSE))-AL200),"-",LEN(VLOOKUP(A200,Seqs!A:E,2,FALSE))-AL200)</f>
        <v>112</v>
      </c>
      <c r="BB200" s="16">
        <f t="shared" si="129"/>
        <v>28</v>
      </c>
      <c r="BC200" s="9">
        <f t="shared" si="130"/>
        <v>20</v>
      </c>
      <c r="BD200" s="3">
        <f t="shared" si="131"/>
        <v>28</v>
      </c>
      <c r="BE200" s="3">
        <f t="shared" si="13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4"/>
        <v>78</v>
      </c>
      <c r="G201" s="3">
        <v>80</v>
      </c>
      <c r="H201" s="3">
        <f t="shared" si="135"/>
        <v>81</v>
      </c>
      <c r="I201" s="3">
        <f t="shared" si="13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0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3"/>
        <v>1</v>
      </c>
      <c r="AO201" s="3" t="str">
        <f>IF(ISERROR(MATCH(A201,'SegEnds_Xtal_Prot#'!B:B, 0)), "NoXtal", "Xtal")</f>
        <v>Xtal</v>
      </c>
      <c r="AP201" s="3">
        <f t="shared" si="118"/>
        <v>1</v>
      </c>
      <c r="AQ201" s="3">
        <f t="shared" si="119"/>
        <v>1</v>
      </c>
      <c r="AR201" s="3">
        <f t="shared" si="120"/>
        <v>2</v>
      </c>
      <c r="AS201" s="3">
        <f t="shared" si="121"/>
        <v>1</v>
      </c>
      <c r="AT201" s="3">
        <f t="shared" si="122"/>
        <v>1</v>
      </c>
      <c r="AU201" s="3">
        <f t="shared" si="123"/>
        <v>1</v>
      </c>
      <c r="AV201" s="3">
        <f t="shared" si="124"/>
        <v>11</v>
      </c>
      <c r="AW201" s="3">
        <f t="shared" si="125"/>
        <v>6</v>
      </c>
      <c r="AX201" s="3">
        <f t="shared" si="126"/>
        <v>6</v>
      </c>
      <c r="AY201" s="3">
        <f t="shared" si="127"/>
        <v>6</v>
      </c>
      <c r="AZ201" s="3">
        <f t="shared" si="128"/>
        <v>1</v>
      </c>
      <c r="BA201" s="3">
        <f>IF(ISERROR(LEN(VLOOKUP(A201,Seqs!A:E,2,FALSE))-AL201),"-",LEN(VLOOKUP(A201,Seqs!A:E,2,FALSE))-AL201)</f>
        <v>37</v>
      </c>
      <c r="BB201" s="16">
        <f t="shared" si="129"/>
        <v>28</v>
      </c>
      <c r="BC201" s="9">
        <f t="shared" si="130"/>
        <v>20</v>
      </c>
      <c r="BD201" s="3">
        <f t="shared" si="131"/>
        <v>28</v>
      </c>
      <c r="BE201" s="3">
        <f t="shared" si="132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oprd_mouse</v>
      </c>
      <c r="C202" s="3">
        <f>VLOOKUP($A202,'SegEnds_NonXtal_BW#'!$A:$Z,3,FALSE)+D202-50</f>
        <v>41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4"/>
        <v>78</v>
      </c>
      <c r="G202" s="3">
        <v>80</v>
      </c>
      <c r="H202" s="3">
        <f t="shared" si="135"/>
        <v>81</v>
      </c>
      <c r="I202" s="3">
        <f t="shared" si="13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3"/>
        <v>1</v>
      </c>
      <c r="AO202" s="3" t="str">
        <f>IF(ISERROR(MATCH(A202,'SegEnds_Xtal_Prot#'!B:B, 0)), "NoXtal", "Xtal")</f>
        <v>Xtal</v>
      </c>
      <c r="AP202" s="3">
        <f t="shared" si="118"/>
        <v>1</v>
      </c>
      <c r="AQ202" s="3">
        <f t="shared" si="119"/>
        <v>1</v>
      </c>
      <c r="AR202" s="3">
        <f t="shared" si="120"/>
        <v>2</v>
      </c>
      <c r="AS202" s="3">
        <f t="shared" si="121"/>
        <v>1</v>
      </c>
      <c r="AT202" s="3">
        <f t="shared" si="122"/>
        <v>1</v>
      </c>
      <c r="AU202" s="3">
        <f t="shared" si="123"/>
        <v>1</v>
      </c>
      <c r="AV202" s="3">
        <f t="shared" si="124"/>
        <v>11</v>
      </c>
      <c r="AW202" s="3">
        <f t="shared" si="125"/>
        <v>6</v>
      </c>
      <c r="AX202" s="3">
        <f t="shared" si="126"/>
        <v>6</v>
      </c>
      <c r="AY202" s="3">
        <f t="shared" si="127"/>
        <v>6</v>
      </c>
      <c r="AZ202" s="3">
        <f t="shared" si="128"/>
        <v>1</v>
      </c>
      <c r="BA202" s="3">
        <f>IF(ISERROR(LEN(VLOOKUP(A202,Seqs!A:E,2,FALSE))-AL202),"-",LEN(VLOOKUP(A202,Seqs!A:E,2,FALSE))-AL202)</f>
        <v>37</v>
      </c>
      <c r="BB202" s="16">
        <f t="shared" si="129"/>
        <v>28</v>
      </c>
      <c r="BC202" s="9">
        <f t="shared" si="130"/>
        <v>20</v>
      </c>
      <c r="BD202" s="3">
        <f t="shared" si="131"/>
        <v>28</v>
      </c>
      <c r="BE202" s="3">
        <f t="shared" si="13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4"/>
        <v>88</v>
      </c>
      <c r="G203" s="3">
        <v>90</v>
      </c>
      <c r="H203" s="3">
        <f t="shared" si="135"/>
        <v>91</v>
      </c>
      <c r="I203" s="3">
        <f t="shared" si="13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0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3"/>
        <v>1</v>
      </c>
      <c r="AO203" s="3" t="str">
        <f>IF(ISERROR(MATCH(A203,'SegEnds_Xtal_Prot#'!B:B, 0)), "NoXtal", "Xtal")</f>
        <v>Xtal</v>
      </c>
      <c r="AP203" s="3">
        <f t="shared" si="118"/>
        <v>1</v>
      </c>
      <c r="AQ203" s="3">
        <f t="shared" si="119"/>
        <v>1</v>
      </c>
      <c r="AR203" s="3">
        <f t="shared" si="120"/>
        <v>2</v>
      </c>
      <c r="AS203" s="3">
        <f t="shared" si="121"/>
        <v>1</v>
      </c>
      <c r="AT203" s="3">
        <f t="shared" si="122"/>
        <v>1</v>
      </c>
      <c r="AU203" s="3">
        <f t="shared" si="123"/>
        <v>1</v>
      </c>
      <c r="AV203" s="3">
        <f t="shared" si="124"/>
        <v>13</v>
      </c>
      <c r="AW203" s="3">
        <f t="shared" si="125"/>
        <v>6</v>
      </c>
      <c r="AX203" s="3">
        <f t="shared" si="126"/>
        <v>6</v>
      </c>
      <c r="AY203" s="3">
        <f t="shared" si="127"/>
        <v>5</v>
      </c>
      <c r="AZ203" s="3">
        <f t="shared" si="128"/>
        <v>1</v>
      </c>
      <c r="BA203" s="3">
        <f>IF(ISERROR(LEN(VLOOKUP(A203,Seqs!A:E,2,FALSE))-AL203),"-",LEN(VLOOKUP(A203,Seqs!A:E,2,FALSE))-AL203)</f>
        <v>34</v>
      </c>
      <c r="BB203" s="16">
        <f t="shared" si="129"/>
        <v>28</v>
      </c>
      <c r="BC203" s="9">
        <f t="shared" si="130"/>
        <v>20</v>
      </c>
      <c r="BD203" s="3">
        <f t="shared" si="131"/>
        <v>28</v>
      </c>
      <c r="BE203" s="3">
        <f t="shared" si="13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4"/>
        <v>99</v>
      </c>
      <c r="G204" s="3">
        <v>101</v>
      </c>
      <c r="H204" s="3">
        <f t="shared" si="135"/>
        <v>102</v>
      </c>
      <c r="I204" s="3">
        <f t="shared" si="13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0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3"/>
        <v>1</v>
      </c>
      <c r="AO204" s="3" t="str">
        <f>IF(ISERROR(MATCH(A204,'SegEnds_Xtal_Prot#'!B:B, 0)), "NoXtal", "Xtal")</f>
        <v>NoXtal</v>
      </c>
      <c r="AP204" s="3">
        <f t="shared" si="118"/>
        <v>1</v>
      </c>
      <c r="AQ204" s="3">
        <f t="shared" si="119"/>
        <v>1</v>
      </c>
      <c r="AR204" s="3">
        <f t="shared" si="120"/>
        <v>2</v>
      </c>
      <c r="AS204" s="3">
        <f t="shared" si="121"/>
        <v>1</v>
      </c>
      <c r="AT204" s="3">
        <f t="shared" si="122"/>
        <v>1</v>
      </c>
      <c r="AU204" s="3">
        <f t="shared" si="123"/>
        <v>1</v>
      </c>
      <c r="AV204" s="3">
        <f t="shared" si="124"/>
        <v>11</v>
      </c>
      <c r="AW204" s="3">
        <f t="shared" si="125"/>
        <v>6</v>
      </c>
      <c r="AX204" s="3">
        <f t="shared" si="126"/>
        <v>6</v>
      </c>
      <c r="AY204" s="3">
        <f t="shared" si="127"/>
        <v>5</v>
      </c>
      <c r="AZ204" s="3">
        <f t="shared" si="128"/>
        <v>1</v>
      </c>
      <c r="BA204" s="3">
        <f>IF(ISERROR(LEN(VLOOKUP(A204,Seqs!A:E,2,FALSE))-AL204),"-",LEN(VLOOKUP(A204,Seqs!A:E,2,FALSE))-AL204)</f>
        <v>46</v>
      </c>
      <c r="BB204" s="16">
        <f t="shared" si="129"/>
        <v>28</v>
      </c>
      <c r="BC204" s="9">
        <f t="shared" si="130"/>
        <v>20</v>
      </c>
      <c r="BD204" s="3">
        <f t="shared" si="131"/>
        <v>28</v>
      </c>
      <c r="BE204" s="3">
        <f t="shared" si="132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4"/>
        <v>97</v>
      </c>
      <c r="G205" s="3">
        <v>99</v>
      </c>
      <c r="H205" s="3">
        <f t="shared" si="135"/>
        <v>100</v>
      </c>
      <c r="I205" s="3">
        <f t="shared" si="13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0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3"/>
        <v>1</v>
      </c>
      <c r="AO205" s="3" t="str">
        <f>IF(ISERROR(MATCH(A205,'SegEnds_Xtal_Prot#'!B:B, 0)), "NoXtal", "Xtal")</f>
        <v>Xtal</v>
      </c>
      <c r="AP205" s="3">
        <f t="shared" si="118"/>
        <v>1</v>
      </c>
      <c r="AQ205" s="3">
        <f t="shared" si="119"/>
        <v>1</v>
      </c>
      <c r="AR205" s="3">
        <f t="shared" si="120"/>
        <v>2</v>
      </c>
      <c r="AS205" s="3">
        <f t="shared" si="121"/>
        <v>1</v>
      </c>
      <c r="AT205" s="3">
        <f t="shared" si="122"/>
        <v>1</v>
      </c>
      <c r="AU205" s="3">
        <f t="shared" si="123"/>
        <v>1</v>
      </c>
      <c r="AV205" s="3">
        <f t="shared" si="124"/>
        <v>11</v>
      </c>
      <c r="AW205" s="3">
        <f t="shared" si="125"/>
        <v>6</v>
      </c>
      <c r="AX205" s="3">
        <f t="shared" si="126"/>
        <v>6</v>
      </c>
      <c r="AY205" s="3">
        <f t="shared" si="127"/>
        <v>5</v>
      </c>
      <c r="AZ205" s="3">
        <f t="shared" si="128"/>
        <v>1</v>
      </c>
      <c r="BA205" s="3">
        <f>IF(ISERROR(LEN(VLOOKUP(A205,Seqs!A:E,2,FALSE))-AL205),"-",LEN(VLOOKUP(A205,Seqs!A:E,2,FALSE))-AL205)</f>
        <v>46</v>
      </c>
      <c r="BB205" s="16">
        <f t="shared" si="129"/>
        <v>28</v>
      </c>
      <c r="BC205" s="9">
        <f t="shared" si="130"/>
        <v>20</v>
      </c>
      <c r="BD205" s="3">
        <f t="shared" si="131"/>
        <v>28</v>
      </c>
      <c r="BE205" s="3">
        <f t="shared" si="132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4"/>
        <v>80</v>
      </c>
      <c r="G206" s="3">
        <v>82</v>
      </c>
      <c r="H206" s="3">
        <f t="shared" si="135"/>
        <v>83</v>
      </c>
      <c r="I206" s="3">
        <f t="shared" si="13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0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3"/>
        <v>1</v>
      </c>
      <c r="AO206" s="3" t="str">
        <f>IF(ISERROR(MATCH(A206,'SegEnds_Xtal_Prot#'!B:B, 0)), "NoXtal", "Xtal")</f>
        <v>Xtal</v>
      </c>
      <c r="AP206" s="3">
        <f t="shared" si="118"/>
        <v>1</v>
      </c>
      <c r="AQ206" s="3">
        <f t="shared" si="119"/>
        <v>1</v>
      </c>
      <c r="AR206" s="3">
        <f t="shared" si="120"/>
        <v>2</v>
      </c>
      <c r="AS206" s="3">
        <f t="shared" si="121"/>
        <v>1</v>
      </c>
      <c r="AT206" s="3">
        <f t="shared" si="122"/>
        <v>1</v>
      </c>
      <c r="AU206" s="3">
        <f t="shared" si="123"/>
        <v>1</v>
      </c>
      <c r="AV206" s="3">
        <f t="shared" si="124"/>
        <v>11</v>
      </c>
      <c r="AW206" s="3">
        <f t="shared" si="125"/>
        <v>6</v>
      </c>
      <c r="AX206" s="3">
        <f t="shared" si="126"/>
        <v>6</v>
      </c>
      <c r="AY206" s="3">
        <f t="shared" si="127"/>
        <v>5</v>
      </c>
      <c r="AZ206" s="3">
        <f t="shared" si="128"/>
        <v>1</v>
      </c>
      <c r="BA206" s="3">
        <f>IF(ISERROR(LEN(VLOOKUP(A206,Seqs!A:E,2,FALSE))-AL206),"-",LEN(VLOOKUP(A206,Seqs!A:E,2,FALSE))-AL206)</f>
        <v>35</v>
      </c>
      <c r="BB206" s="16">
        <f t="shared" si="129"/>
        <v>28</v>
      </c>
      <c r="BC206" s="9">
        <f t="shared" si="130"/>
        <v>20</v>
      </c>
      <c r="BD206" s="3">
        <f t="shared" si="131"/>
        <v>28</v>
      </c>
      <c r="BE206" s="3">
        <f t="shared" si="132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4"/>
        <v>63</v>
      </c>
      <c r="G207" s="3">
        <v>65</v>
      </c>
      <c r="H207" s="3">
        <f t="shared" si="135"/>
        <v>66</v>
      </c>
      <c r="I207" s="3">
        <f t="shared" si="13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0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3"/>
        <v>1</v>
      </c>
      <c r="AO207" s="3" t="str">
        <f>IF(ISERROR(MATCH(A207,'SegEnds_Xtal_Prot#'!B:B, 0)), "NoXtal", "Xtal")</f>
        <v>Xtal</v>
      </c>
      <c r="AP207" s="3">
        <f t="shared" si="118"/>
        <v>1</v>
      </c>
      <c r="AQ207" s="3">
        <f t="shared" si="119"/>
        <v>1</v>
      </c>
      <c r="AR207" s="3">
        <f t="shared" si="120"/>
        <v>1</v>
      </c>
      <c r="AS207" s="3">
        <f t="shared" si="121"/>
        <v>1</v>
      </c>
      <c r="AT207" s="3">
        <f t="shared" si="122"/>
        <v>1</v>
      </c>
      <c r="AU207" s="3">
        <f t="shared" si="123"/>
        <v>1</v>
      </c>
      <c r="AV207" s="3">
        <f t="shared" si="124"/>
        <v>14</v>
      </c>
      <c r="AW207" s="3">
        <f t="shared" si="125"/>
        <v>6</v>
      </c>
      <c r="AX207" s="3">
        <f t="shared" si="126"/>
        <v>5</v>
      </c>
      <c r="AY207" s="3">
        <f t="shared" si="127"/>
        <v>6</v>
      </c>
      <c r="AZ207" s="3">
        <f t="shared" si="128"/>
        <v>1</v>
      </c>
      <c r="BA207" s="3">
        <f>IF(ISERROR(LEN(VLOOKUP(A207,Seqs!A:E,2,FALSE))-AL207),"-",LEN(VLOOKUP(A207,Seqs!A:E,2,FALSE))-AL207)</f>
        <v>118</v>
      </c>
      <c r="BB207" s="16">
        <f t="shared" si="129"/>
        <v>28</v>
      </c>
      <c r="BC207" s="9">
        <f t="shared" si="130"/>
        <v>20</v>
      </c>
      <c r="BD207" s="3">
        <f t="shared" si="131"/>
        <v>28</v>
      </c>
      <c r="BE207" s="3">
        <f t="shared" si="13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pd2r2_human</v>
      </c>
      <c r="C208" s="3">
        <f>VLOOKUP($A208,'SegEnds_NonXtal_BW#'!$A:$Z,3,FALSE)+D208-50</f>
        <v>92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4"/>
        <v>121</v>
      </c>
      <c r="G208" s="3">
        <v>123</v>
      </c>
      <c r="H208" s="3">
        <f t="shared" si="135"/>
        <v>124</v>
      </c>
      <c r="I208" s="3">
        <f t="shared" si="13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36">M208-1</f>
        <v>157</v>
      </c>
      <c r="M208" s="3">
        <v>158</v>
      </c>
      <c r="N208" s="3">
        <f t="shared" ref="N208:N214" si="137">M208+2</f>
        <v>160</v>
      </c>
      <c r="O208" s="3">
        <f t="shared" si="11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0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7"/>
        <v>239</v>
      </c>
      <c r="AA208" s="3">
        <f>IF(ISERROR(VLOOKUP($A208,'SegEnds_NonXtal_BW#'!$A:$Z,19,FALSE)+VLOOKUP($A208,A:AL,28,FALSE)-50),"-",(VLOOKUP($A208,'SegEnds_NonXtal_BW#'!$A:$Z,19,FALSE)+VLOOKUP($A208,A:AL,28,FALSE)-50))</f>
        <v>240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376</v>
      </c>
      <c r="AM208" s="28" t="str">
        <f>VLOOKUP(A208,Classification!A:B,2,FALSE)</f>
        <v>A</v>
      </c>
      <c r="AN208" s="28" t="b">
        <f t="shared" si="133"/>
        <v>1</v>
      </c>
      <c r="AO208" s="3" t="str">
        <f>IF(ISERROR(MATCH(A208,'SegEnds_Xtal_Prot#'!B:B, 0)), "NoXtal", "Xtal")</f>
        <v>NoXtal</v>
      </c>
      <c r="AP208" s="3">
        <f t="shared" si="118"/>
        <v>1</v>
      </c>
      <c r="AQ208" s="3">
        <f t="shared" si="119"/>
        <v>1</v>
      </c>
      <c r="AR208" s="3">
        <f t="shared" si="120"/>
        <v>2</v>
      </c>
      <c r="AS208" s="3">
        <f t="shared" si="121"/>
        <v>1</v>
      </c>
      <c r="AT208" s="3">
        <f t="shared" si="122"/>
        <v>1</v>
      </c>
      <c r="AU208" s="3">
        <f t="shared" si="123"/>
        <v>1</v>
      </c>
      <c r="AV208" s="3">
        <f t="shared" si="124"/>
        <v>6</v>
      </c>
      <c r="AW208" s="3">
        <f t="shared" si="125"/>
        <v>1</v>
      </c>
      <c r="AX208" s="3">
        <f t="shared" si="126"/>
        <v>5</v>
      </c>
      <c r="AY208" s="3">
        <f t="shared" si="127"/>
        <v>9</v>
      </c>
      <c r="AZ208" s="3">
        <f t="shared" si="128"/>
        <v>1</v>
      </c>
      <c r="BA208" s="3">
        <f>IF(ISERROR(LEN(VLOOKUP(A208,Seqs!A:E,2,FALSE))-AL208),"-",LEN(VLOOKUP(A208,Seqs!A:E,2,FALSE))-AL208)</f>
        <v>47</v>
      </c>
      <c r="BB208" s="16">
        <f t="shared" si="129"/>
        <v>28</v>
      </c>
      <c r="BC208" s="9">
        <f t="shared" si="130"/>
        <v>20</v>
      </c>
      <c r="BD208" s="3">
        <f t="shared" si="131"/>
        <v>28</v>
      </c>
      <c r="BE208" s="3">
        <f t="shared" si="13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6"/>
        <v>98</v>
      </c>
      <c r="M209" s="3">
        <v>99</v>
      </c>
      <c r="N209" s="3">
        <f t="shared" si="137"/>
        <v>101</v>
      </c>
      <c r="O209" s="3">
        <f t="shared" si="11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0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3"/>
        <v>1</v>
      </c>
      <c r="AO209" s="3" t="str">
        <f>IF(ISERROR(MATCH(A209,'SegEnds_Xtal_Prot#'!B:B, 0)), "NoXtal", "Xtal")</f>
        <v>NoXtal</v>
      </c>
      <c r="AP209" s="3" t="str">
        <f t="shared" si="118"/>
        <v>-</v>
      </c>
      <c r="AQ209" s="3" t="str">
        <f t="shared" si="119"/>
        <v>-</v>
      </c>
      <c r="AR209" s="3">
        <f t="shared" si="120"/>
        <v>3</v>
      </c>
      <c r="AS209" s="3">
        <f t="shared" si="121"/>
        <v>1</v>
      </c>
      <c r="AT209" s="3">
        <f t="shared" si="122"/>
        <v>1</v>
      </c>
      <c r="AU209" s="3">
        <f t="shared" si="123"/>
        <v>1</v>
      </c>
      <c r="AV209" s="3">
        <f t="shared" si="124"/>
        <v>11</v>
      </c>
      <c r="AW209" s="3">
        <f t="shared" si="125"/>
        <v>7</v>
      </c>
      <c r="AX209" s="3">
        <f t="shared" si="126"/>
        <v>5</v>
      </c>
      <c r="AY209" s="3">
        <f t="shared" si="127"/>
        <v>6</v>
      </c>
      <c r="AZ209" s="3">
        <f t="shared" si="128"/>
        <v>1</v>
      </c>
      <c r="BA209" s="3">
        <f>IF(ISERROR(LEN(VLOOKUP(A209,Seqs!A:E,2,FALSE))-AL209),"-",LEN(VLOOKUP(A209,Seqs!A:E,2,FALSE))-AL209)</f>
        <v>19</v>
      </c>
      <c r="BB209" s="16">
        <f t="shared" si="129"/>
        <v>28</v>
      </c>
      <c r="BC209" s="9">
        <f t="shared" si="130"/>
        <v>20</v>
      </c>
      <c r="BD209" s="3">
        <f t="shared" si="131"/>
        <v>28</v>
      </c>
      <c r="BE209" s="3">
        <f t="shared" si="13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6"/>
        <v>116</v>
      </c>
      <c r="M210" s="3">
        <v>117</v>
      </c>
      <c r="N210" s="3">
        <f t="shared" si="137"/>
        <v>119</v>
      </c>
      <c r="O210" s="3">
        <f t="shared" si="11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0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3"/>
        <v>1</v>
      </c>
      <c r="AO210" s="3" t="str">
        <f>IF(ISERROR(MATCH(A210,'SegEnds_Xtal_Prot#'!B:B, 0)), "NoXtal", "Xtal")</f>
        <v>Xtal</v>
      </c>
      <c r="AP210" s="3" t="str">
        <f t="shared" si="118"/>
        <v>-</v>
      </c>
      <c r="AQ210" s="3" t="str">
        <f t="shared" si="119"/>
        <v>-</v>
      </c>
      <c r="AR210" s="3">
        <f t="shared" si="120"/>
        <v>3</v>
      </c>
      <c r="AS210" s="3">
        <f t="shared" si="121"/>
        <v>1</v>
      </c>
      <c r="AT210" s="3">
        <f t="shared" si="122"/>
        <v>1</v>
      </c>
      <c r="AU210" s="3">
        <f t="shared" si="123"/>
        <v>1</v>
      </c>
      <c r="AV210" s="3">
        <f t="shared" si="124"/>
        <v>12</v>
      </c>
      <c r="AW210" s="3">
        <f t="shared" si="125"/>
        <v>7</v>
      </c>
      <c r="AX210" s="3">
        <f t="shared" si="126"/>
        <v>6</v>
      </c>
      <c r="AY210" s="3">
        <f t="shared" si="127"/>
        <v>6</v>
      </c>
      <c r="AZ210" s="3">
        <f t="shared" si="128"/>
        <v>1</v>
      </c>
      <c r="BA210" s="3">
        <f>IF(ISERROR(LEN(VLOOKUP(A210,Seqs!A:E,2,FALSE))-AL210),"-",LEN(VLOOKUP(A210,Seqs!A:E,2,FALSE))-AL210)</f>
        <v>33</v>
      </c>
      <c r="BB210" s="16">
        <f t="shared" si="129"/>
        <v>28</v>
      </c>
      <c r="BC210" s="9">
        <f t="shared" si="130"/>
        <v>20</v>
      </c>
      <c r="BD210" s="3">
        <f t="shared" si="131"/>
        <v>28</v>
      </c>
      <c r="BE210" s="3">
        <f t="shared" si="13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6"/>
        <v>98</v>
      </c>
      <c r="M211" s="3">
        <v>99</v>
      </c>
      <c r="N211" s="3">
        <f t="shared" si="137"/>
        <v>101</v>
      </c>
      <c r="O211" s="3">
        <f t="shared" si="11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0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3"/>
        <v>1</v>
      </c>
      <c r="AO211" s="3" t="str">
        <f>IF(ISERROR(MATCH(A211,'SegEnds_Xtal_Prot#'!B:B, 0)), "NoXtal", "Xtal")</f>
        <v>NoXtal</v>
      </c>
      <c r="AP211" s="3" t="str">
        <f t="shared" si="118"/>
        <v>-</v>
      </c>
      <c r="AQ211" s="3" t="str">
        <f t="shared" si="119"/>
        <v>-</v>
      </c>
      <c r="AR211" s="3">
        <f t="shared" si="120"/>
        <v>3</v>
      </c>
      <c r="AS211" s="3">
        <f t="shared" si="121"/>
        <v>1</v>
      </c>
      <c r="AT211" s="3">
        <f t="shared" si="122"/>
        <v>1</v>
      </c>
      <c r="AU211" s="3">
        <f t="shared" si="123"/>
        <v>1</v>
      </c>
      <c r="AV211" s="3">
        <f t="shared" si="124"/>
        <v>11</v>
      </c>
      <c r="AW211" s="3">
        <f t="shared" si="125"/>
        <v>7</v>
      </c>
      <c r="AX211" s="3">
        <f t="shared" si="126"/>
        <v>7</v>
      </c>
      <c r="AY211" s="3">
        <f t="shared" si="127"/>
        <v>6</v>
      </c>
      <c r="AZ211" s="3">
        <f t="shared" si="128"/>
        <v>1</v>
      </c>
      <c r="BA211" s="3">
        <f>IF(ISERROR(LEN(VLOOKUP(A211,Seqs!A:E,2,FALSE))-AL211),"-",LEN(VLOOKUP(A211,Seqs!A:E,2,FALSE))-AL211)</f>
        <v>55</v>
      </c>
      <c r="BB211" s="16">
        <f t="shared" si="129"/>
        <v>28</v>
      </c>
      <c r="BC211" s="9">
        <f t="shared" si="130"/>
        <v>20</v>
      </c>
      <c r="BD211" s="3">
        <f t="shared" si="131"/>
        <v>28</v>
      </c>
      <c r="BE211" s="3">
        <f t="shared" si="13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6"/>
        <v>100</v>
      </c>
      <c r="M212" s="3">
        <v>101</v>
      </c>
      <c r="N212" s="3">
        <f t="shared" si="137"/>
        <v>103</v>
      </c>
      <c r="O212" s="3">
        <f t="shared" si="11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0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3"/>
        <v>1</v>
      </c>
      <c r="AO212" s="3" t="str">
        <f>IF(ISERROR(MATCH(A212,'SegEnds_Xtal_Prot#'!B:B, 0)), "NoXtal", "Xtal")</f>
        <v>NoXtal</v>
      </c>
      <c r="AP212" s="3" t="str">
        <f t="shared" si="118"/>
        <v>-</v>
      </c>
      <c r="AQ212" s="3" t="str">
        <f t="shared" si="119"/>
        <v>-</v>
      </c>
      <c r="AR212" s="3">
        <f t="shared" si="120"/>
        <v>3</v>
      </c>
      <c r="AS212" s="3">
        <f t="shared" si="121"/>
        <v>1</v>
      </c>
      <c r="AT212" s="3">
        <f t="shared" si="122"/>
        <v>1</v>
      </c>
      <c r="AU212" s="3">
        <f t="shared" si="123"/>
        <v>1</v>
      </c>
      <c r="AV212" s="3">
        <f t="shared" si="124"/>
        <v>11</v>
      </c>
      <c r="AW212" s="3">
        <f t="shared" si="125"/>
        <v>7</v>
      </c>
      <c r="AX212" s="3">
        <f t="shared" si="126"/>
        <v>4</v>
      </c>
      <c r="AY212" s="3">
        <f t="shared" si="127"/>
        <v>6</v>
      </c>
      <c r="AZ212" s="3">
        <f t="shared" si="128"/>
        <v>1</v>
      </c>
      <c r="BA212" s="3">
        <f>IF(ISERROR(LEN(VLOOKUP(A212,Seqs!A:E,2,FALSE))-AL212),"-",LEN(VLOOKUP(A212,Seqs!A:E,2,FALSE))-AL212)</f>
        <v>43</v>
      </c>
      <c r="BB212" s="16">
        <f t="shared" si="129"/>
        <v>28</v>
      </c>
      <c r="BC212" s="9">
        <f t="shared" si="130"/>
        <v>20</v>
      </c>
      <c r="BD212" s="3">
        <f t="shared" si="131"/>
        <v>28</v>
      </c>
      <c r="BE212" s="3">
        <f t="shared" si="13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par2_human</v>
      </c>
      <c r="C213" s="3">
        <f>VLOOKUP($A213,'SegEnds_NonXtal_BW#'!$A:$Z,3,FALSE)+D213-50</f>
        <v>19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6"/>
        <v>88</v>
      </c>
      <c r="M213" s="3">
        <v>89</v>
      </c>
      <c r="N213" s="3">
        <f t="shared" si="137"/>
        <v>91</v>
      </c>
      <c r="O213" s="3">
        <f t="shared" si="11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0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160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7"/>
        <v>177</v>
      </c>
      <c r="AA213" s="3">
        <f>IF(ISERROR(VLOOKUP($A213,'SegEnds_NonXtal_BW#'!$A:$Z,19,FALSE)+VLOOKUP($A213,A:AL,28,FALSE)-50),"-",(VLOOKUP($A213,'SegEnds_NonXtal_BW#'!$A:$Z,19,FALSE)+VLOOKUP($A213,A:AL,28,FALSE)-50))</f>
        <v>186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271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3"/>
        <v>1</v>
      </c>
      <c r="AO213" s="3" t="str">
        <f>IF(ISERROR(MATCH(A213,'SegEnds_Xtal_Prot#'!B:B, 0)), "NoXtal", "Xtal")</f>
        <v>NoXtal</v>
      </c>
      <c r="AP213" s="3" t="str">
        <f t="shared" si="118"/>
        <v>-</v>
      </c>
      <c r="AQ213" s="3" t="str">
        <f t="shared" si="119"/>
        <v>-</v>
      </c>
      <c r="AR213" s="3">
        <f t="shared" si="120"/>
        <v>3</v>
      </c>
      <c r="AS213" s="3">
        <f t="shared" si="121"/>
        <v>1</v>
      </c>
      <c r="AT213" s="3">
        <f t="shared" si="122"/>
        <v>1</v>
      </c>
      <c r="AU213" s="3">
        <f t="shared" si="123"/>
        <v>1</v>
      </c>
      <c r="AV213" s="3">
        <f t="shared" si="124"/>
        <v>15</v>
      </c>
      <c r="AW213" s="3">
        <f t="shared" si="125"/>
        <v>9</v>
      </c>
      <c r="AX213" s="3">
        <f t="shared" si="126"/>
        <v>6</v>
      </c>
      <c r="AY213" s="3">
        <f t="shared" si="127"/>
        <v>8</v>
      </c>
      <c r="AZ213" s="3">
        <f t="shared" si="128"/>
        <v>1</v>
      </c>
      <c r="BA213" s="3">
        <f>IF(ISERROR(LEN(VLOOKUP(A213,Seqs!A:E,2,FALSE))-AL213),"-",LEN(VLOOKUP(A213,Seqs!A:E,2,FALSE))-AL213)</f>
        <v>48</v>
      </c>
      <c r="BB213" s="16">
        <f t="shared" si="129"/>
        <v>28</v>
      </c>
      <c r="BC213" s="9">
        <f t="shared" si="130"/>
        <v>20</v>
      </c>
      <c r="BD213" s="3">
        <f t="shared" si="131"/>
        <v>28</v>
      </c>
      <c r="BE213" s="3">
        <f t="shared" si="13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6"/>
        <v>94</v>
      </c>
      <c r="M214" s="3">
        <v>95</v>
      </c>
      <c r="N214" s="3">
        <f t="shared" si="137"/>
        <v>97</v>
      </c>
      <c r="O214" s="3">
        <f t="shared" si="11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0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3"/>
        <v>1</v>
      </c>
      <c r="AO214" s="3" t="str">
        <f>IF(ISERROR(MATCH(A214,'SegEnds_Xtal_Prot#'!B:B, 0)), "NoXtal", "Xtal")</f>
        <v>NoXtal</v>
      </c>
      <c r="AP214" s="3" t="str">
        <f t="shared" si="118"/>
        <v>-</v>
      </c>
      <c r="AQ214" s="3" t="str">
        <f t="shared" si="119"/>
        <v>-</v>
      </c>
      <c r="AR214" s="3">
        <f t="shared" si="120"/>
        <v>3</v>
      </c>
      <c r="AS214" s="3">
        <f t="shared" si="121"/>
        <v>1</v>
      </c>
      <c r="AT214" s="3">
        <f t="shared" si="122"/>
        <v>1</v>
      </c>
      <c r="AU214" s="3">
        <f t="shared" si="123"/>
        <v>1</v>
      </c>
      <c r="AV214" s="3">
        <f t="shared" si="124"/>
        <v>23</v>
      </c>
      <c r="AW214" s="3">
        <f t="shared" si="125"/>
        <v>6</v>
      </c>
      <c r="AX214" s="3">
        <f t="shared" si="126"/>
        <v>5</v>
      </c>
      <c r="AY214" s="3">
        <f t="shared" si="127"/>
        <v>15</v>
      </c>
      <c r="AZ214" s="3">
        <f t="shared" si="128"/>
        <v>1</v>
      </c>
      <c r="BA214" s="3">
        <f>IF(ISERROR(LEN(VLOOKUP(A214,Seqs!A:E,2,FALSE))-AL214),"-",LEN(VLOOKUP(A214,Seqs!A:E,2,FALSE))-AL214)</f>
        <v>37</v>
      </c>
      <c r="BB214" s="16">
        <f t="shared" si="129"/>
        <v>29</v>
      </c>
      <c r="BC214" s="9">
        <f t="shared" si="130"/>
        <v>20</v>
      </c>
      <c r="BD214" s="3">
        <f t="shared" si="131"/>
        <v>29</v>
      </c>
      <c r="BE214" s="3">
        <f t="shared" si="13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0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3"/>
        <v>1</v>
      </c>
      <c r="AO215" s="3" t="str">
        <f>IF(ISERROR(MATCH(A215,'SegEnds_Xtal_Prot#'!B:B, 0)), "NoXtal", "Xtal")</f>
        <v>Xtal</v>
      </c>
      <c r="AP215" s="3" t="str">
        <f t="shared" si="118"/>
        <v>-</v>
      </c>
      <c r="AQ215" s="3" t="str">
        <f t="shared" si="119"/>
        <v>-</v>
      </c>
      <c r="AR215" s="3" t="str">
        <f t="shared" si="120"/>
        <v>-</v>
      </c>
      <c r="AS215" s="3" t="str">
        <f t="shared" si="121"/>
        <v>-</v>
      </c>
      <c r="AT215" s="3">
        <f t="shared" si="122"/>
        <v>1</v>
      </c>
      <c r="AU215" s="3">
        <f t="shared" si="123"/>
        <v>1</v>
      </c>
      <c r="AV215" s="3">
        <f t="shared" si="124"/>
        <v>12</v>
      </c>
      <c r="AW215" s="3">
        <f t="shared" si="125"/>
        <v>4</v>
      </c>
      <c r="AX215" s="3">
        <f t="shared" si="126"/>
        <v>7</v>
      </c>
      <c r="AY215" s="3">
        <f t="shared" si="127"/>
        <v>4</v>
      </c>
      <c r="AZ215" s="3">
        <f t="shared" si="128"/>
        <v>1</v>
      </c>
      <c r="BA215" s="3">
        <f>IF(ISERROR(LEN(VLOOKUP(A215,Seqs!A:E,2,FALSE))-AL215),"-",LEN(VLOOKUP(A215,Seqs!A:E,2,FALSE))-AL215)</f>
        <v>30</v>
      </c>
      <c r="BB215" s="16">
        <f t="shared" si="129"/>
        <v>27</v>
      </c>
      <c r="BC215" s="9">
        <f t="shared" si="130"/>
        <v>20</v>
      </c>
      <c r="BD215" s="3">
        <f t="shared" si="131"/>
        <v>27</v>
      </c>
      <c r="BE215" s="3">
        <f t="shared" si="13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0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3"/>
        <v>1</v>
      </c>
      <c r="AO216" s="3" t="str">
        <f>IF(ISERROR(MATCH(A216,'SegEnds_Xtal_Prot#'!B:B, 0)), "NoXtal", "Xtal")</f>
        <v>NoXtal</v>
      </c>
      <c r="AP216" s="3" t="str">
        <f t="shared" si="118"/>
        <v>-</v>
      </c>
      <c r="AQ216" s="3" t="str">
        <f t="shared" si="119"/>
        <v>-</v>
      </c>
      <c r="AR216" s="3" t="str">
        <f t="shared" si="120"/>
        <v>-</v>
      </c>
      <c r="AS216" s="3" t="str">
        <f t="shared" si="121"/>
        <v>-</v>
      </c>
      <c r="AT216" s="3">
        <f t="shared" si="122"/>
        <v>1</v>
      </c>
      <c r="AU216" s="3">
        <f t="shared" si="123"/>
        <v>1</v>
      </c>
      <c r="AV216" s="3">
        <f t="shared" si="124"/>
        <v>12</v>
      </c>
      <c r="AW216" s="3">
        <f t="shared" si="125"/>
        <v>4</v>
      </c>
      <c r="AX216" s="3">
        <f t="shared" si="126"/>
        <v>7</v>
      </c>
      <c r="AY216" s="3">
        <f t="shared" si="127"/>
        <v>4</v>
      </c>
      <c r="AZ216" s="3">
        <f t="shared" si="128"/>
        <v>1</v>
      </c>
      <c r="BA216" s="3">
        <f>IF(ISERROR(LEN(VLOOKUP(A216,Seqs!A:E,2,FALSE))-AL216),"-",LEN(VLOOKUP(A216,Seqs!A:E,2,FALSE))-AL216)</f>
        <v>23</v>
      </c>
      <c r="BB216" s="16">
        <f t="shared" si="129"/>
        <v>27</v>
      </c>
      <c r="BC216" s="9">
        <f t="shared" si="130"/>
        <v>20</v>
      </c>
      <c r="BD216" s="3">
        <f t="shared" si="131"/>
        <v>27</v>
      </c>
      <c r="BE216" s="3">
        <f t="shared" si="13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0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3"/>
        <v>1</v>
      </c>
      <c r="AO217" s="3" t="str">
        <f>IF(ISERROR(MATCH(A217,'SegEnds_Xtal_Prot#'!B:B, 0)), "NoXtal", "Xtal")</f>
        <v>NoXtal</v>
      </c>
      <c r="AP217" s="3" t="str">
        <f t="shared" si="118"/>
        <v>-</v>
      </c>
      <c r="AQ217" s="3" t="str">
        <f t="shared" si="119"/>
        <v>-</v>
      </c>
      <c r="AR217" s="3" t="str">
        <f t="shared" si="120"/>
        <v>-</v>
      </c>
      <c r="AS217" s="3" t="str">
        <f t="shared" si="121"/>
        <v>-</v>
      </c>
      <c r="AT217" s="3">
        <f t="shared" si="122"/>
        <v>1</v>
      </c>
      <c r="AU217" s="3">
        <f t="shared" si="123"/>
        <v>1</v>
      </c>
      <c r="AV217" s="3">
        <f t="shared" si="124"/>
        <v>12</v>
      </c>
      <c r="AW217" s="3">
        <f t="shared" si="125"/>
        <v>4</v>
      </c>
      <c r="AX217" s="3">
        <f t="shared" si="126"/>
        <v>7</v>
      </c>
      <c r="AY217" s="3">
        <f t="shared" si="127"/>
        <v>4</v>
      </c>
      <c r="AZ217" s="3">
        <f t="shared" si="128"/>
        <v>1</v>
      </c>
      <c r="BA217" s="3">
        <f>IF(ISERROR(LEN(VLOOKUP(A217,Seqs!A:E,2,FALSE))-AL217),"-",LEN(VLOOKUP(A217,Seqs!A:E,2,FALSE))-AL217)</f>
        <v>29</v>
      </c>
      <c r="BB217" s="16">
        <f t="shared" si="129"/>
        <v>27</v>
      </c>
      <c r="BC217" s="9">
        <f t="shared" si="130"/>
        <v>20</v>
      </c>
      <c r="BD217" s="3">
        <f t="shared" si="131"/>
        <v>27</v>
      </c>
      <c r="BE217" s="3">
        <f t="shared" si="13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0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3"/>
        <v>1</v>
      </c>
      <c r="AO218" s="3" t="str">
        <f>IF(ISERROR(MATCH(A218,'SegEnds_Xtal_Prot#'!B:B, 0)), "NoXtal", "Xtal")</f>
        <v>Xtal</v>
      </c>
      <c r="AP218" s="3">
        <f t="shared" si="118"/>
        <v>1</v>
      </c>
      <c r="AQ218" s="3">
        <f t="shared" si="119"/>
        <v>1</v>
      </c>
      <c r="AR218" s="3">
        <f t="shared" si="120"/>
        <v>3</v>
      </c>
      <c r="AS218" s="3">
        <f t="shared" si="121"/>
        <v>1</v>
      </c>
      <c r="AT218" s="3">
        <f t="shared" si="122"/>
        <v>1</v>
      </c>
      <c r="AU218" s="3">
        <f t="shared" si="123"/>
        <v>1</v>
      </c>
      <c r="AV218" s="3">
        <f t="shared" si="124"/>
        <v>14</v>
      </c>
      <c r="AW218" s="3">
        <f t="shared" si="125"/>
        <v>8</v>
      </c>
      <c r="AX218" s="3">
        <f t="shared" si="126"/>
        <v>5</v>
      </c>
      <c r="AY218" s="3">
        <f t="shared" si="127"/>
        <v>6</v>
      </c>
      <c r="AZ218" s="3">
        <f t="shared" si="128"/>
        <v>1</v>
      </c>
      <c r="BA218" s="3">
        <f>IF(ISERROR(LEN(VLOOKUP(A218,Seqs!A:E,2,FALSE))-AL218),"-",LEN(VLOOKUP(A218,Seqs!A:E,2,FALSE))-AL218)</f>
        <v>36</v>
      </c>
      <c r="BB218" s="16">
        <f t="shared" si="129"/>
        <v>28</v>
      </c>
      <c r="BC218" s="9">
        <f t="shared" si="130"/>
        <v>20</v>
      </c>
      <c r="BD218" s="3">
        <f t="shared" si="131"/>
        <v>28</v>
      </c>
      <c r="BE218" s="3">
        <f t="shared" si="13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0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336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3"/>
        <v>1</v>
      </c>
      <c r="AO219" s="3" t="str">
        <f>IF(ISERROR(MATCH(A219,'SegEnds_Xtal_Prot#'!B:B, 0)), "NoXtal", "Xtal")</f>
        <v>NoXtal</v>
      </c>
      <c r="AP219" s="3" t="str">
        <f t="shared" si="118"/>
        <v>-</v>
      </c>
      <c r="AQ219" s="3" t="str">
        <f t="shared" si="119"/>
        <v>-</v>
      </c>
      <c r="AR219" s="3">
        <f t="shared" si="120"/>
        <v>3</v>
      </c>
      <c r="AS219" s="3">
        <f t="shared" si="121"/>
        <v>1</v>
      </c>
      <c r="AT219" s="3">
        <f t="shared" si="122"/>
        <v>1</v>
      </c>
      <c r="AU219" s="3">
        <f t="shared" si="123"/>
        <v>1</v>
      </c>
      <c r="AV219" s="3">
        <f t="shared" si="124"/>
        <v>22</v>
      </c>
      <c r="AW219" s="3">
        <f t="shared" si="125"/>
        <v>5</v>
      </c>
      <c r="AX219" s="3">
        <f t="shared" si="126"/>
        <v>4</v>
      </c>
      <c r="AY219" s="3">
        <f t="shared" si="127"/>
        <v>8</v>
      </c>
      <c r="AZ219" s="3" t="str">
        <f t="shared" si="128"/>
        <v>-</v>
      </c>
      <c r="BA219" s="3" t="str">
        <f>IF(ISERROR(LEN(VLOOKUP(A219,Seqs!A:E,2,FALSE))-AL219),"-",LEN(VLOOKUP(A219,Seqs!A:E,2,FALSE))-AL219)</f>
        <v>-</v>
      </c>
      <c r="BB219" s="16">
        <f t="shared" si="129"/>
        <v>27</v>
      </c>
      <c r="BC219" s="9">
        <f t="shared" si="130"/>
        <v>20</v>
      </c>
      <c r="BD219" s="3">
        <f t="shared" si="131"/>
        <v>27</v>
      </c>
      <c r="BE219" s="3">
        <f t="shared" si="132"/>
        <v>42</v>
      </c>
      <c r="BF219" s="3">
        <f>AH219-AE219</f>
        <v>39</v>
      </c>
      <c r="BG219" s="3" t="s">
        <v>1308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0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318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3"/>
        <v>1</v>
      </c>
      <c r="AO220" s="3" t="str">
        <f>IF(ISERROR(MATCH(A220,'SegEnds_Xtal_Prot#'!B:B, 0)), "NoXtal", "Xtal")</f>
        <v>NoXtal</v>
      </c>
      <c r="AP220" s="3" t="str">
        <f t="shared" si="118"/>
        <v>-</v>
      </c>
      <c r="AQ220" s="3" t="str">
        <f t="shared" si="119"/>
        <v>-</v>
      </c>
      <c r="AR220" s="3">
        <f t="shared" si="120"/>
        <v>3</v>
      </c>
      <c r="AS220" s="3">
        <f t="shared" si="121"/>
        <v>1</v>
      </c>
      <c r="AT220" s="3">
        <f t="shared" si="122"/>
        <v>1</v>
      </c>
      <c r="AU220" s="3">
        <f t="shared" si="123"/>
        <v>1</v>
      </c>
      <c r="AV220" s="3">
        <f t="shared" si="124"/>
        <v>15</v>
      </c>
      <c r="AW220" s="3">
        <f t="shared" si="125"/>
        <v>7</v>
      </c>
      <c r="AX220" s="3">
        <f t="shared" si="126"/>
        <v>4</v>
      </c>
      <c r="AY220" s="3">
        <f t="shared" si="127"/>
        <v>8</v>
      </c>
      <c r="AZ220" s="3">
        <f t="shared" si="128"/>
        <v>1</v>
      </c>
      <c r="BA220" s="3">
        <f>IF(ISERROR(LEN(VLOOKUP(A220,Seqs!A:E,2,FALSE))-AL220),"-",LEN(VLOOKUP(A220,Seqs!A:E,2,FALSE))-AL220)</f>
        <v>27</v>
      </c>
      <c r="BB220" s="16">
        <f t="shared" si="129"/>
        <v>27</v>
      </c>
      <c r="BC220" s="9">
        <f t="shared" si="130"/>
        <v>20</v>
      </c>
      <c r="BD220" s="3">
        <f t="shared" si="131"/>
        <v>27</v>
      </c>
      <c r="BE220" s="3">
        <f t="shared" si="13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pe2r4_human</v>
      </c>
      <c r="C221" s="3">
        <f>VLOOKUP($A221,'SegEnds_NonXtal_BW#'!$A:$Z,3,FALSE)+D221-50</f>
        <v>17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42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0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7"/>
        <v>185</v>
      </c>
      <c r="AA221" s="3">
        <f>IF(ISERROR(VLOOKUP($A221,'SegEnds_NonXtal_BW#'!$A:$Z,19,FALSE)+VLOOKUP($A221,A:AL,28,FALSE)-50),"-",(VLOOKUP($A221,'SegEnds_NonXtal_BW#'!$A:$Z,19,FALSE)+VLOOKUP($A221,A:AL,28,FALSE)-50))</f>
        <v>195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340</v>
      </c>
      <c r="AM221" s="28" t="str">
        <f>VLOOKUP(A221,Classification!A:B,2,FALSE)</f>
        <v>A</v>
      </c>
      <c r="AN221" s="28" t="b">
        <f t="shared" si="133"/>
        <v>1</v>
      </c>
      <c r="AO221" s="3" t="str">
        <f>IF(ISERROR(MATCH(A221,'SegEnds_Xtal_Prot#'!B:B, 0)), "NoXtal", "Xtal")</f>
        <v>NoXtal</v>
      </c>
      <c r="AP221" s="3" t="str">
        <f t="shared" si="118"/>
        <v>-</v>
      </c>
      <c r="AQ221" s="3" t="str">
        <f t="shared" si="119"/>
        <v>-</v>
      </c>
      <c r="AR221" s="3" t="str">
        <f t="shared" si="120"/>
        <v>-</v>
      </c>
      <c r="AS221" s="3" t="str">
        <f t="shared" si="121"/>
        <v>-</v>
      </c>
      <c r="AT221" s="3">
        <f t="shared" si="122"/>
        <v>1</v>
      </c>
      <c r="AU221" s="3">
        <f t="shared" si="123"/>
        <v>1</v>
      </c>
      <c r="AV221" s="3">
        <f t="shared" si="124"/>
        <v>13</v>
      </c>
      <c r="AW221" s="3">
        <f t="shared" si="125"/>
        <v>10</v>
      </c>
      <c r="AX221" s="3">
        <f t="shared" si="126"/>
        <v>16</v>
      </c>
      <c r="AY221" s="3">
        <f t="shared" si="127"/>
        <v>7</v>
      </c>
      <c r="AZ221" s="3">
        <f t="shared" si="128"/>
        <v>1</v>
      </c>
      <c r="BA221" s="3">
        <f>IF(ISERROR(LEN(VLOOKUP(A221,Seqs!A:E,2,FALSE))-AL221),"-",LEN(VLOOKUP(A221,Seqs!A:E,2,FALSE))-AL221)</f>
        <v>19</v>
      </c>
      <c r="BB221" s="16">
        <f t="shared" si="129"/>
        <v>38</v>
      </c>
      <c r="BC221" s="9">
        <f t="shared" si="130"/>
        <v>20</v>
      </c>
      <c r="BD221" s="3">
        <f t="shared" si="131"/>
        <v>38</v>
      </c>
      <c r="BE221" s="3">
        <f t="shared" si="13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pd2r2_human</v>
      </c>
      <c r="C222" s="3">
        <f>VLOOKUP($A222,'SegEnds_NonXtal_BW#'!$A:$Z,3,FALSE)+D222-50</f>
        <v>32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94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0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7"/>
        <v>184</v>
      </c>
      <c r="AA222" s="3">
        <f>IF(ISERROR(VLOOKUP($A222,'SegEnds_NonXtal_BW#'!$A:$Z,19,FALSE)+VLOOKUP($A222,A:AL,28,FALSE)-50),"-",(VLOOKUP($A222,'SegEnds_NonXtal_BW#'!$A:$Z,19,FALSE)+VLOOKUP($A222,A:AL,28,FALSE)-50))</f>
        <v>194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278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325</v>
      </c>
      <c r="AM222" s="28" t="str">
        <f>VLOOKUP(A222,Classification!A:B,2,FALSE)</f>
        <v>A</v>
      </c>
      <c r="AN222" s="28" t="b">
        <f t="shared" si="133"/>
        <v>1</v>
      </c>
      <c r="AO222" s="3" t="str">
        <f>IF(ISERROR(MATCH(A222,'SegEnds_Xtal_Prot#'!B:B, 0)), "NoXtal", "Xtal")</f>
        <v>Xtal</v>
      </c>
      <c r="AP222" s="3" t="str">
        <f t="shared" si="118"/>
        <v>-</v>
      </c>
      <c r="AQ222" s="3" t="str">
        <f t="shared" si="119"/>
        <v>-</v>
      </c>
      <c r="AR222" s="3">
        <f t="shared" si="120"/>
        <v>2</v>
      </c>
      <c r="AS222" s="3">
        <f t="shared" si="121"/>
        <v>1</v>
      </c>
      <c r="AT222" s="3">
        <f t="shared" si="122"/>
        <v>1</v>
      </c>
      <c r="AU222" s="3">
        <f t="shared" si="123"/>
        <v>1</v>
      </c>
      <c r="AV222" s="3">
        <f t="shared" si="124"/>
        <v>12</v>
      </c>
      <c r="AW222" s="3">
        <f t="shared" si="125"/>
        <v>10</v>
      </c>
      <c r="AX222" s="3">
        <f t="shared" si="126"/>
        <v>5</v>
      </c>
      <c r="AY222" s="3">
        <f t="shared" si="127"/>
        <v>6</v>
      </c>
      <c r="AZ222" s="3">
        <f t="shared" si="128"/>
        <v>1</v>
      </c>
      <c r="BA222" s="3">
        <f>IF(ISERROR(LEN(VLOOKUP(A222,Seqs!A:E,2,FALSE))-AL222),"-",LEN(VLOOKUP(A222,Seqs!A:E,2,FALSE))-AL222)</f>
        <v>70</v>
      </c>
      <c r="BB222" s="16">
        <f t="shared" si="129"/>
        <v>27</v>
      </c>
      <c r="BC222" s="9">
        <f t="shared" si="130"/>
        <v>20</v>
      </c>
      <c r="BD222" s="3">
        <f t="shared" si="131"/>
        <v>27</v>
      </c>
      <c r="BE222" s="3">
        <f t="shared" si="13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ta2r_human</v>
      </c>
      <c r="C223" s="3">
        <f>VLOOKUP($A223,'SegEnds_NonXtal_BW#'!$A:$Z,3,FALSE)+D223-50</f>
        <v>35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61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0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7"/>
        <v>190</v>
      </c>
      <c r="AA223" s="3">
        <f>IF(ISERROR(VLOOKUP($A223,'SegEnds_NonXtal_BW#'!$A:$Z,19,FALSE)+VLOOKUP($A223,A:AL,28,FALSE)-50),"-",(VLOOKUP($A223,'SegEnds_NonXtal_BW#'!$A:$Z,19,FALSE)+VLOOKUP($A223,A:AL,28,FALSE)-50))</f>
        <v>197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374</v>
      </c>
      <c r="AM223" s="28" t="str">
        <f>VLOOKUP(A223,Classification!A:B,2,FALSE)</f>
        <v>A</v>
      </c>
      <c r="AN223" s="28" t="b">
        <f t="shared" si="133"/>
        <v>1</v>
      </c>
      <c r="AO223" s="3" t="str">
        <f>IF(ISERROR(MATCH(A223,'SegEnds_Xtal_Prot#'!B:B, 0)), "NoXtal", "Xtal")</f>
        <v>NoXtal</v>
      </c>
      <c r="AP223" s="3">
        <f t="shared" si="118"/>
        <v>1</v>
      </c>
      <c r="AQ223" s="3">
        <f t="shared" si="119"/>
        <v>1</v>
      </c>
      <c r="AR223" s="3">
        <f t="shared" si="120"/>
        <v>3</v>
      </c>
      <c r="AS223" s="3">
        <f t="shared" si="121"/>
        <v>1</v>
      </c>
      <c r="AT223" s="3">
        <f t="shared" si="122"/>
        <v>1</v>
      </c>
      <c r="AU223" s="3">
        <f t="shared" si="123"/>
        <v>1</v>
      </c>
      <c r="AV223" s="3">
        <f t="shared" si="124"/>
        <v>13</v>
      </c>
      <c r="AW223" s="3">
        <f t="shared" si="125"/>
        <v>7</v>
      </c>
      <c r="AX223" s="3">
        <f t="shared" si="126"/>
        <v>46</v>
      </c>
      <c r="AY223" s="3">
        <f t="shared" si="127"/>
        <v>6</v>
      </c>
      <c r="AZ223" s="3">
        <f t="shared" si="128"/>
        <v>1</v>
      </c>
      <c r="BA223" s="3">
        <f>IF(ISERROR(LEN(VLOOKUP(A223,Seqs!A:E,2,FALSE))-AL223),"-",LEN(VLOOKUP(A223,Seqs!A:E,2,FALSE))-AL223)</f>
        <v>28</v>
      </c>
      <c r="BB223" s="16">
        <f t="shared" si="129"/>
        <v>34</v>
      </c>
      <c r="BC223" s="9">
        <f t="shared" si="130"/>
        <v>20</v>
      </c>
      <c r="BD223" s="3">
        <f t="shared" si="131"/>
        <v>34</v>
      </c>
      <c r="BE223" s="3">
        <f t="shared" si="13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pe2r4_human</v>
      </c>
      <c r="C224" s="3">
        <f>VLOOKUP($A224,'SegEnds_NonXtal_BW#'!$A:$Z,3,FALSE)+D224-50</f>
        <v>22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47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95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0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174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332</v>
      </c>
      <c r="AM224" s="28" t="str">
        <f>VLOOKUP(A224,Classification!A:B,2,FALSE)</f>
        <v>A</v>
      </c>
      <c r="AN224" s="28" t="b">
        <f t="shared" si="133"/>
        <v>1</v>
      </c>
      <c r="AO224" s="3" t="str">
        <f>IF(ISERROR(MATCH(A224,'SegEnds_Xtal_Prot#'!B:B, 0)), "NoXtal", "Xtal")</f>
        <v>NoXtal</v>
      </c>
      <c r="AP224" s="3">
        <f t="shared" si="118"/>
        <v>9</v>
      </c>
      <c r="AQ224" s="3">
        <f t="shared" si="119"/>
        <v>1</v>
      </c>
      <c r="AR224" s="3" t="str">
        <f t="shared" si="120"/>
        <v>-</v>
      </c>
      <c r="AS224" s="3" t="str">
        <f t="shared" si="121"/>
        <v>-</v>
      </c>
      <c r="AT224" s="3">
        <f t="shared" si="122"/>
        <v>1</v>
      </c>
      <c r="AU224" s="3">
        <f t="shared" si="123"/>
        <v>1</v>
      </c>
      <c r="AV224" s="3">
        <f t="shared" si="124"/>
        <v>13</v>
      </c>
      <c r="AW224" s="3">
        <f t="shared" si="125"/>
        <v>5</v>
      </c>
      <c r="AX224" s="3">
        <f t="shared" si="126"/>
        <v>18</v>
      </c>
      <c r="AY224" s="3">
        <f t="shared" si="127"/>
        <v>5</v>
      </c>
      <c r="AZ224" s="3">
        <f t="shared" si="128"/>
        <v>1</v>
      </c>
      <c r="BA224" s="3">
        <f>IF(ISERROR(LEN(VLOOKUP(A224,Seqs!A:E,2,FALSE))-AL224),"-",LEN(VLOOKUP(A224,Seqs!A:E,2,FALSE))-AL224)</f>
        <v>26</v>
      </c>
      <c r="BB224" s="16">
        <f t="shared" si="129"/>
        <v>39</v>
      </c>
      <c r="BC224" s="9">
        <f t="shared" si="130"/>
        <v>20</v>
      </c>
      <c r="BD224" s="3">
        <f t="shared" si="131"/>
        <v>39</v>
      </c>
      <c r="BE224" s="3">
        <f t="shared" si="13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pe2r3_human</v>
      </c>
      <c r="C225" s="3">
        <f>VLOOKUP($A225,'SegEnds_NonXtal_BW#'!$A:$Z,3,FALSE)+D225-50</f>
        <v>52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78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117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0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7"/>
        <v>210</v>
      </c>
      <c r="AA225" s="3">
        <f>IF(ISERROR(VLOOKUP($A225,'SegEnds_NonXtal_BW#'!$A:$Z,19,FALSE)+VLOOKUP($A225,A:AL,28,FALSE)-50),"-",(VLOOKUP($A225,'SegEnds_NonXtal_BW#'!$A:$Z,19,FALSE)+VLOOKUP($A225,A:AL,28,FALSE)-50))</f>
        <v>225</v>
      </c>
      <c r="AB225" s="3">
        <v>241</v>
      </c>
      <c r="AC225" s="3">
        <f>IF(ISERROR((VLOOKUP($A225,'SegEnds_NonXtal_BW#'!$A:$Z,20,FALSE)+VLOOKUP($A225,A:AL,28,FALSE)-50)),"-",(VLOOKUP($A225,'SegEnds_NonXtal_BW#'!$A:$Z,20,FALSE)+VLOOKUP($A225,A:AL,28,FALSE)-50))</f>
        <v>264</v>
      </c>
      <c r="AD225" s="3">
        <f>IF(ISERROR(VLOOKUP($A225,'SegEnds_NonXtal_BW#'!$A:$Z,21,FALSE)+VLOOKUP($A225,A:AL,31,FALSE)-50),"-",(VLOOKUP($A225,'SegEnds_NonXtal_BW#'!$A:$Z,21,FALSE)+VLOOKUP($A225,A:AL,31,FALSE)-50))</f>
        <v>269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346</v>
      </c>
      <c r="AJ225" s="3">
        <f>IF(ISERROR(VLOOKUP($A225,'SegEnds_NonXtal_BW#'!$A:$Z,25,FALSE)+VLOOKUP($A225,A:AL,37,FALSE)-50),"-",(VLOOKUP($A225,'SegEnds_NonXtal_BW#'!$A:$Z,25,FALSE)+VLOOKUP($A225,A:AL,37,FALSE)-50))</f>
        <v>347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369</v>
      </c>
      <c r="AM225" s="28" t="str">
        <f>VLOOKUP(A225,Classification!A:B,2,FALSE)</f>
        <v>A</v>
      </c>
      <c r="AN225" s="28" t="b">
        <f t="shared" si="133"/>
        <v>1</v>
      </c>
      <c r="AO225" s="3" t="str">
        <f>IF(ISERROR(MATCH(A225,'SegEnds_Xtal_Prot#'!B:B, 0)), "NoXtal", "Xtal")</f>
        <v>Xtal</v>
      </c>
      <c r="AP225" s="3" t="str">
        <f t="shared" si="118"/>
        <v>-</v>
      </c>
      <c r="AQ225" s="3" t="str">
        <f t="shared" si="119"/>
        <v>-</v>
      </c>
      <c r="AR225" s="3">
        <f t="shared" si="120"/>
        <v>2</v>
      </c>
      <c r="AS225" s="3">
        <f t="shared" si="121"/>
        <v>1</v>
      </c>
      <c r="AT225" s="3">
        <f t="shared" si="122"/>
        <v>1</v>
      </c>
      <c r="AU225" s="3">
        <f t="shared" si="123"/>
        <v>1</v>
      </c>
      <c r="AV225" s="3">
        <f t="shared" si="124"/>
        <v>13</v>
      </c>
      <c r="AW225" s="3">
        <f t="shared" si="125"/>
        <v>15</v>
      </c>
      <c r="AX225" s="3">
        <f t="shared" si="126"/>
        <v>5</v>
      </c>
      <c r="AY225" s="3">
        <f t="shared" si="127"/>
        <v>6</v>
      </c>
      <c r="AZ225" s="3">
        <f t="shared" si="128"/>
        <v>1</v>
      </c>
      <c r="BA225" s="3">
        <f>IF(ISERROR(LEN(VLOOKUP(A225,Seqs!A:E,2,FALSE))-AL225),"-",LEN(VLOOKUP(A225,Seqs!A:E,2,FALSE))-AL225)</f>
        <v>21</v>
      </c>
      <c r="BB225" s="16">
        <f t="shared" si="129"/>
        <v>33</v>
      </c>
      <c r="BC225" s="9">
        <f t="shared" si="130"/>
        <v>20</v>
      </c>
      <c r="BD225" s="3">
        <f t="shared" si="131"/>
        <v>33</v>
      </c>
      <c r="BE225" s="3">
        <f t="shared" si="132"/>
        <v>56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pe2r4_human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43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82</v>
      </c>
      <c r="L226" s="3">
        <f>M226-1</f>
        <v>84</v>
      </c>
      <c r="M226" s="3">
        <v>85</v>
      </c>
      <c r="N226" s="3">
        <f>M226+2</f>
        <v>87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0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157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195</v>
      </c>
      <c r="AC226" s="3">
        <f>IF(ISERROR((VLOOKUP($A226,'SegEnds_NonXtal_BW#'!$A:$Z,20,FALSE)+VLOOKUP($A226,A:AL,28,FALSE)-50)),"-",(VLOOKUP($A226,'SegEnds_NonXtal_BW#'!$A:$Z,20,FALSE)+VLOOKUP($A226,A:AL,28,FALSE)-50))</f>
        <v>221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309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33"/>
        <v>1</v>
      </c>
      <c r="AO226" s="3" t="str">
        <f>IF(ISERROR(MATCH(A226,'SegEnds_Xtal_Prot#'!B:B, 0)), "NoXtal", "Xtal")</f>
        <v>Xtal</v>
      </c>
      <c r="AP226" s="3" t="str">
        <f t="shared" si="118"/>
        <v>-</v>
      </c>
      <c r="AQ226" s="3" t="str">
        <f t="shared" si="119"/>
        <v>-</v>
      </c>
      <c r="AR226" s="3">
        <f t="shared" si="120"/>
        <v>2</v>
      </c>
      <c r="AS226" s="3">
        <f t="shared" si="121"/>
        <v>1</v>
      </c>
      <c r="AT226" s="3">
        <f t="shared" si="122"/>
        <v>1</v>
      </c>
      <c r="AU226" s="3">
        <f t="shared" si="123"/>
        <v>1</v>
      </c>
      <c r="AV226" s="3">
        <f t="shared" si="124"/>
        <v>13</v>
      </c>
      <c r="AW226" s="3">
        <f t="shared" si="125"/>
        <v>6</v>
      </c>
      <c r="AX226" s="3">
        <f t="shared" si="126"/>
        <v>40</v>
      </c>
      <c r="AY226" s="3">
        <f t="shared" si="127"/>
        <v>11</v>
      </c>
      <c r="AZ226" s="3">
        <f t="shared" si="128"/>
        <v>1</v>
      </c>
      <c r="BA226" s="3">
        <f>IF(ISERROR(LEN(VLOOKUP(A226,Seqs!A:E,2,FALSE))-AL226),"-",LEN(VLOOKUP(A226,Seqs!A:E,2,FALSE))-AL226)</f>
        <v>142</v>
      </c>
      <c r="BB226" s="16">
        <f t="shared" si="129"/>
        <v>30</v>
      </c>
      <c r="BC226" s="9">
        <f t="shared" si="130"/>
        <v>20</v>
      </c>
      <c r="BD226" s="3">
        <f t="shared" si="131"/>
        <v>30</v>
      </c>
      <c r="BE226" s="3">
        <f t="shared" si="132"/>
        <v>92</v>
      </c>
    </row>
    <row r="227" spans="1:58" s="3" customFormat="1" x14ac:dyDescent="0.2">
      <c r="A227" s="3" t="s">
        <v>365</v>
      </c>
      <c r="B227" s="3" t="str">
        <f>LOWER(VLOOKUP(A227,Xtal_Templ!A:B,2,FALSE))</f>
        <v>ta2r_human</v>
      </c>
      <c r="C227" s="3">
        <f>VLOOKUP($A227,'SegEnds_NonXtal_BW#'!$A:$Z,3,FALSE)+D227-50</f>
        <v>29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55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94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0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3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327</v>
      </c>
      <c r="AM227" s="28" t="str">
        <f>VLOOKUP(A227,Classification!A:B,2,FALSE)</f>
        <v>A</v>
      </c>
      <c r="AN227" s="28" t="b">
        <f t="shared" si="133"/>
        <v>1</v>
      </c>
      <c r="AO227" s="3" t="str">
        <f>IF(ISERROR(MATCH(A227,'SegEnds_Xtal_Prot#'!B:B, 0)), "NoXtal", "Xtal")</f>
        <v>NoXtal</v>
      </c>
      <c r="AP227" s="3">
        <f t="shared" si="118"/>
        <v>1</v>
      </c>
      <c r="AQ227" s="3">
        <f t="shared" si="119"/>
        <v>1</v>
      </c>
      <c r="AR227" s="3">
        <f t="shared" si="120"/>
        <v>3</v>
      </c>
      <c r="AS227" s="3">
        <f t="shared" si="121"/>
        <v>1</v>
      </c>
      <c r="AT227" s="3">
        <f t="shared" si="122"/>
        <v>1</v>
      </c>
      <c r="AU227" s="3">
        <f t="shared" si="123"/>
        <v>1</v>
      </c>
      <c r="AV227" s="3">
        <f t="shared" si="124"/>
        <v>13</v>
      </c>
      <c r="AW227" s="3">
        <f t="shared" si="125"/>
        <v>11</v>
      </c>
      <c r="AX227" s="3">
        <f t="shared" si="126"/>
        <v>7</v>
      </c>
      <c r="AY227" s="3">
        <f t="shared" si="127"/>
        <v>7</v>
      </c>
      <c r="AZ227" s="3">
        <f t="shared" si="128"/>
        <v>1</v>
      </c>
      <c r="BA227" s="3">
        <f>IF(ISERROR(LEN(VLOOKUP(A227,Seqs!A:E,2,FALSE))-AL227),"-",LEN(VLOOKUP(A227,Seqs!A:E,2,FALSE))-AL227)</f>
        <v>32</v>
      </c>
      <c r="BB227" s="16">
        <f t="shared" si="129"/>
        <v>33</v>
      </c>
      <c r="BC227" s="9">
        <f t="shared" si="130"/>
        <v>20</v>
      </c>
      <c r="BD227" s="3">
        <f t="shared" si="131"/>
        <v>33</v>
      </c>
      <c r="BE227" s="3">
        <f t="shared" si="13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pe2r4_human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39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0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157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38"/>
        <v>172</v>
      </c>
      <c r="AA228" s="3">
        <f>IF(ISERROR(VLOOKUP($A228,'SegEnds_NonXtal_BW#'!$A:$Z,19,FALSE)+VLOOKUP($A228,A:AL,28,FALSE)-50),"-",(VLOOKUP($A228,'SegEnds_NonXtal_BW#'!$A:$Z,19,FALSE)+VLOOKUP($A228,A:AL,28,FALSE)-50))</f>
        <v>180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309</v>
      </c>
      <c r="AM228" s="28" t="str">
        <f>VLOOKUP(A228,Classification!A:B,2,FALSE)</f>
        <v>A</v>
      </c>
      <c r="AN228" s="28" t="b">
        <f t="shared" si="133"/>
        <v>1</v>
      </c>
      <c r="AO228" s="3" t="str">
        <f>IF(ISERROR(MATCH(A228,'SegEnds_Xtal_Prot#'!B:B, 0)), "NoXtal", "Xtal")</f>
        <v>NoXtal</v>
      </c>
      <c r="AP228" s="3" t="str">
        <f t="shared" si="118"/>
        <v>-</v>
      </c>
      <c r="AQ228" s="3" t="str">
        <f t="shared" si="119"/>
        <v>-</v>
      </c>
      <c r="AR228" s="3" t="str">
        <f t="shared" si="120"/>
        <v>-</v>
      </c>
      <c r="AS228" s="3" t="str">
        <f t="shared" si="121"/>
        <v>-</v>
      </c>
      <c r="AT228" s="3">
        <f t="shared" si="122"/>
        <v>1</v>
      </c>
      <c r="AU228" s="3">
        <f t="shared" si="123"/>
        <v>1</v>
      </c>
      <c r="AV228" s="3">
        <f t="shared" si="124"/>
        <v>13</v>
      </c>
      <c r="AW228" s="3">
        <f t="shared" si="125"/>
        <v>8</v>
      </c>
      <c r="AX228" s="3">
        <f t="shared" si="126"/>
        <v>6</v>
      </c>
      <c r="AY228" s="3">
        <f t="shared" si="127"/>
        <v>5</v>
      </c>
      <c r="AZ228" s="3">
        <f t="shared" si="128"/>
        <v>1</v>
      </c>
      <c r="BA228" s="3">
        <f>IF(ISERROR(LEN(VLOOKUP(A228,Seqs!A:E,2,FALSE))-AL228),"-",LEN(VLOOKUP(A228,Seqs!A:E,2,FALSE))-AL228)</f>
        <v>77</v>
      </c>
      <c r="BB228" s="16">
        <f t="shared" si="129"/>
        <v>29</v>
      </c>
      <c r="BC228" s="9">
        <f t="shared" si="130"/>
        <v>20</v>
      </c>
      <c r="BD228" s="3">
        <f t="shared" si="131"/>
        <v>29</v>
      </c>
      <c r="BE228" s="3">
        <f t="shared" si="13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ptafr_human</v>
      </c>
      <c r="C229" s="3">
        <f>VLOOKUP($A229,'SegEnds_NonXtal_BW#'!$A:$Z,3,FALSE)+D229-50</f>
        <v>9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43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77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3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0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152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38"/>
        <v>172</v>
      </c>
      <c r="AA229" s="3">
        <f>IF(ISERROR(VLOOKUP($A229,'SegEnds_NonXtal_BW#'!$A:$Z,19,FALSE)+VLOOKUP($A229,A:AL,28,FALSE)-50),"-",(VLOOKUP($A229,'SegEnds_NonXtal_BW#'!$A:$Z,19,FALSE)+VLOOKUP($A229,A:AL,28,FALSE)-50))</f>
        <v>178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296</v>
      </c>
      <c r="AJ229" s="3">
        <f>IF(ISERROR(VLOOKUP($A229,'SegEnds_NonXtal_BW#'!$A:$Z,25,FALSE)+VLOOKUP($A229,A:AL,37,FALSE)-50),"-",(VLOOKUP($A229,'SegEnds_NonXtal_BW#'!$A:$Z,25,FALSE)+VLOOKUP($A229,A:AL,37,FALSE)-50))</f>
        <v>297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310</v>
      </c>
      <c r="AM229" s="28" t="str">
        <f>VLOOKUP(A229,Classification!A:B,2,FALSE)</f>
        <v>A</v>
      </c>
      <c r="AN229" s="28" t="b">
        <f t="shared" si="133"/>
        <v>1</v>
      </c>
      <c r="AO229" s="3" t="str">
        <f>IF(ISERROR(MATCH(A229,'SegEnds_Xtal_Prot#'!B:B, 0)), "NoXtal", "Xtal")</f>
        <v>NoXtal</v>
      </c>
      <c r="AP229" s="3" t="str">
        <f t="shared" si="118"/>
        <v>-</v>
      </c>
      <c r="AQ229" s="3" t="str">
        <f t="shared" si="119"/>
        <v>-</v>
      </c>
      <c r="AR229" s="3">
        <f t="shared" si="120"/>
        <v>2</v>
      </c>
      <c r="AS229" s="3">
        <f t="shared" si="121"/>
        <v>1</v>
      </c>
      <c r="AT229" s="3">
        <f t="shared" si="122"/>
        <v>1</v>
      </c>
      <c r="AU229" s="3">
        <f t="shared" si="123"/>
        <v>1</v>
      </c>
      <c r="AV229" s="3">
        <f t="shared" si="124"/>
        <v>18</v>
      </c>
      <c r="AW229" s="3">
        <f t="shared" si="125"/>
        <v>6</v>
      </c>
      <c r="AX229" s="3">
        <f t="shared" si="126"/>
        <v>5</v>
      </c>
      <c r="AY229" s="3">
        <f t="shared" si="127"/>
        <v>6</v>
      </c>
      <c r="AZ229" s="3">
        <f t="shared" si="128"/>
        <v>1</v>
      </c>
      <c r="BA229" s="3">
        <f>IF(ISERROR(LEN(VLOOKUP(A229,Seqs!A:E,2,FALSE))-AL229),"-",LEN(VLOOKUP(A229,Seqs!A:E,2,FALSE))-AL229)</f>
        <v>27</v>
      </c>
      <c r="BB229" s="16">
        <f t="shared" si="129"/>
        <v>28</v>
      </c>
      <c r="BC229" s="9">
        <f t="shared" si="130"/>
        <v>20</v>
      </c>
      <c r="BD229" s="3">
        <f t="shared" si="131"/>
        <v>28</v>
      </c>
      <c r="BE229" s="3">
        <f t="shared" si="13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ptafr_human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44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49</v>
      </c>
      <c r="J230" s="3">
        <v>63</v>
      </c>
      <c r="K230" s="3">
        <f>VLOOKUP($A230,'SegEnds_NonXtal_BW#'!$A:$Z,8,FALSE)+VLOOKUP($A230,A:AL,10,FALSE)-50</f>
        <v>80</v>
      </c>
      <c r="L230" s="3">
        <f>M230-1</f>
        <v>82</v>
      </c>
      <c r="M230" s="3">
        <v>83</v>
      </c>
      <c r="N230" s="3">
        <f>M230+2</f>
        <v>85</v>
      </c>
      <c r="O230" s="3">
        <f t="shared" si="13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0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155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38"/>
        <v>175</v>
      </c>
      <c r="AA230" s="3">
        <f>IF(ISERROR(VLOOKUP($A230,'SegEnds_NonXtal_BW#'!$A:$Z,19,FALSE)+VLOOKUP($A230,A:AL,28,FALSE)-50),"-",(VLOOKUP($A230,'SegEnds_NonXtal_BW#'!$A:$Z,19,FALSE)+VLOOKUP($A230,A:AL,28,FALSE)-50))</f>
        <v>181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261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299</v>
      </c>
      <c r="AJ230" s="3">
        <f>IF(ISERROR(VLOOKUP($A230,'SegEnds_NonXtal_BW#'!$A:$Z,25,FALSE)+VLOOKUP($A230,A:AL,37,FALSE)-50),"-",(VLOOKUP($A230,'SegEnds_NonXtal_BW#'!$A:$Z,25,FALSE)+VLOOKUP($A230,A:AL,37,FALSE)-50))</f>
        <v>300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313</v>
      </c>
      <c r="AM230" s="28" t="str">
        <f>VLOOKUP(A230,Classification!A:B,2,FALSE)</f>
        <v>A</v>
      </c>
      <c r="AN230" s="28" t="b">
        <f t="shared" si="133"/>
        <v>1</v>
      </c>
      <c r="AO230" s="3" t="str">
        <f>IF(ISERROR(MATCH(A230,'SegEnds_Xtal_Prot#'!B:B, 0)), "NoXtal", "Xtal")</f>
        <v>Xtal</v>
      </c>
      <c r="AP230" s="3" t="str">
        <f t="shared" si="118"/>
        <v>-</v>
      </c>
      <c r="AQ230" s="3" t="str">
        <f t="shared" si="119"/>
        <v>-</v>
      </c>
      <c r="AR230" s="3">
        <f t="shared" si="120"/>
        <v>2</v>
      </c>
      <c r="AS230" s="3">
        <f t="shared" si="121"/>
        <v>1</v>
      </c>
      <c r="AT230" s="3">
        <f t="shared" si="122"/>
        <v>1</v>
      </c>
      <c r="AU230" s="3">
        <f t="shared" si="123"/>
        <v>1</v>
      </c>
      <c r="AV230" s="3">
        <f t="shared" si="124"/>
        <v>18</v>
      </c>
      <c r="AW230" s="3">
        <f t="shared" si="125"/>
        <v>6</v>
      </c>
      <c r="AX230" s="3">
        <f t="shared" si="126"/>
        <v>5</v>
      </c>
      <c r="AY230" s="3">
        <f t="shared" si="127"/>
        <v>3</v>
      </c>
      <c r="AZ230" s="3">
        <f t="shared" si="128"/>
        <v>1</v>
      </c>
      <c r="BA230" s="3">
        <f>IF(ISERROR(LEN(VLOOKUP(A230,Seqs!A:E,2,FALSE))-AL230),"-",LEN(VLOOKUP(A230,Seqs!A:E,2,FALSE))-AL230)</f>
        <v>29</v>
      </c>
      <c r="BB230" s="16">
        <f t="shared" si="129"/>
        <v>30</v>
      </c>
      <c r="BC230" s="9">
        <f t="shared" si="130"/>
        <v>20</v>
      </c>
      <c r="BD230" s="3">
        <f t="shared" si="131"/>
        <v>30</v>
      </c>
      <c r="BE230" s="3">
        <f t="shared" si="13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0">G231-2</f>
        <v>74</v>
      </c>
      <c r="G231" s="3">
        <v>76</v>
      </c>
      <c r="H231" s="3">
        <f t="shared" ref="H231:I238" si="141">G231+1</f>
        <v>77</v>
      </c>
      <c r="I231" s="3">
        <f t="shared" si="14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3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0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3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3"/>
        <v>1</v>
      </c>
      <c r="AO231" s="3" t="str">
        <f>IF(ISERROR(MATCH(A231,'SegEnds_Xtal_Prot#'!B:B, 0)), "NoXtal", "Xtal")</f>
        <v>NoXtal</v>
      </c>
      <c r="AP231" s="3">
        <f t="shared" si="118"/>
        <v>1</v>
      </c>
      <c r="AQ231" s="3">
        <f t="shared" si="119"/>
        <v>1</v>
      </c>
      <c r="AR231" s="3">
        <f t="shared" si="120"/>
        <v>1</v>
      </c>
      <c r="AS231" s="3">
        <f t="shared" si="121"/>
        <v>1</v>
      </c>
      <c r="AT231" s="3">
        <f t="shared" si="122"/>
        <v>1</v>
      </c>
      <c r="AU231" s="3">
        <f t="shared" si="123"/>
        <v>1</v>
      </c>
      <c r="AV231" s="3">
        <f t="shared" si="124"/>
        <v>17</v>
      </c>
      <c r="AW231" s="3">
        <f t="shared" si="125"/>
        <v>6</v>
      </c>
      <c r="AX231" s="3">
        <f t="shared" si="126"/>
        <v>9</v>
      </c>
      <c r="AY231" s="3">
        <f t="shared" si="127"/>
        <v>8</v>
      </c>
      <c r="AZ231" s="3">
        <f t="shared" si="128"/>
        <v>1</v>
      </c>
      <c r="BA231" s="3">
        <f>IF(ISERROR(LEN(VLOOKUP(A231,Seqs!A:E,2,FALSE))-AL231),"-",LEN(VLOOKUP(A231,Seqs!A:E,2,FALSE))-AL231)</f>
        <v>84</v>
      </c>
      <c r="BB231" s="16">
        <f t="shared" si="129"/>
        <v>28</v>
      </c>
      <c r="BC231" s="9">
        <f t="shared" si="130"/>
        <v>20</v>
      </c>
      <c r="BD231" s="3">
        <f t="shared" si="131"/>
        <v>28</v>
      </c>
      <c r="BE231" s="3">
        <f t="shared" si="13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oprd_human</v>
      </c>
      <c r="C232" s="3">
        <f>VLOOKUP($A232,'SegEnds_NonXtal_BW#'!$A:$Z,3,FALSE)+D232-50</f>
        <v>29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0"/>
        <v>69</v>
      </c>
      <c r="G232" s="3">
        <v>71</v>
      </c>
      <c r="H232" s="3">
        <f t="shared" si="141"/>
        <v>72</v>
      </c>
      <c r="I232" s="3">
        <f t="shared" si="141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3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0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38"/>
        <v>193</v>
      </c>
      <c r="AA232" s="3">
        <f>IF(ISERROR(VLOOKUP($A232,'SegEnds_NonXtal_BW#'!$A:$Z,19,FALSE)+VLOOKUP($A232,A:AL,28,FALSE)-50),"-",(VLOOKUP($A232,'SegEnds_NonXtal_BW#'!$A:$Z,19,FALSE)+VLOOKUP($A232,A:AL,28,FALSE)-50))</f>
        <v>197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326</v>
      </c>
      <c r="AM232" s="28" t="str">
        <f>VLOOKUP(A232,Classification!A:B,2,FALSE)</f>
        <v>A</v>
      </c>
      <c r="AN232" s="28" t="b">
        <f t="shared" si="133"/>
        <v>1</v>
      </c>
      <c r="AO232" s="3" t="str">
        <f>IF(ISERROR(MATCH(A232,'SegEnds_Xtal_Prot#'!B:B, 0)), "NoXtal", "Xtal")</f>
        <v>NoXtal</v>
      </c>
      <c r="AP232" s="3">
        <f t="shared" si="118"/>
        <v>2</v>
      </c>
      <c r="AQ232" s="3">
        <f t="shared" si="119"/>
        <v>1</v>
      </c>
      <c r="AR232" s="3">
        <f t="shared" si="120"/>
        <v>3</v>
      </c>
      <c r="AS232" s="3">
        <f t="shared" si="121"/>
        <v>1</v>
      </c>
      <c r="AT232" s="3">
        <f t="shared" si="122"/>
        <v>1</v>
      </c>
      <c r="AU232" s="3">
        <f t="shared" si="123"/>
        <v>1</v>
      </c>
      <c r="AV232" s="3">
        <f t="shared" si="124"/>
        <v>11</v>
      </c>
      <c r="AW232" s="3">
        <f t="shared" si="125"/>
        <v>4</v>
      </c>
      <c r="AX232" s="3">
        <f t="shared" si="126"/>
        <v>6</v>
      </c>
      <c r="AY232" s="3">
        <f t="shared" si="127"/>
        <v>5</v>
      </c>
      <c r="AZ232" s="3">
        <f t="shared" si="128"/>
        <v>1</v>
      </c>
      <c r="BA232" s="3">
        <f>IF(ISERROR(LEN(VLOOKUP(A232,Seqs!A:E,2,FALSE))-AL232),"-",LEN(VLOOKUP(A232,Seqs!A:E,2,FALSE))-AL232)</f>
        <v>48</v>
      </c>
      <c r="BB232" s="16">
        <f t="shared" si="129"/>
        <v>30</v>
      </c>
      <c r="BC232" s="9">
        <f t="shared" si="130"/>
        <v>20</v>
      </c>
      <c r="BD232" s="3">
        <f t="shared" si="131"/>
        <v>30</v>
      </c>
      <c r="BE232" s="3">
        <f t="shared" si="13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0"/>
        <v>75</v>
      </c>
      <c r="G233" s="3">
        <v>77</v>
      </c>
      <c r="H233" s="3">
        <f t="shared" si="141"/>
        <v>78</v>
      </c>
      <c r="I233" s="3">
        <f t="shared" si="14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3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0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3"/>
        <v>1</v>
      </c>
      <c r="AO233" s="3" t="str">
        <f>IF(ISERROR(MATCH(A233,'SegEnds_Xtal_Prot#'!B:B, 0)), "NoXtal", "Xtal")</f>
        <v>NoXtal</v>
      </c>
      <c r="AP233" s="3">
        <f t="shared" si="118"/>
        <v>1</v>
      </c>
      <c r="AQ233" s="3">
        <f t="shared" si="119"/>
        <v>1</v>
      </c>
      <c r="AR233" s="3">
        <f t="shared" si="120"/>
        <v>2</v>
      </c>
      <c r="AS233" s="3">
        <f t="shared" si="121"/>
        <v>1</v>
      </c>
      <c r="AT233" s="3">
        <f t="shared" si="122"/>
        <v>1</v>
      </c>
      <c r="AU233" s="3">
        <f t="shared" si="123"/>
        <v>1</v>
      </c>
      <c r="AV233" s="3" t="str">
        <f t="shared" si="124"/>
        <v>-</v>
      </c>
      <c r="AW233" s="3" t="str">
        <f t="shared" si="125"/>
        <v>-</v>
      </c>
      <c r="AX233" s="3">
        <f t="shared" si="126"/>
        <v>6</v>
      </c>
      <c r="AY233" s="3">
        <f t="shared" si="127"/>
        <v>7</v>
      </c>
      <c r="AZ233" s="3">
        <f t="shared" si="128"/>
        <v>1</v>
      </c>
      <c r="BA233" s="3">
        <f>IF(ISERROR(LEN(VLOOKUP(A233,Seqs!A:E,2,FALSE))-AL233),"-",LEN(VLOOKUP(A233,Seqs!A:E,2,FALSE))-AL233)</f>
        <v>61</v>
      </c>
      <c r="BB233" s="16">
        <f t="shared" si="129"/>
        <v>28</v>
      </c>
      <c r="BC233" s="9">
        <f t="shared" si="130"/>
        <v>20</v>
      </c>
      <c r="BD233" s="3">
        <f t="shared" si="131"/>
        <v>28</v>
      </c>
      <c r="BE233" s="3">
        <f t="shared" si="13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0"/>
        <v>87</v>
      </c>
      <c r="G234" s="3">
        <v>89</v>
      </c>
      <c r="H234" s="3">
        <f t="shared" si="141"/>
        <v>90</v>
      </c>
      <c r="I234" s="3">
        <f t="shared" si="14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42">M234-1</f>
        <v>122</v>
      </c>
      <c r="M234" s="3">
        <v>123</v>
      </c>
      <c r="N234" s="3">
        <f t="shared" ref="N234:N251" si="143">M234+2</f>
        <v>125</v>
      </c>
      <c r="O234" s="3">
        <f t="shared" si="13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0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4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3"/>
        <v>1</v>
      </c>
      <c r="AO234" s="3" t="str">
        <f>IF(ISERROR(MATCH(A234,'SegEnds_Xtal_Prot#'!B:B, 0)), "NoXtal", "Xtal")</f>
        <v>NoXtal</v>
      </c>
      <c r="AP234" s="3">
        <f t="shared" si="118"/>
        <v>1</v>
      </c>
      <c r="AQ234" s="3">
        <f t="shared" si="119"/>
        <v>1</v>
      </c>
      <c r="AR234" s="3">
        <f t="shared" si="120"/>
        <v>2</v>
      </c>
      <c r="AS234" s="3">
        <f t="shared" si="121"/>
        <v>1</v>
      </c>
      <c r="AT234" s="3">
        <f t="shared" si="122"/>
        <v>1</v>
      </c>
      <c r="AU234" s="3">
        <f t="shared" si="123"/>
        <v>1</v>
      </c>
      <c r="AV234" s="3">
        <f t="shared" si="124"/>
        <v>12</v>
      </c>
      <c r="AW234" s="3">
        <f t="shared" si="125"/>
        <v>5</v>
      </c>
      <c r="AX234" s="3">
        <f t="shared" si="126"/>
        <v>6</v>
      </c>
      <c r="AY234" s="3">
        <f t="shared" si="127"/>
        <v>5</v>
      </c>
      <c r="AZ234" s="3">
        <f t="shared" si="128"/>
        <v>1</v>
      </c>
      <c r="BA234" s="3">
        <f>IF(ISERROR(LEN(VLOOKUP(A234,Seqs!A:E,2,FALSE))-AL234),"-",LEN(VLOOKUP(A234,Seqs!A:E,2,FALSE))-AL234)</f>
        <v>52</v>
      </c>
      <c r="BB234" s="16">
        <f t="shared" si="129"/>
        <v>28</v>
      </c>
      <c r="BC234" s="9">
        <f t="shared" si="130"/>
        <v>20</v>
      </c>
      <c r="BD234" s="3">
        <f t="shared" si="131"/>
        <v>28</v>
      </c>
      <c r="BE234" s="3">
        <f t="shared" si="13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0"/>
        <v>72</v>
      </c>
      <c r="G235" s="3">
        <v>74</v>
      </c>
      <c r="H235" s="3">
        <f t="shared" si="141"/>
        <v>75</v>
      </c>
      <c r="I235" s="3">
        <f t="shared" si="14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2"/>
        <v>107</v>
      </c>
      <c r="M235" s="3">
        <v>108</v>
      </c>
      <c r="N235" s="3">
        <f t="shared" si="143"/>
        <v>110</v>
      </c>
      <c r="O235" s="3">
        <f t="shared" si="13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0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3"/>
        <v>1</v>
      </c>
      <c r="AO235" s="3" t="str">
        <f>IF(ISERROR(MATCH(A235,'SegEnds_Xtal_Prot#'!B:B, 0)), "NoXtal", "Xtal")</f>
        <v>NoXtal</v>
      </c>
      <c r="AP235" s="3">
        <f t="shared" si="118"/>
        <v>1</v>
      </c>
      <c r="AQ235" s="3">
        <f t="shared" si="119"/>
        <v>1</v>
      </c>
      <c r="AR235" s="3">
        <f t="shared" si="120"/>
        <v>2</v>
      </c>
      <c r="AS235" s="3">
        <f t="shared" si="121"/>
        <v>1</v>
      </c>
      <c r="AT235" s="3">
        <f t="shared" si="122"/>
        <v>1</v>
      </c>
      <c r="AU235" s="3">
        <f t="shared" si="123"/>
        <v>1</v>
      </c>
      <c r="AV235" s="3">
        <f t="shared" si="124"/>
        <v>12</v>
      </c>
      <c r="AW235" s="3">
        <f t="shared" si="125"/>
        <v>5</v>
      </c>
      <c r="AX235" s="3">
        <f t="shared" si="126"/>
        <v>6</v>
      </c>
      <c r="AY235" s="3">
        <f t="shared" si="127"/>
        <v>5</v>
      </c>
      <c r="AZ235" s="3">
        <f t="shared" si="128"/>
        <v>1</v>
      </c>
      <c r="BA235" s="3">
        <f>IF(ISERROR(LEN(VLOOKUP(A235,Seqs!A:E,2,FALSE))-AL235),"-",LEN(VLOOKUP(A235,Seqs!A:E,2,FALSE))-AL235)</f>
        <v>41</v>
      </c>
      <c r="BB235" s="16">
        <f t="shared" si="129"/>
        <v>28</v>
      </c>
      <c r="BC235" s="9">
        <f t="shared" si="130"/>
        <v>20</v>
      </c>
      <c r="BD235" s="3">
        <f t="shared" si="131"/>
        <v>28</v>
      </c>
      <c r="BE235" s="3">
        <f t="shared" si="13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0"/>
        <v>73</v>
      </c>
      <c r="G236" s="3">
        <v>75</v>
      </c>
      <c r="H236" s="3">
        <f t="shared" si="141"/>
        <v>76</v>
      </c>
      <c r="I236" s="3">
        <f t="shared" si="14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2"/>
        <v>108</v>
      </c>
      <c r="M236" s="3">
        <v>109</v>
      </c>
      <c r="N236" s="3">
        <f t="shared" si="143"/>
        <v>111</v>
      </c>
      <c r="O236" s="3">
        <f t="shared" si="13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0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3"/>
        <v>1</v>
      </c>
      <c r="AO236" s="3" t="str">
        <f>IF(ISERROR(MATCH(A236,'SegEnds_Xtal_Prot#'!B:B, 0)), "NoXtal", "Xtal")</f>
        <v>NoXtal</v>
      </c>
      <c r="AP236" s="3">
        <f t="shared" si="118"/>
        <v>1</v>
      </c>
      <c r="AQ236" s="3">
        <f t="shared" si="119"/>
        <v>1</v>
      </c>
      <c r="AR236" s="3">
        <f t="shared" si="120"/>
        <v>2</v>
      </c>
      <c r="AS236" s="3">
        <f t="shared" si="121"/>
        <v>1</v>
      </c>
      <c r="AT236" s="3">
        <f t="shared" si="122"/>
        <v>1</v>
      </c>
      <c r="AU236" s="3">
        <f t="shared" si="123"/>
        <v>1</v>
      </c>
      <c r="AV236" s="3">
        <f t="shared" si="124"/>
        <v>9</v>
      </c>
      <c r="AW236" s="3">
        <f t="shared" si="125"/>
        <v>5</v>
      </c>
      <c r="AX236" s="3">
        <f t="shared" si="126"/>
        <v>6</v>
      </c>
      <c r="AY236" s="3">
        <f t="shared" si="127"/>
        <v>5</v>
      </c>
      <c r="AZ236" s="3">
        <f t="shared" si="128"/>
        <v>1</v>
      </c>
      <c r="BA236" s="3">
        <f>IF(ISERROR(LEN(VLOOKUP(A236,Seqs!A:E,2,FALSE))-AL236),"-",LEN(VLOOKUP(A236,Seqs!A:E,2,FALSE))-AL236)</f>
        <v>89</v>
      </c>
      <c r="BB236" s="16">
        <f t="shared" si="129"/>
        <v>28</v>
      </c>
      <c r="BC236" s="9">
        <f t="shared" si="130"/>
        <v>20</v>
      </c>
      <c r="BD236" s="3">
        <f t="shared" si="131"/>
        <v>28</v>
      </c>
      <c r="BE236" s="3">
        <f t="shared" si="13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oprk_human</v>
      </c>
      <c r="C237" s="3">
        <f>VLOOKUP($A237,'SegEnds_NonXtal_BW#'!$A:$Z,3,FALSE)+D237-50</f>
        <v>45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0"/>
        <v>76</v>
      </c>
      <c r="G237" s="3">
        <v>78</v>
      </c>
      <c r="H237" s="3">
        <f t="shared" si="141"/>
        <v>79</v>
      </c>
      <c r="I237" s="3">
        <f t="shared" si="14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2"/>
        <v>111</v>
      </c>
      <c r="M237" s="3">
        <v>112</v>
      </c>
      <c r="N237" s="3">
        <f t="shared" si="143"/>
        <v>114</v>
      </c>
      <c r="O237" s="3">
        <f t="shared" si="13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0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4"/>
        <v>200</v>
      </c>
      <c r="AA237" s="3">
        <f>IF(ISERROR(VLOOKUP($A237,'SegEnds_NonXtal_BW#'!$A:$Z,19,FALSE)+VLOOKUP($A237,A:AL,28,FALSE)-50),"-",(VLOOKUP($A237,'SegEnds_NonXtal_BW#'!$A:$Z,19,FALSE)+VLOOKUP($A237,A:AL,28,FALSE)-50))</f>
        <v>203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327</v>
      </c>
      <c r="AM237" s="28" t="str">
        <f>VLOOKUP(A237,Classification!A:B,2,FALSE)</f>
        <v>A</v>
      </c>
      <c r="AN237" s="28" t="b">
        <f t="shared" si="133"/>
        <v>1</v>
      </c>
      <c r="AO237" s="3" t="str">
        <f>IF(ISERROR(MATCH(A237,'SegEnds_Xtal_Prot#'!B:B, 0)), "NoXtal", "Xtal")</f>
        <v>NoXtal</v>
      </c>
      <c r="AP237" s="3">
        <f t="shared" si="118"/>
        <v>1</v>
      </c>
      <c r="AQ237" s="3">
        <f t="shared" si="119"/>
        <v>1</v>
      </c>
      <c r="AR237" s="3">
        <f t="shared" si="120"/>
        <v>2</v>
      </c>
      <c r="AS237" s="3">
        <f t="shared" si="121"/>
        <v>1</v>
      </c>
      <c r="AT237" s="3">
        <f t="shared" si="122"/>
        <v>1</v>
      </c>
      <c r="AU237" s="3">
        <f t="shared" si="123"/>
        <v>1</v>
      </c>
      <c r="AV237" s="3">
        <f t="shared" si="124"/>
        <v>13</v>
      </c>
      <c r="AW237" s="3">
        <f t="shared" si="125"/>
        <v>3</v>
      </c>
      <c r="AX237" s="3">
        <f t="shared" si="126"/>
        <v>6</v>
      </c>
      <c r="AY237" s="3">
        <f t="shared" si="127"/>
        <v>5</v>
      </c>
      <c r="AZ237" s="3">
        <f t="shared" si="128"/>
        <v>1</v>
      </c>
      <c r="BA237" s="3">
        <f>IF(ISERROR(LEN(VLOOKUP(A237,Seqs!A:E,2,FALSE))-AL237),"-",LEN(VLOOKUP(A237,Seqs!A:E,2,FALSE))-AL237)</f>
        <v>61</v>
      </c>
      <c r="BB237" s="16">
        <f t="shared" si="129"/>
        <v>28</v>
      </c>
      <c r="BC237" s="9">
        <f t="shared" si="130"/>
        <v>20</v>
      </c>
      <c r="BD237" s="3">
        <f t="shared" si="131"/>
        <v>28</v>
      </c>
      <c r="BE237" s="3">
        <f t="shared" si="13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0"/>
        <v>69</v>
      </c>
      <c r="G238" s="3">
        <v>71</v>
      </c>
      <c r="H238" s="3">
        <f t="shared" si="141"/>
        <v>72</v>
      </c>
      <c r="I238" s="3">
        <f t="shared" si="14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2"/>
        <v>104</v>
      </c>
      <c r="M238" s="3">
        <v>105</v>
      </c>
      <c r="N238" s="3">
        <f t="shared" si="143"/>
        <v>107</v>
      </c>
      <c r="O238" s="3">
        <f t="shared" si="13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0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3"/>
        <v>1</v>
      </c>
      <c r="AO238" s="3" t="str">
        <f>IF(ISERROR(MATCH(A238,'SegEnds_Xtal_Prot#'!B:B, 0)), "NoXtal", "Xtal")</f>
        <v>NoXtal</v>
      </c>
      <c r="AP238" s="3">
        <f t="shared" si="118"/>
        <v>1</v>
      </c>
      <c r="AQ238" s="3">
        <f t="shared" si="119"/>
        <v>1</v>
      </c>
      <c r="AR238" s="3">
        <f t="shared" si="120"/>
        <v>2</v>
      </c>
      <c r="AS238" s="3">
        <f t="shared" si="121"/>
        <v>1</v>
      </c>
      <c r="AT238" s="3">
        <f t="shared" si="122"/>
        <v>1</v>
      </c>
      <c r="AU238" s="3">
        <f t="shared" si="123"/>
        <v>1</v>
      </c>
      <c r="AV238" s="3">
        <f t="shared" si="124"/>
        <v>8</v>
      </c>
      <c r="AW238" s="3">
        <f t="shared" si="125"/>
        <v>5</v>
      </c>
      <c r="AX238" s="3">
        <f t="shared" si="126"/>
        <v>7</v>
      </c>
      <c r="AY238" s="3">
        <f t="shared" si="127"/>
        <v>5</v>
      </c>
      <c r="AZ238" s="3">
        <f t="shared" si="128"/>
        <v>1</v>
      </c>
      <c r="BA238" s="3">
        <f>IF(ISERROR(LEN(VLOOKUP(A238,Seqs!A:E,2,FALSE))-AL238),"-",LEN(VLOOKUP(A238,Seqs!A:E,2,FALSE))-AL238)</f>
        <v>44</v>
      </c>
      <c r="BB238" s="16">
        <f t="shared" si="129"/>
        <v>28</v>
      </c>
      <c r="BC238" s="9">
        <f t="shared" si="130"/>
        <v>20</v>
      </c>
      <c r="BD238" s="3">
        <f t="shared" si="131"/>
        <v>28</v>
      </c>
      <c r="BE238" s="3">
        <f t="shared" si="13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2"/>
        <v>87</v>
      </c>
      <c r="M239" s="3">
        <v>88</v>
      </c>
      <c r="N239" s="3">
        <f t="shared" si="143"/>
        <v>90</v>
      </c>
      <c r="O239" s="3">
        <f t="shared" si="13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0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3"/>
        <v>1</v>
      </c>
      <c r="AO239" s="3" t="str">
        <f>IF(ISERROR(MATCH(A239,'SegEnds_Xtal_Prot#'!B:B, 0)), "NoXtal", "Xtal")</f>
        <v>NoXtal</v>
      </c>
      <c r="AP239" s="3" t="str">
        <f t="shared" si="118"/>
        <v>-</v>
      </c>
      <c r="AQ239" s="3" t="str">
        <f t="shared" si="119"/>
        <v>-</v>
      </c>
      <c r="AR239" s="3">
        <f t="shared" si="120"/>
        <v>2</v>
      </c>
      <c r="AS239" s="3">
        <f t="shared" si="121"/>
        <v>1</v>
      </c>
      <c r="AT239" s="3">
        <f t="shared" si="122"/>
        <v>1</v>
      </c>
      <c r="AU239" s="3">
        <f t="shared" si="123"/>
        <v>1</v>
      </c>
      <c r="AV239" s="3">
        <f t="shared" si="124"/>
        <v>11</v>
      </c>
      <c r="AW239" s="3">
        <f t="shared" si="125"/>
        <v>7</v>
      </c>
      <c r="AX239" s="3">
        <f t="shared" si="126"/>
        <v>4</v>
      </c>
      <c r="AY239" s="3">
        <f t="shared" si="127"/>
        <v>5</v>
      </c>
      <c r="AZ239" s="3">
        <f t="shared" si="128"/>
        <v>1</v>
      </c>
      <c r="BA239" s="3">
        <f>IF(ISERROR(LEN(VLOOKUP(A239,Seqs!A:E,2,FALSE))-AL239),"-",LEN(VLOOKUP(A239,Seqs!A:E,2,FALSE))-AL239)</f>
        <v>23</v>
      </c>
      <c r="BB239" s="16">
        <f t="shared" si="129"/>
        <v>28</v>
      </c>
      <c r="BC239" s="9">
        <f t="shared" si="130"/>
        <v>20</v>
      </c>
      <c r="BD239" s="3">
        <f t="shared" si="131"/>
        <v>28</v>
      </c>
      <c r="BE239" s="3">
        <f t="shared" si="132"/>
        <v>48</v>
      </c>
      <c r="BF239" s="3">
        <f t="shared" ref="BF239:BF247" si="145">AH239-AE239</f>
        <v>45</v>
      </c>
    </row>
    <row r="240" spans="1:58" s="3" customFormat="1" x14ac:dyDescent="0.2">
      <c r="A240" s="3" t="s">
        <v>473</v>
      </c>
      <c r="B240" s="3" t="str">
        <f>LOWER(VLOOKUP(A240,Xtal_Templ!A:B,2,FALSE))</f>
        <v>ta2r_human</v>
      </c>
      <c r="C240" s="3">
        <f>VLOOKUP($A240,'SegEnds_NonXtal_BW#'!$A:$Z,3,FALSE)+D240-50</f>
        <v>27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54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42"/>
        <v>94</v>
      </c>
      <c r="M240" s="3">
        <v>95</v>
      </c>
      <c r="N240" s="105">
        <v>98</v>
      </c>
      <c r="O240" s="105">
        <v>102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0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170</v>
      </c>
      <c r="X240" s="3">
        <f>Y240</f>
        <v>183</v>
      </c>
      <c r="Y240" s="3">
        <v>183</v>
      </c>
      <c r="Z240" s="3">
        <f t="shared" si="144"/>
        <v>185</v>
      </c>
      <c r="AA240" s="3">
        <f>IF(ISERROR(VLOOKUP($A240,'SegEnds_NonXtal_BW#'!$A:$Z,19,FALSE)+VLOOKUP($A240,A:AL,28,FALSE)-50),"-",(VLOOKUP($A240,'SegEnds_NonXtal_BW#'!$A:$Z,19,FALSE)+VLOOKUP($A240,A:AL,28,FALSE)-50))</f>
        <v>190</v>
      </c>
      <c r="AB240" s="3">
        <v>207</v>
      </c>
      <c r="AC240" s="3">
        <f>IF(ISERROR((VLOOKUP($A240,'SegEnds_NonXtal_BW#'!$A:$Z,20,FALSE)+VLOOKUP($A240,A:AL,28,FALSE)-50)),"-",(VLOOKUP($A240,'SegEnds_NonXtal_BW#'!$A:$Z,20,FALSE)+VLOOKUP($A240,A:AL,28,FALSE)-50))</f>
        <v>229</v>
      </c>
      <c r="AD240" s="3">
        <f>IF(ISERROR(VLOOKUP($A240,'SegEnds_NonXtal_BW#'!$A:$Z,21,FALSE)+VLOOKUP($A240,A:AL,31,FALSE)-50),"-",(VLOOKUP($A240,'SegEnds_NonXtal_BW#'!$A:$Z,21,FALSE)+VLOOKUP($A240,A:AL,31,FALSE)-50))</f>
        <v>234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271</v>
      </c>
      <c r="AG240" s="3">
        <f>IF(ISERROR(VLOOKUP($A240,'SegEnds_NonXtal_BW#'!$A:$Z,23,FALSE)+VLOOKUP($A240,A:AL,34,FALSE)-50),"-",(VLOOKUP($A240,'SegEnds_NonXtal_BW#'!$A:$Z,23,FALSE)+VLOOKUP($A240,A:AL,34,FALSE)-50))</f>
        <v>283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311</v>
      </c>
      <c r="AJ240" s="3">
        <f>IF(ISERROR(VLOOKUP($A240,'SegEnds_NonXtal_BW#'!$A:$Z,25,FALSE)+VLOOKUP($A240,A:AL,37,FALSE)-50),"-",(VLOOKUP($A240,'SegEnds_NonXtal_BW#'!$A:$Z,25,FALSE)+VLOOKUP($A240,A:AL,37,FALSE)-50))</f>
        <v>312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331</v>
      </c>
      <c r="AM240" s="28" t="str">
        <f>VLOOKUP(A240,Classification!A:B,2,FALSE)</f>
        <v>A</v>
      </c>
      <c r="AN240" s="28" t="b">
        <f t="shared" si="133"/>
        <v>1</v>
      </c>
      <c r="AO240" s="3" t="str">
        <f>IF(ISERROR(MATCH(A240,'SegEnds_Xtal_Prot#'!B:B, 0)), "NoXtal", "Xtal")</f>
        <v>Xtal</v>
      </c>
      <c r="AP240" s="3" t="str">
        <f t="shared" si="118"/>
        <v>-</v>
      </c>
      <c r="AQ240" s="3" t="str">
        <f t="shared" si="119"/>
        <v>-</v>
      </c>
      <c r="AR240" s="3">
        <f t="shared" si="120"/>
        <v>3</v>
      </c>
      <c r="AS240" s="3">
        <f t="shared" si="121"/>
        <v>4</v>
      </c>
      <c r="AT240" s="3">
        <f t="shared" si="122"/>
        <v>1</v>
      </c>
      <c r="AU240" s="3">
        <f t="shared" si="123"/>
        <v>1</v>
      </c>
      <c r="AV240" s="3">
        <f t="shared" si="124"/>
        <v>13</v>
      </c>
      <c r="AW240" s="3">
        <f t="shared" si="125"/>
        <v>5</v>
      </c>
      <c r="AX240" s="3">
        <f t="shared" si="126"/>
        <v>5</v>
      </c>
      <c r="AY240" s="3">
        <f t="shared" si="127"/>
        <v>12</v>
      </c>
      <c r="AZ240" s="3">
        <f t="shared" si="128"/>
        <v>1</v>
      </c>
      <c r="BA240" s="3">
        <f>IF(ISERROR(LEN(VLOOKUP(A240,Seqs!A:E,2,FALSE))-AL240),"-",LEN(VLOOKUP(A240,Seqs!A:E,2,FALSE))-AL240)</f>
        <v>12</v>
      </c>
      <c r="BB240" s="16">
        <f t="shared" si="129"/>
        <v>32</v>
      </c>
      <c r="BC240" s="9">
        <f t="shared" si="130"/>
        <v>20</v>
      </c>
      <c r="BD240" s="3">
        <f t="shared" si="131"/>
        <v>32</v>
      </c>
      <c r="BE240" s="3">
        <f t="shared" si="132"/>
        <v>53</v>
      </c>
      <c r="BF240" s="3">
        <f t="shared" si="145"/>
        <v>45</v>
      </c>
    </row>
    <row r="241" spans="1:58" s="3" customFormat="1" x14ac:dyDescent="0.2">
      <c r="A241" s="3" t="s">
        <v>387</v>
      </c>
      <c r="B241" s="3" t="str">
        <f>LOWER(VLOOKUP(A241,Xtal_Templ!A:B,2,FALSE))</f>
        <v>drd2_human</v>
      </c>
      <c r="C241" s="3">
        <f>VLOOKUP($A241,'SegEnds_NonXtal_BW#'!$A:$Z,3,FALSE)+D241-50</f>
        <v>20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46">G241-2</f>
        <v>52</v>
      </c>
      <c r="G241" s="3">
        <v>54</v>
      </c>
      <c r="H241" s="3">
        <f t="shared" ref="H241:I262" si="147">G241+1</f>
        <v>55</v>
      </c>
      <c r="I241" s="3">
        <f t="shared" si="147"/>
        <v>56</v>
      </c>
      <c r="J241" s="3">
        <v>69</v>
      </c>
      <c r="K241" s="3">
        <f>VLOOKUP($A241,'SegEnds_NonXtal_BW#'!$A:$Z,8,FALSE)+VLOOKUP($A241,A:AL,10,FALSE)-50</f>
        <v>87</v>
      </c>
      <c r="L241" s="3">
        <f t="shared" si="142"/>
        <v>88</v>
      </c>
      <c r="M241" s="3">
        <v>89</v>
      </c>
      <c r="N241" s="3">
        <f t="shared" si="143"/>
        <v>91</v>
      </c>
      <c r="O241" s="3">
        <f t="shared" si="13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0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4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33"/>
        <v>1</v>
      </c>
      <c r="AO241" s="3" t="str">
        <f>IF(ISERROR(MATCH(A241,'SegEnds_Xtal_Prot#'!B:B, 0)), "NoXtal", "Xtal")</f>
        <v>NoXtal</v>
      </c>
      <c r="AP241" s="3">
        <f t="shared" si="118"/>
        <v>1</v>
      </c>
      <c r="AQ241" s="3">
        <f t="shared" si="119"/>
        <v>1</v>
      </c>
      <c r="AR241" s="3">
        <f t="shared" si="120"/>
        <v>1</v>
      </c>
      <c r="AS241" s="3">
        <f t="shared" si="121"/>
        <v>1</v>
      </c>
      <c r="AT241" s="3">
        <f t="shared" si="122"/>
        <v>1</v>
      </c>
      <c r="AU241" s="3">
        <f t="shared" si="123"/>
        <v>1</v>
      </c>
      <c r="AV241" s="3">
        <f t="shared" si="124"/>
        <v>22</v>
      </c>
      <c r="AW241" s="3">
        <f t="shared" si="125"/>
        <v>3</v>
      </c>
      <c r="AX241" s="3">
        <f t="shared" si="126"/>
        <v>11</v>
      </c>
      <c r="AY241" s="3">
        <f t="shared" si="127"/>
        <v>5</v>
      </c>
      <c r="AZ241" s="3">
        <f t="shared" si="128"/>
        <v>1</v>
      </c>
      <c r="BA241" s="3">
        <f>IF(ISERROR(LEN(VLOOKUP(A241,Seqs!A:E,2,FALSE))-AL241),"-",LEN(VLOOKUP(A241,Seqs!A:E,2,FALSE))-AL241)</f>
        <v>19</v>
      </c>
      <c r="BB241" s="16">
        <f t="shared" si="129"/>
        <v>28</v>
      </c>
      <c r="BC241" s="9">
        <f t="shared" si="130"/>
        <v>20</v>
      </c>
      <c r="BD241" s="3">
        <f t="shared" si="131"/>
        <v>28</v>
      </c>
      <c r="BE241" s="3">
        <f t="shared" si="132"/>
        <v>64</v>
      </c>
      <c r="BF241" s="3">
        <f t="shared" si="145"/>
        <v>35</v>
      </c>
    </row>
    <row r="242" spans="1:58" s="3" customFormat="1" x14ac:dyDescent="0.2">
      <c r="A242" s="3" t="s">
        <v>388</v>
      </c>
      <c r="B242" s="3" t="str">
        <f>LOWER(VLOOKUP(A242,Xtal_Templ!A:B,2,FALSE))</f>
        <v>adrb2_human</v>
      </c>
      <c r="C242" s="3">
        <f>VLOOKUP($A242,'SegEnds_NonXtal_BW#'!$A:$Z,3,FALSE)+D242-50</f>
        <v>36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46"/>
        <v>72</v>
      </c>
      <c r="G242" s="3">
        <v>74</v>
      </c>
      <c r="H242" s="3">
        <f t="shared" si="147"/>
        <v>75</v>
      </c>
      <c r="I242" s="3">
        <f t="shared" si="147"/>
        <v>76</v>
      </c>
      <c r="J242" s="3">
        <v>89</v>
      </c>
      <c r="K242" s="3">
        <f>VLOOKUP($A242,'SegEnds_NonXtal_BW#'!$A:$Z,8,FALSE)+VLOOKUP($A242,A:AL,10,FALSE)-50</f>
        <v>106</v>
      </c>
      <c r="L242" s="3">
        <f t="shared" si="142"/>
        <v>108</v>
      </c>
      <c r="M242" s="3">
        <v>109</v>
      </c>
      <c r="N242" s="3">
        <f t="shared" si="143"/>
        <v>111</v>
      </c>
      <c r="O242" s="3">
        <f t="shared" si="13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0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182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4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33"/>
        <v>1</v>
      </c>
      <c r="AO242" s="3" t="str">
        <f>IF(ISERROR(MATCH(A242,'SegEnds_Xtal_Prot#'!B:B, 0)), "NoXtal", "Xtal")</f>
        <v>NoXtal</v>
      </c>
      <c r="AP242" s="3">
        <f t="shared" si="118"/>
        <v>1</v>
      </c>
      <c r="AQ242" s="3">
        <f t="shared" si="119"/>
        <v>1</v>
      </c>
      <c r="AR242" s="3">
        <f t="shared" si="120"/>
        <v>2</v>
      </c>
      <c r="AS242" s="3">
        <f t="shared" si="121"/>
        <v>1</v>
      </c>
      <c r="AT242" s="3">
        <f t="shared" si="122"/>
        <v>1</v>
      </c>
      <c r="AU242" s="3">
        <f t="shared" si="123"/>
        <v>1</v>
      </c>
      <c r="AV242" s="3">
        <f t="shared" si="124"/>
        <v>19</v>
      </c>
      <c r="AW242" s="3">
        <f t="shared" si="125"/>
        <v>3</v>
      </c>
      <c r="AX242" s="3">
        <f t="shared" si="126"/>
        <v>5</v>
      </c>
      <c r="AY242" s="3">
        <f t="shared" si="127"/>
        <v>5</v>
      </c>
      <c r="AZ242" s="3">
        <f t="shared" si="128"/>
        <v>1</v>
      </c>
      <c r="BA242" s="3">
        <f>IF(ISERROR(LEN(VLOOKUP(A242,Seqs!A:E,2,FALSE))-AL242),"-",LEN(VLOOKUP(A242,Seqs!A:E,2,FALSE))-AL242)</f>
        <v>20</v>
      </c>
      <c r="BB242" s="16">
        <f t="shared" si="129"/>
        <v>28</v>
      </c>
      <c r="BC242" s="9">
        <f t="shared" si="130"/>
        <v>20</v>
      </c>
      <c r="BD242" s="3">
        <f t="shared" si="131"/>
        <v>28</v>
      </c>
      <c r="BE242" s="3">
        <f t="shared" si="132"/>
        <v>56</v>
      </c>
      <c r="BF242" s="3">
        <f t="shared" si="145"/>
        <v>35</v>
      </c>
    </row>
    <row r="243" spans="1:58" s="3" customFormat="1" x14ac:dyDescent="0.2">
      <c r="A243" s="3" t="s">
        <v>389</v>
      </c>
      <c r="B243" s="3" t="str">
        <f>LOWER(VLOOKUP(A243,Xtal_Templ!A:B,2,FALSE))</f>
        <v>drd2_human</v>
      </c>
      <c r="C243" s="3">
        <f>VLOOKUP($A243,'SegEnds_NonXtal_BW#'!$A:$Z,3,FALSE)+D243-50</f>
        <v>28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46"/>
        <v>60</v>
      </c>
      <c r="G243" s="3">
        <v>62</v>
      </c>
      <c r="H243" s="3">
        <f t="shared" si="147"/>
        <v>63</v>
      </c>
      <c r="I243" s="3">
        <f t="shared" si="147"/>
        <v>64</v>
      </c>
      <c r="J243" s="3">
        <v>77</v>
      </c>
      <c r="K243" s="3">
        <f>VLOOKUP($A243,'SegEnds_NonXtal_BW#'!$A:$Z,8,FALSE)+VLOOKUP($A243,A:AL,10,FALSE)-50</f>
        <v>95</v>
      </c>
      <c r="L243" s="3">
        <f t="shared" si="142"/>
        <v>96</v>
      </c>
      <c r="M243" s="3">
        <v>97</v>
      </c>
      <c r="N243" s="3">
        <f t="shared" si="143"/>
        <v>99</v>
      </c>
      <c r="O243" s="3">
        <f t="shared" si="13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0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168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4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33"/>
        <v>1</v>
      </c>
      <c r="AO243" s="3" t="str">
        <f>IF(ISERROR(MATCH(A243,'SegEnds_Xtal_Prot#'!B:B, 0)), "NoXtal", "Xtal")</f>
        <v>NoXtal</v>
      </c>
      <c r="AP243" s="3">
        <f t="shared" si="118"/>
        <v>1</v>
      </c>
      <c r="AQ243" s="3">
        <f t="shared" si="119"/>
        <v>1</v>
      </c>
      <c r="AR243" s="3">
        <f t="shared" si="120"/>
        <v>1</v>
      </c>
      <c r="AS243" s="3">
        <f t="shared" si="121"/>
        <v>1</v>
      </c>
      <c r="AT243" s="3">
        <f t="shared" si="122"/>
        <v>1</v>
      </c>
      <c r="AU243" s="3">
        <f t="shared" si="123"/>
        <v>1</v>
      </c>
      <c r="AV243" s="3">
        <f t="shared" si="124"/>
        <v>21</v>
      </c>
      <c r="AW243" s="3">
        <f t="shared" si="125"/>
        <v>3</v>
      </c>
      <c r="AX243" s="3">
        <f t="shared" si="126"/>
        <v>9</v>
      </c>
      <c r="AY243" s="3">
        <f t="shared" si="127"/>
        <v>5</v>
      </c>
      <c r="AZ243" s="3">
        <f t="shared" si="128"/>
        <v>1</v>
      </c>
      <c r="BA243" s="3">
        <f>IF(ISERROR(LEN(VLOOKUP(A243,Seqs!A:E,2,FALSE))-AL243),"-",LEN(VLOOKUP(A243,Seqs!A:E,2,FALSE))-AL243)</f>
        <v>18</v>
      </c>
      <c r="BB243" s="16">
        <f t="shared" si="129"/>
        <v>28</v>
      </c>
      <c r="BC243" s="9">
        <f t="shared" si="130"/>
        <v>20</v>
      </c>
      <c r="BD243" s="3">
        <f t="shared" si="131"/>
        <v>28</v>
      </c>
      <c r="BE243" s="3">
        <f t="shared" si="132"/>
        <v>62</v>
      </c>
      <c r="BF243" s="3">
        <f t="shared" si="145"/>
        <v>35</v>
      </c>
    </row>
    <row r="244" spans="1:58" s="3" customFormat="1" x14ac:dyDescent="0.2">
      <c r="A244" s="3" t="s">
        <v>390</v>
      </c>
      <c r="B244" s="3" t="str">
        <f>LOWER(VLOOKUP(A244,Xtal_Templ!A:B,2,FALSE))</f>
        <v>5ht1b_human</v>
      </c>
      <c r="C244" s="3">
        <f>VLOOKUP($A244,'SegEnds_NonXtal_BW#'!$A:$Z,3,FALSE)+D244-50</f>
        <v>30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46"/>
        <v>63</v>
      </c>
      <c r="G244" s="3">
        <v>65</v>
      </c>
      <c r="H244" s="3">
        <f t="shared" si="147"/>
        <v>66</v>
      </c>
      <c r="I244" s="3">
        <f t="shared" si="147"/>
        <v>67</v>
      </c>
      <c r="J244" s="3">
        <v>80</v>
      </c>
      <c r="K244" s="3">
        <f>VLOOKUP($A244,'SegEnds_NonXtal_BW#'!$A:$Z,8,FALSE)+VLOOKUP($A244,A:AL,10,FALSE)-50</f>
        <v>98</v>
      </c>
      <c r="L244" s="3">
        <f t="shared" si="142"/>
        <v>99</v>
      </c>
      <c r="M244" s="3">
        <v>100</v>
      </c>
      <c r="N244" s="3">
        <f t="shared" si="143"/>
        <v>102</v>
      </c>
      <c r="O244" s="3">
        <f t="shared" si="13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0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4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33"/>
        <v>1</v>
      </c>
      <c r="AO244" s="3" t="str">
        <f>IF(ISERROR(MATCH(A244,'SegEnds_Xtal_Prot#'!B:B, 0)), "NoXtal", "Xtal")</f>
        <v>NoXtal</v>
      </c>
      <c r="AP244" s="3">
        <f t="shared" si="118"/>
        <v>1</v>
      </c>
      <c r="AQ244" s="3">
        <f t="shared" si="119"/>
        <v>1</v>
      </c>
      <c r="AR244" s="3">
        <f t="shared" si="120"/>
        <v>1</v>
      </c>
      <c r="AS244" s="3">
        <f t="shared" si="121"/>
        <v>1</v>
      </c>
      <c r="AT244" s="3">
        <f t="shared" si="122"/>
        <v>1</v>
      </c>
      <c r="AU244" s="3">
        <f t="shared" si="123"/>
        <v>1</v>
      </c>
      <c r="AV244" s="3">
        <f t="shared" si="124"/>
        <v>20</v>
      </c>
      <c r="AW244" s="3">
        <f t="shared" si="125"/>
        <v>2</v>
      </c>
      <c r="AX244" s="3">
        <f t="shared" si="126"/>
        <v>5</v>
      </c>
      <c r="AY244" s="3">
        <f t="shared" si="127"/>
        <v>5</v>
      </c>
      <c r="AZ244" s="3">
        <f t="shared" si="128"/>
        <v>1</v>
      </c>
      <c r="BA244" s="3">
        <f>IF(ISERROR(LEN(VLOOKUP(A244,Seqs!A:E,2,FALSE))-AL244),"-",LEN(VLOOKUP(A244,Seqs!A:E,2,FALSE))-AL244)</f>
        <v>17</v>
      </c>
      <c r="BB244" s="16">
        <f t="shared" si="129"/>
        <v>28</v>
      </c>
      <c r="BC244" s="9">
        <f t="shared" si="130"/>
        <v>20</v>
      </c>
      <c r="BD244" s="3">
        <f t="shared" si="131"/>
        <v>28</v>
      </c>
      <c r="BE244" s="3">
        <f t="shared" si="132"/>
        <v>56</v>
      </c>
      <c r="BF244" s="3">
        <f t="shared" si="145"/>
        <v>35</v>
      </c>
    </row>
    <row r="245" spans="1:58" s="3" customFormat="1" x14ac:dyDescent="0.2">
      <c r="A245" s="3" t="s">
        <v>391</v>
      </c>
      <c r="B245" s="3" t="str">
        <f>LOWER(VLOOKUP(A245,Xtal_Templ!A:B,2,FALSE))</f>
        <v>5ht1b_human</v>
      </c>
      <c r="C245" s="3">
        <f>VLOOKUP($A245,'SegEnds_NonXtal_BW#'!$A:$Z,3,FALSE)+D245-50</f>
        <v>28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46"/>
        <v>61</v>
      </c>
      <c r="G245" s="3">
        <v>63</v>
      </c>
      <c r="H245" s="3">
        <f t="shared" si="147"/>
        <v>64</v>
      </c>
      <c r="I245" s="3">
        <f t="shared" si="147"/>
        <v>65</v>
      </c>
      <c r="J245" s="3">
        <v>78</v>
      </c>
      <c r="K245" s="3">
        <f>VLOOKUP($A245,'SegEnds_NonXtal_BW#'!$A:$Z,8,FALSE)+VLOOKUP($A245,A:AL,10,FALSE)-50</f>
        <v>96</v>
      </c>
      <c r="L245" s="3">
        <f t="shared" si="142"/>
        <v>97</v>
      </c>
      <c r="M245" s="3">
        <v>98</v>
      </c>
      <c r="N245" s="3">
        <f t="shared" si="143"/>
        <v>100</v>
      </c>
      <c r="O245" s="3">
        <f t="shared" si="13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0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4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33"/>
        <v>1</v>
      </c>
      <c r="AO245" s="3" t="str">
        <f>IF(ISERROR(MATCH(A245,'SegEnds_Xtal_Prot#'!B:B, 0)), "NoXtal", "Xtal")</f>
        <v>NoXtal</v>
      </c>
      <c r="AP245" s="3">
        <f t="shared" si="118"/>
        <v>1</v>
      </c>
      <c r="AQ245" s="3">
        <f t="shared" si="119"/>
        <v>1</v>
      </c>
      <c r="AR245" s="3">
        <f t="shared" si="120"/>
        <v>1</v>
      </c>
      <c r="AS245" s="3">
        <f t="shared" si="121"/>
        <v>1</v>
      </c>
      <c r="AT245" s="3">
        <f t="shared" si="122"/>
        <v>1</v>
      </c>
      <c r="AU245" s="3">
        <f t="shared" si="123"/>
        <v>1</v>
      </c>
      <c r="AV245" s="3">
        <f t="shared" si="124"/>
        <v>20</v>
      </c>
      <c r="AW245" s="3">
        <f t="shared" si="125"/>
        <v>2</v>
      </c>
      <c r="AX245" s="3">
        <f t="shared" si="126"/>
        <v>11</v>
      </c>
      <c r="AY245" s="3">
        <f t="shared" si="127"/>
        <v>5</v>
      </c>
      <c r="AZ245" s="3">
        <f t="shared" si="128"/>
        <v>1</v>
      </c>
      <c r="BA245" s="3">
        <f>IF(ISERROR(LEN(VLOOKUP(A245,Seqs!A:E,2,FALSE))-AL245),"-",LEN(VLOOKUP(A245,Seqs!A:E,2,FALSE))-AL245)</f>
        <v>19</v>
      </c>
      <c r="BB245" s="16">
        <f t="shared" si="129"/>
        <v>28</v>
      </c>
      <c r="BC245" s="9">
        <f t="shared" si="130"/>
        <v>20</v>
      </c>
      <c r="BD245" s="3">
        <f t="shared" si="131"/>
        <v>28</v>
      </c>
      <c r="BE245" s="3">
        <f t="shared" si="132"/>
        <v>64</v>
      </c>
      <c r="BF245" s="3">
        <f t="shared" si="145"/>
        <v>35</v>
      </c>
    </row>
    <row r="246" spans="1:58" s="3" customFormat="1" x14ac:dyDescent="0.2">
      <c r="A246" s="3" t="s">
        <v>392</v>
      </c>
      <c r="B246" s="3" t="str">
        <f>LOWER(VLOOKUP(A246,Xtal_Templ!A:B,2,FALSE))</f>
        <v>5ht1b_human</v>
      </c>
      <c r="C246" s="3">
        <f>VLOOKUP($A246,'SegEnds_NonXtal_BW#'!$A:$Z,3,FALSE)+D246-50</f>
        <v>27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46"/>
        <v>60</v>
      </c>
      <c r="G246" s="3">
        <v>62</v>
      </c>
      <c r="H246" s="3">
        <f t="shared" si="147"/>
        <v>63</v>
      </c>
      <c r="I246" s="3">
        <f t="shared" si="147"/>
        <v>64</v>
      </c>
      <c r="J246" s="3">
        <v>77</v>
      </c>
      <c r="K246" s="3">
        <f>VLOOKUP($A246,'SegEnds_NonXtal_BW#'!$A:$Z,8,FALSE)+VLOOKUP($A246,A:AL,10,FALSE)-50</f>
        <v>95</v>
      </c>
      <c r="L246" s="3">
        <f t="shared" si="142"/>
        <v>96</v>
      </c>
      <c r="M246" s="3">
        <v>97</v>
      </c>
      <c r="N246" s="3">
        <f t="shared" si="143"/>
        <v>99</v>
      </c>
      <c r="O246" s="3">
        <f t="shared" si="13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0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4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33"/>
        <v>1</v>
      </c>
      <c r="AO246" s="3" t="str">
        <f>IF(ISERROR(MATCH(A246,'SegEnds_Xtal_Prot#'!B:B, 0)), "NoXtal", "Xtal")</f>
        <v>NoXtal</v>
      </c>
      <c r="AP246" s="3">
        <f t="shared" si="118"/>
        <v>1</v>
      </c>
      <c r="AQ246" s="3">
        <f t="shared" si="119"/>
        <v>1</v>
      </c>
      <c r="AR246" s="3">
        <f t="shared" si="120"/>
        <v>1</v>
      </c>
      <c r="AS246" s="3">
        <f t="shared" si="121"/>
        <v>1</v>
      </c>
      <c r="AT246" s="3">
        <f t="shared" si="122"/>
        <v>1</v>
      </c>
      <c r="AU246" s="3">
        <f t="shared" si="123"/>
        <v>1</v>
      </c>
      <c r="AV246" s="3">
        <f t="shared" si="124"/>
        <v>20</v>
      </c>
      <c r="AW246" s="3">
        <f t="shared" si="125"/>
        <v>2</v>
      </c>
      <c r="AX246" s="3">
        <f t="shared" si="126"/>
        <v>11</v>
      </c>
      <c r="AY246" s="3">
        <f t="shared" si="127"/>
        <v>5</v>
      </c>
      <c r="AZ246" s="3">
        <f t="shared" si="128"/>
        <v>1</v>
      </c>
      <c r="BA246" s="3">
        <f>IF(ISERROR(LEN(VLOOKUP(A246,Seqs!A:E,2,FALSE))-AL246),"-",LEN(VLOOKUP(A246,Seqs!A:E,2,FALSE))-AL246)</f>
        <v>17</v>
      </c>
      <c r="BB246" s="16">
        <f t="shared" si="129"/>
        <v>28</v>
      </c>
      <c r="BC246" s="9">
        <f t="shared" si="130"/>
        <v>20</v>
      </c>
      <c r="BD246" s="3">
        <f t="shared" si="131"/>
        <v>28</v>
      </c>
      <c r="BE246" s="3">
        <f t="shared" si="132"/>
        <v>64</v>
      </c>
      <c r="BF246" s="3">
        <f t="shared" si="145"/>
        <v>35</v>
      </c>
    </row>
    <row r="247" spans="1:58" s="3" customFormat="1" x14ac:dyDescent="0.2">
      <c r="A247" s="3" t="s">
        <v>393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46"/>
        <v>61</v>
      </c>
      <c r="G247" s="3">
        <v>63</v>
      </c>
      <c r="H247" s="3">
        <f t="shared" si="147"/>
        <v>64</v>
      </c>
      <c r="I247" s="3">
        <f t="shared" si="147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42"/>
        <v>97</v>
      </c>
      <c r="M247" s="3">
        <v>98</v>
      </c>
      <c r="N247" s="3">
        <f t="shared" si="143"/>
        <v>100</v>
      </c>
      <c r="O247" s="3">
        <f t="shared" si="13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4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33"/>
        <v>1</v>
      </c>
      <c r="AO247" s="3" t="str">
        <f>IF(ISERROR(MATCH(A247,'SegEnds_Xtal_Prot#'!B:B, 0)), "NoXtal", "Xtal")</f>
        <v>NoXtal</v>
      </c>
      <c r="AP247" s="3">
        <f t="shared" si="118"/>
        <v>1</v>
      </c>
      <c r="AQ247" s="3">
        <f t="shared" si="119"/>
        <v>1</v>
      </c>
      <c r="AR247" s="3">
        <f t="shared" si="120"/>
        <v>1</v>
      </c>
      <c r="AS247" s="3">
        <f t="shared" si="121"/>
        <v>1</v>
      </c>
      <c r="AT247" s="3">
        <f t="shared" si="122"/>
        <v>1</v>
      </c>
      <c r="AU247" s="3">
        <f t="shared" si="123"/>
        <v>1</v>
      </c>
      <c r="AV247" s="3">
        <f t="shared" si="124"/>
        <v>20</v>
      </c>
      <c r="AW247" s="3">
        <f t="shared" si="125"/>
        <v>2</v>
      </c>
      <c r="AX247" s="3">
        <f t="shared" si="126"/>
        <v>11</v>
      </c>
      <c r="AY247" s="3">
        <f t="shared" si="127"/>
        <v>5</v>
      </c>
      <c r="AZ247" s="3">
        <f t="shared" si="128"/>
        <v>1</v>
      </c>
      <c r="BA247" s="3">
        <f>IF(ISERROR(LEN(VLOOKUP(A247,Seqs!A:E,2,FALSE))-AL247),"-",LEN(VLOOKUP(A247,Seqs!A:E,2,FALSE))-AL247)</f>
        <v>22</v>
      </c>
      <c r="BB247" s="16">
        <f t="shared" si="129"/>
        <v>28</v>
      </c>
      <c r="BC247" s="9">
        <f t="shared" si="130"/>
        <v>20</v>
      </c>
      <c r="BD247" s="3">
        <f t="shared" si="131"/>
        <v>28</v>
      </c>
      <c r="BE247" s="3">
        <f t="shared" si="132"/>
        <v>64</v>
      </c>
      <c r="BF247" s="3">
        <f t="shared" si="145"/>
        <v>35</v>
      </c>
    </row>
    <row r="248" spans="1:58" s="3" customFormat="1" x14ac:dyDescent="0.2">
      <c r="A248" s="3" t="s">
        <v>394</v>
      </c>
      <c r="B248" s="3" t="str">
        <f>LOWER(VLOOKUP(A248,Xtal_Templ!A:B,2,FALSE))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46"/>
        <v>54</v>
      </c>
      <c r="G248" s="3">
        <v>56</v>
      </c>
      <c r="H248" s="3">
        <f t="shared" si="147"/>
        <v>57</v>
      </c>
      <c r="I248" s="3">
        <f t="shared" si="14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42"/>
        <v>90</v>
      </c>
      <c r="M248" s="3">
        <v>91</v>
      </c>
      <c r="N248" s="3">
        <f t="shared" si="143"/>
        <v>93</v>
      </c>
      <c r="O248" s="3">
        <f t="shared" si="13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0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4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33"/>
        <v>1</v>
      </c>
      <c r="AO248" s="3" t="str">
        <f>IF(ISERROR(MATCH(A248,'SegEnds_Xtal_Prot#'!B:B, 0)), "NoXtal", "Xtal")</f>
        <v>NoXtal</v>
      </c>
      <c r="AP248" s="3">
        <f t="shared" si="118"/>
        <v>1</v>
      </c>
      <c r="AQ248" s="3">
        <f t="shared" si="119"/>
        <v>1</v>
      </c>
      <c r="AR248" s="3">
        <f t="shared" si="120"/>
        <v>3</v>
      </c>
      <c r="AS248" s="3">
        <f t="shared" si="121"/>
        <v>1</v>
      </c>
      <c r="AT248" s="3">
        <f t="shared" si="122"/>
        <v>1</v>
      </c>
      <c r="AU248" s="3">
        <f t="shared" si="123"/>
        <v>1</v>
      </c>
      <c r="AV248" s="3">
        <f t="shared" si="124"/>
        <v>15</v>
      </c>
      <c r="AW248" s="3">
        <f t="shared" si="125"/>
        <v>3</v>
      </c>
      <c r="AX248" s="3">
        <f t="shared" si="126"/>
        <v>26</v>
      </c>
      <c r="AY248" s="3">
        <f t="shared" si="127"/>
        <v>6</v>
      </c>
      <c r="AZ248" s="3">
        <f t="shared" si="128"/>
        <v>1</v>
      </c>
      <c r="BA248" s="3">
        <f>IF(ISERROR(LEN(VLOOKUP(A248,Seqs!A:E,2,FALSE))-AL248),"-",LEN(VLOOKUP(A248,Seqs!A:E,2,FALSE))-AL248)</f>
        <v>62</v>
      </c>
      <c r="BB248" s="16">
        <f t="shared" si="129"/>
        <v>28</v>
      </c>
      <c r="BC248" s="9">
        <f t="shared" si="130"/>
        <v>20</v>
      </c>
      <c r="BD248" s="3">
        <f t="shared" si="131"/>
        <v>28</v>
      </c>
      <c r="BE248" s="3">
        <f t="shared" si="132"/>
        <v>78</v>
      </c>
    </row>
    <row r="249" spans="1:58" s="3" customFormat="1" x14ac:dyDescent="0.2">
      <c r="A249" s="3" t="s">
        <v>395</v>
      </c>
      <c r="B249" s="3" t="str">
        <f>LOWER(VLOOKUP(A249,Xtal_Templ!A:B,2,FALSE))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46"/>
        <v>444</v>
      </c>
      <c r="G249" s="3">
        <v>446</v>
      </c>
      <c r="H249" s="3">
        <f t="shared" si="147"/>
        <v>447</v>
      </c>
      <c r="I249" s="3">
        <f t="shared" si="14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42"/>
        <v>487</v>
      </c>
      <c r="M249" s="3">
        <v>488</v>
      </c>
      <c r="N249" s="3">
        <f t="shared" si="143"/>
        <v>490</v>
      </c>
      <c r="O249" s="3">
        <f t="shared" si="13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0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4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33"/>
        <v>1</v>
      </c>
      <c r="AO249" s="3" t="str">
        <f>IF(ISERROR(MATCH(A249,'SegEnds_Xtal_Prot#'!B:B, 0)), "NoXtal", "Xtal")</f>
        <v>NoXtal</v>
      </c>
      <c r="AP249" s="3">
        <f t="shared" si="118"/>
        <v>2</v>
      </c>
      <c r="AQ249" s="3">
        <f t="shared" si="119"/>
        <v>1</v>
      </c>
      <c r="AR249" s="3">
        <f t="shared" si="120"/>
        <v>10</v>
      </c>
      <c r="AS249" s="3">
        <f t="shared" si="121"/>
        <v>1</v>
      </c>
      <c r="AT249" s="3">
        <f t="shared" si="122"/>
        <v>1</v>
      </c>
      <c r="AU249" s="3">
        <f t="shared" si="123"/>
        <v>1</v>
      </c>
      <c r="AV249" s="3">
        <f t="shared" si="124"/>
        <v>10</v>
      </c>
      <c r="AW249" s="3">
        <f t="shared" si="125"/>
        <v>6</v>
      </c>
      <c r="AX249" s="3">
        <f t="shared" si="126"/>
        <v>5</v>
      </c>
      <c r="AY249" s="3">
        <f t="shared" si="127"/>
        <v>6</v>
      </c>
      <c r="AZ249" s="3">
        <f t="shared" si="128"/>
        <v>1</v>
      </c>
      <c r="BA249" s="3">
        <f>IF(ISERROR(LEN(VLOOKUP(A249,Seqs!A:E,2,FALSE))-AL249),"-",LEN(VLOOKUP(A249,Seqs!A:E,2,FALSE))-AL249)</f>
        <v>60</v>
      </c>
      <c r="BB249" s="16">
        <f t="shared" si="129"/>
        <v>28</v>
      </c>
      <c r="BC249" s="9">
        <f t="shared" si="130"/>
        <v>20</v>
      </c>
      <c r="BD249" s="3">
        <f t="shared" si="131"/>
        <v>28</v>
      </c>
      <c r="BE249" s="3">
        <f t="shared" si="132"/>
        <v>46</v>
      </c>
    </row>
    <row r="250" spans="1:58" s="3" customFormat="1" x14ac:dyDescent="0.2">
      <c r="A250" s="3" t="s">
        <v>399</v>
      </c>
      <c r="B250" s="3" t="str">
        <f>LOWER(VLOOKUP(A250,Xtal_Templ!A:B,2,FALSE))</f>
        <v>mtr1b_human</v>
      </c>
      <c r="C250" s="3">
        <f>VLOOKUP($A250,'SegEnds_NonXtal_BW#'!$A:$Z,3,FALSE)+D250-50</f>
        <v>35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46"/>
        <v>67</v>
      </c>
      <c r="G250" s="3">
        <v>69</v>
      </c>
      <c r="H250" s="3">
        <f t="shared" si="147"/>
        <v>70</v>
      </c>
      <c r="I250" s="3">
        <f t="shared" si="14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42"/>
        <v>102</v>
      </c>
      <c r="M250" s="3">
        <v>103</v>
      </c>
      <c r="N250" s="3">
        <f t="shared" si="143"/>
        <v>105</v>
      </c>
      <c r="O250" s="3">
        <f t="shared" si="13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0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44"/>
        <v>194</v>
      </c>
      <c r="AA250" s="3">
        <f>IF(ISERROR(VLOOKUP($A250,'SegEnds_NonXtal_BW#'!$A:$Z,19,FALSE)+VLOOKUP($A250,A:AL,28,FALSE)-50),"-",(VLOOKUP($A250,'SegEnds_NonXtal_BW#'!$A:$Z,19,FALSE)+VLOOKUP($A250,A:AL,28,FALSE)-50))</f>
        <v>202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345</v>
      </c>
      <c r="AM250" s="28" t="str">
        <f>VLOOKUP(A250,Classification!A:B,2,FALSE)</f>
        <v>A</v>
      </c>
      <c r="AN250" s="28" t="b">
        <f t="shared" si="133"/>
        <v>1</v>
      </c>
      <c r="AO250" s="3" t="str">
        <f>IF(ISERROR(MATCH(A250,'SegEnds_Xtal_Prot#'!B:B, 0)), "NoXtal", "Xtal")</f>
        <v>NoXtal</v>
      </c>
      <c r="AP250" s="3">
        <f t="shared" si="118"/>
        <v>2</v>
      </c>
      <c r="AQ250" s="3">
        <f t="shared" si="119"/>
        <v>1</v>
      </c>
      <c r="AR250" s="3">
        <f t="shared" si="120"/>
        <v>1</v>
      </c>
      <c r="AS250" s="3">
        <f t="shared" si="121"/>
        <v>1</v>
      </c>
      <c r="AT250" s="3">
        <f t="shared" si="122"/>
        <v>1</v>
      </c>
      <c r="AU250" s="3">
        <f t="shared" si="123"/>
        <v>1</v>
      </c>
      <c r="AV250" s="3">
        <f t="shared" si="124"/>
        <v>14</v>
      </c>
      <c r="AW250" s="3">
        <f t="shared" si="125"/>
        <v>8</v>
      </c>
      <c r="AX250" s="3">
        <f t="shared" si="126"/>
        <v>17</v>
      </c>
      <c r="AY250" s="3">
        <f t="shared" si="127"/>
        <v>6</v>
      </c>
      <c r="AZ250" s="3">
        <f t="shared" si="128"/>
        <v>1</v>
      </c>
      <c r="BA250" s="3">
        <f>IF(ISERROR(LEN(VLOOKUP(A250,Seqs!A:E,2,FALSE))-AL250),"-",LEN(VLOOKUP(A250,Seqs!A:E,2,FALSE))-AL250)</f>
        <v>26</v>
      </c>
      <c r="BB250" s="16">
        <f t="shared" si="129"/>
        <v>30</v>
      </c>
      <c r="BC250" s="9">
        <f t="shared" si="130"/>
        <v>20</v>
      </c>
      <c r="BD250" s="3">
        <f t="shared" si="131"/>
        <v>30</v>
      </c>
      <c r="BE250" s="3">
        <f t="shared" si="132"/>
        <v>69</v>
      </c>
    </row>
    <row r="251" spans="1:58" s="3" customFormat="1" x14ac:dyDescent="0.2">
      <c r="A251" s="3" t="s">
        <v>400</v>
      </c>
      <c r="B251" s="3" t="str">
        <f>LOWER(VLOOKUP(A251,Xtal_Templ!A:B,2,FALSE))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46"/>
        <v>60</v>
      </c>
      <c r="G251" s="3">
        <v>62</v>
      </c>
      <c r="H251" s="3">
        <f t="shared" si="147"/>
        <v>63</v>
      </c>
      <c r="I251" s="3">
        <f t="shared" si="14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42"/>
        <v>94</v>
      </c>
      <c r="M251" s="3">
        <v>95</v>
      </c>
      <c r="N251" s="3">
        <f t="shared" si="143"/>
        <v>97</v>
      </c>
      <c r="O251" s="3">
        <f t="shared" si="13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0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4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33"/>
        <v>1</v>
      </c>
      <c r="AO251" s="3" t="str">
        <f>IF(ISERROR(MATCH(A251,'SegEnds_Xtal_Prot#'!B:B, 0)), "NoXtal", "Xtal")</f>
        <v>NoXtal</v>
      </c>
      <c r="AP251" s="3">
        <f t="shared" si="118"/>
        <v>1</v>
      </c>
      <c r="AQ251" s="3">
        <f t="shared" si="119"/>
        <v>1</v>
      </c>
      <c r="AR251" s="3">
        <f t="shared" si="120"/>
        <v>1</v>
      </c>
      <c r="AS251" s="3">
        <f t="shared" si="121"/>
        <v>1</v>
      </c>
      <c r="AT251" s="3">
        <f t="shared" si="122"/>
        <v>1</v>
      </c>
      <c r="AU251" s="3">
        <f t="shared" si="123"/>
        <v>1</v>
      </c>
      <c r="AV251" s="3">
        <f t="shared" si="124"/>
        <v>7</v>
      </c>
      <c r="AW251" s="3">
        <f t="shared" si="125"/>
        <v>5</v>
      </c>
      <c r="AX251" s="3">
        <f t="shared" si="126"/>
        <v>5</v>
      </c>
      <c r="AY251" s="3">
        <f t="shared" si="127"/>
        <v>4</v>
      </c>
      <c r="AZ251" s="3">
        <f t="shared" si="128"/>
        <v>1</v>
      </c>
      <c r="BA251" s="3">
        <f>IF(ISERROR(LEN(VLOOKUP(A251,Seqs!A:E,2,FALSE))-AL251),"-",LEN(VLOOKUP(A251,Seqs!A:E,2,FALSE))-AL251)</f>
        <v>30</v>
      </c>
      <c r="BB251" s="16">
        <f t="shared" si="129"/>
        <v>28</v>
      </c>
      <c r="BC251" s="9">
        <f t="shared" si="130"/>
        <v>20</v>
      </c>
      <c r="BD251" s="3">
        <f t="shared" si="131"/>
        <v>28</v>
      </c>
      <c r="BE251" s="3">
        <f t="shared" si="132"/>
        <v>43</v>
      </c>
    </row>
    <row r="252" spans="1:58" s="3" customFormat="1" x14ac:dyDescent="0.2">
      <c r="A252" s="3" t="s">
        <v>178</v>
      </c>
      <c r="B252" s="3" t="str">
        <f>LOWER(VLOOKUP(A252,Xtal_Templ!A:B,2,FALSE))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46"/>
        <v>67</v>
      </c>
      <c r="G252" s="3">
        <v>69</v>
      </c>
      <c r="H252" s="3">
        <f t="shared" si="147"/>
        <v>70</v>
      </c>
      <c r="I252" s="3">
        <f t="shared" si="14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102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0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4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33"/>
        <v>1</v>
      </c>
      <c r="AO252" s="3" t="str">
        <f>IF(ISERROR(MATCH(A252,'SegEnds_Xtal_Prot#'!B:B, 0)), "NoXtal", "Xtal")</f>
        <v>NoXtal</v>
      </c>
      <c r="AP252" s="3">
        <f t="shared" si="118"/>
        <v>1</v>
      </c>
      <c r="AQ252" s="3">
        <f t="shared" si="119"/>
        <v>1</v>
      </c>
      <c r="AR252" s="3" t="str">
        <f t="shared" si="120"/>
        <v>-</v>
      </c>
      <c r="AS252" s="3" t="str">
        <f t="shared" si="121"/>
        <v>-</v>
      </c>
      <c r="AT252" s="3">
        <f t="shared" si="122"/>
        <v>1</v>
      </c>
      <c r="AU252" s="3">
        <f t="shared" si="123"/>
        <v>1</v>
      </c>
      <c r="AV252" s="3">
        <f t="shared" si="124"/>
        <v>11</v>
      </c>
      <c r="AW252" s="3">
        <f t="shared" si="125"/>
        <v>9</v>
      </c>
      <c r="AX252" s="3">
        <f t="shared" si="126"/>
        <v>4</v>
      </c>
      <c r="AY252" s="3">
        <f t="shared" si="127"/>
        <v>4</v>
      </c>
      <c r="AZ252" s="3">
        <f t="shared" si="128"/>
        <v>1</v>
      </c>
      <c r="BA252" s="3">
        <f>IF(ISERROR(LEN(VLOOKUP(A252,Seqs!A:E,2,FALSE))-AL252),"-",LEN(VLOOKUP(A252,Seqs!A:E,2,FALSE))-AL252)</f>
        <v>28</v>
      </c>
      <c r="BB252" s="16">
        <f t="shared" si="129"/>
        <v>28</v>
      </c>
      <c r="BC252" s="9">
        <f t="shared" si="130"/>
        <v>21</v>
      </c>
      <c r="BD252" s="3">
        <f t="shared" si="131"/>
        <v>28</v>
      </c>
      <c r="BE252" s="3">
        <f t="shared" si="132"/>
        <v>41</v>
      </c>
      <c r="BF252" s="3">
        <f t="shared" ref="BF252:BF257" si="148">AH252-AE252</f>
        <v>44</v>
      </c>
    </row>
    <row r="253" spans="1:58" s="3" customFormat="1" x14ac:dyDescent="0.2">
      <c r="A253" s="3" t="s">
        <v>191</v>
      </c>
      <c r="B253" s="3" t="str">
        <f>LOWER(VLOOKUP(A253,Xtal_Templ!A:B,2,FALSE))</f>
        <v>drd2_human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46"/>
        <v>63</v>
      </c>
      <c r="G253" s="3">
        <v>65</v>
      </c>
      <c r="H253" s="3">
        <f t="shared" si="147"/>
        <v>66</v>
      </c>
      <c r="I253" s="3">
        <f t="shared" si="147"/>
        <v>67</v>
      </c>
      <c r="J253" s="3">
        <v>80</v>
      </c>
      <c r="K253" s="3">
        <f>VLOOKUP($A253,'SegEnds_NonXtal_BW#'!$A:$Z,8,FALSE)+VLOOKUP($A253,A:AL,10,FALSE)-50</f>
        <v>98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0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172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4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33"/>
        <v>1</v>
      </c>
      <c r="AO253" s="3" t="str">
        <f>IF(ISERROR(MATCH(A253,'SegEnds_Xtal_Prot#'!B:B, 0)), "NoXtal", "Xtal")</f>
        <v>Xtal</v>
      </c>
      <c r="AP253" s="3">
        <f t="shared" si="118"/>
        <v>1</v>
      </c>
      <c r="AQ253" s="3">
        <f t="shared" si="119"/>
        <v>1</v>
      </c>
      <c r="AR253" s="3">
        <f t="shared" si="120"/>
        <v>1</v>
      </c>
      <c r="AS253" s="3">
        <f t="shared" si="121"/>
        <v>1</v>
      </c>
      <c r="AT253" s="3">
        <f t="shared" si="122"/>
        <v>1</v>
      </c>
      <c r="AU253" s="3">
        <f t="shared" si="123"/>
        <v>1</v>
      </c>
      <c r="AV253" s="3">
        <f t="shared" si="124"/>
        <v>10</v>
      </c>
      <c r="AW253" s="3">
        <f t="shared" si="125"/>
        <v>2</v>
      </c>
      <c r="AX253" s="3">
        <f t="shared" si="126"/>
        <v>136</v>
      </c>
      <c r="AY253" s="3">
        <f t="shared" si="127"/>
        <v>5</v>
      </c>
      <c r="AZ253" s="3">
        <f t="shared" si="128"/>
        <v>1</v>
      </c>
      <c r="BA253" s="3">
        <f>IF(ISERROR(LEN(VLOOKUP(A253,Seqs!A:E,2,FALSE))-AL253),"-",LEN(VLOOKUP(A253,Seqs!A:E,2,FALSE))-AL253)</f>
        <v>1</v>
      </c>
      <c r="BB253" s="16">
        <f t="shared" si="129"/>
        <v>28</v>
      </c>
      <c r="BC253" s="9">
        <f t="shared" si="130"/>
        <v>21</v>
      </c>
      <c r="BD253" s="3">
        <f t="shared" si="131"/>
        <v>28</v>
      </c>
      <c r="BE253" s="3">
        <f t="shared" si="132"/>
        <v>187</v>
      </c>
      <c r="BF253" s="3">
        <f t="shared" si="148"/>
        <v>35</v>
      </c>
    </row>
    <row r="254" spans="1:58" s="3" customFormat="1" x14ac:dyDescent="0.2">
      <c r="A254" s="3" t="s">
        <v>248</v>
      </c>
      <c r="B254" s="3" t="str">
        <f>LOWER(VLOOKUP(A254,Xtal_Templ!A:B,2,FALSE))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46"/>
        <v>47</v>
      </c>
      <c r="G254" s="3">
        <v>49</v>
      </c>
      <c r="H254" s="3">
        <f t="shared" si="147"/>
        <v>50</v>
      </c>
      <c r="I254" s="3">
        <f t="shared" si="14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0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4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33"/>
        <v>1</v>
      </c>
      <c r="AO254" s="3" t="str">
        <f>IF(ISERROR(MATCH(A254,'SegEnds_Xtal_Prot#'!B:B, 0)), "NoXtal", "Xtal")</f>
        <v>NoXtal</v>
      </c>
      <c r="AP254" s="3">
        <f t="shared" si="118"/>
        <v>1</v>
      </c>
      <c r="AQ254" s="3">
        <f t="shared" si="119"/>
        <v>1</v>
      </c>
      <c r="AR254" s="3" t="str">
        <f t="shared" si="120"/>
        <v>-</v>
      </c>
      <c r="AS254" s="3" t="str">
        <f t="shared" si="121"/>
        <v>-</v>
      </c>
      <c r="AT254" s="3">
        <f t="shared" si="122"/>
        <v>1</v>
      </c>
      <c r="AU254" s="3">
        <f t="shared" si="123"/>
        <v>1</v>
      </c>
      <c r="AV254" s="3">
        <f t="shared" si="124"/>
        <v>9</v>
      </c>
      <c r="AW254" s="3">
        <f t="shared" si="125"/>
        <v>1</v>
      </c>
      <c r="AX254" s="3">
        <f t="shared" si="126"/>
        <v>58</v>
      </c>
      <c r="AY254" s="3">
        <f t="shared" si="127"/>
        <v>6</v>
      </c>
      <c r="AZ254" s="3">
        <f t="shared" si="128"/>
        <v>1</v>
      </c>
      <c r="BA254" s="3">
        <f>IF(ISERROR(LEN(VLOOKUP(A254,Seqs!A:E,2,FALSE))-AL254),"-",LEN(VLOOKUP(A254,Seqs!A:E,2,FALSE))-AL254)</f>
        <v>22</v>
      </c>
      <c r="BB254" s="16">
        <f t="shared" si="129"/>
        <v>28</v>
      </c>
      <c r="BC254" s="9">
        <f t="shared" si="130"/>
        <v>21</v>
      </c>
      <c r="BD254" s="3">
        <f t="shared" si="131"/>
        <v>28</v>
      </c>
      <c r="BE254" s="3">
        <f t="shared" si="132"/>
        <v>110</v>
      </c>
      <c r="BF254" s="3">
        <f t="shared" si="148"/>
        <v>36</v>
      </c>
    </row>
    <row r="255" spans="1:58" s="3" customFormat="1" x14ac:dyDescent="0.2">
      <c r="A255" s="3" t="s">
        <v>280</v>
      </c>
      <c r="B255" s="3" t="str">
        <f>LOWER(VLOOKUP(A255,Xtal_Templ!A:B,2,FALSE))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46"/>
        <v>63</v>
      </c>
      <c r="G255" s="3">
        <v>65</v>
      </c>
      <c r="H255" s="3">
        <f t="shared" si="147"/>
        <v>66</v>
      </c>
      <c r="I255" s="3">
        <f t="shared" si="14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49">M255-1</f>
        <v>99</v>
      </c>
      <c r="M255" s="3">
        <v>100</v>
      </c>
      <c r="N255" s="3">
        <f t="shared" ref="N255:N262" si="150">M255+2</f>
        <v>102</v>
      </c>
      <c r="O255" s="3">
        <f t="shared" ref="O255:O262" si="15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4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33"/>
        <v>1</v>
      </c>
      <c r="AO255" s="3" t="str">
        <f>IF(ISERROR(MATCH(A255,'SegEnds_Xtal_Prot#'!B:B, 0)), "NoXtal", "Xtal")</f>
        <v>NoXtal</v>
      </c>
      <c r="AP255" s="3">
        <f t="shared" si="118"/>
        <v>1</v>
      </c>
      <c r="AQ255" s="3">
        <f t="shared" si="119"/>
        <v>1</v>
      </c>
      <c r="AR255" s="3">
        <f t="shared" si="120"/>
        <v>2</v>
      </c>
      <c r="AS255" s="3">
        <f t="shared" si="121"/>
        <v>1</v>
      </c>
      <c r="AT255" s="3">
        <f t="shared" si="122"/>
        <v>1</v>
      </c>
      <c r="AU255" s="3">
        <f t="shared" si="123"/>
        <v>1</v>
      </c>
      <c r="AV255" s="3">
        <f t="shared" si="124"/>
        <v>15</v>
      </c>
      <c r="AW255" s="3">
        <f t="shared" si="125"/>
        <v>5</v>
      </c>
      <c r="AX255" s="3">
        <f t="shared" si="126"/>
        <v>112</v>
      </c>
      <c r="AY255" s="3">
        <f t="shared" si="127"/>
        <v>6</v>
      </c>
      <c r="AZ255" s="3">
        <f t="shared" si="128"/>
        <v>1</v>
      </c>
      <c r="BA255" s="3">
        <f>IF(ISERROR(LEN(VLOOKUP(A255,Seqs!A:E,2,FALSE))-AL255),"-",LEN(VLOOKUP(A255,Seqs!A:E,2,FALSE))-AL255)</f>
        <v>17</v>
      </c>
      <c r="BB255" s="16">
        <f t="shared" si="129"/>
        <v>28</v>
      </c>
      <c r="BC255" s="9">
        <f t="shared" si="130"/>
        <v>21</v>
      </c>
      <c r="BD255" s="3">
        <f t="shared" si="131"/>
        <v>28</v>
      </c>
      <c r="BE255" s="3">
        <f t="shared" si="132"/>
        <v>163</v>
      </c>
      <c r="BF255" s="3">
        <f t="shared" si="148"/>
        <v>36</v>
      </c>
    </row>
    <row r="256" spans="1:58" s="3" customFormat="1" x14ac:dyDescent="0.2">
      <c r="A256" s="3" t="s">
        <v>281</v>
      </c>
      <c r="B256" s="3" t="str">
        <f>LOWER(VLOOKUP(A256,Xtal_Templ!A:B,2,FALSE))</f>
        <v>acm3_rat</v>
      </c>
      <c r="C256" s="3">
        <f>VLOOKUP($A256,'SegEnds_NonXtal_BW#'!$A:$Z,3,FALSE)+D256-50</f>
        <v>11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46"/>
        <v>44</v>
      </c>
      <c r="G256" s="3">
        <v>46</v>
      </c>
      <c r="H256" s="3">
        <f t="shared" si="147"/>
        <v>47</v>
      </c>
      <c r="I256" s="3">
        <f t="shared" si="14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49"/>
        <v>79</v>
      </c>
      <c r="M256" s="3">
        <v>80</v>
      </c>
      <c r="N256" s="3">
        <f t="shared" si="150"/>
        <v>82</v>
      </c>
      <c r="O256" s="3">
        <f t="shared" si="15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0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4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375</v>
      </c>
      <c r="AM256" s="28" t="str">
        <f>VLOOKUP(A256,Classification!A:B,2,FALSE)</f>
        <v>A</v>
      </c>
      <c r="AN256" s="28" t="b">
        <f t="shared" si="133"/>
        <v>1</v>
      </c>
      <c r="AO256" s="3" t="str">
        <f>IF(ISERROR(MATCH(A256,'SegEnds_Xtal_Prot#'!B:B, 0)), "NoXtal", "Xtal")</f>
        <v>NoXtal</v>
      </c>
      <c r="AP256" s="3">
        <f t="shared" si="118"/>
        <v>1</v>
      </c>
      <c r="AQ256" s="3">
        <f t="shared" si="119"/>
        <v>1</v>
      </c>
      <c r="AR256" s="3">
        <f t="shared" si="120"/>
        <v>2</v>
      </c>
      <c r="AS256" s="3">
        <f t="shared" si="121"/>
        <v>1</v>
      </c>
      <c r="AT256" s="3">
        <f t="shared" si="122"/>
        <v>1</v>
      </c>
      <c r="AU256" s="3">
        <f t="shared" si="123"/>
        <v>1</v>
      </c>
      <c r="AV256" s="3">
        <f t="shared" si="124"/>
        <v>11</v>
      </c>
      <c r="AW256" s="3">
        <f t="shared" si="125"/>
        <v>5</v>
      </c>
      <c r="AX256" s="3">
        <f t="shared" si="126"/>
        <v>80</v>
      </c>
      <c r="AY256" s="3">
        <f t="shared" si="127"/>
        <v>7</v>
      </c>
      <c r="AZ256" s="3">
        <f t="shared" si="128"/>
        <v>1</v>
      </c>
      <c r="BA256" s="3">
        <f>IF(ISERROR(LEN(VLOOKUP(A256,Seqs!A:E,2,FALSE))-AL256),"-",LEN(VLOOKUP(A256,Seqs!A:E,2,FALSE))-AL256)</f>
        <v>15</v>
      </c>
      <c r="BB256" s="16">
        <f t="shared" si="129"/>
        <v>28</v>
      </c>
      <c r="BC256" s="9">
        <f t="shared" si="130"/>
        <v>21</v>
      </c>
      <c r="BD256" s="3">
        <f t="shared" si="131"/>
        <v>28</v>
      </c>
      <c r="BE256" s="3">
        <f t="shared" si="132"/>
        <v>132</v>
      </c>
      <c r="BF256" s="3">
        <f t="shared" si="148"/>
        <v>37</v>
      </c>
    </row>
    <row r="257" spans="1:58" s="3" customFormat="1" x14ac:dyDescent="0.2">
      <c r="A257" s="3" t="s">
        <v>348</v>
      </c>
      <c r="B257" s="3" t="str">
        <f>LOWER(VLOOKUP(A257,Xtal_Templ!A:B,2,FALSE))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46"/>
        <v>55</v>
      </c>
      <c r="G257" s="3">
        <v>57</v>
      </c>
      <c r="H257" s="3">
        <f t="shared" si="147"/>
        <v>58</v>
      </c>
      <c r="I257" s="3">
        <f t="shared" si="14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49"/>
        <v>91</v>
      </c>
      <c r="M257" s="3">
        <v>92</v>
      </c>
      <c r="N257" s="3">
        <f t="shared" si="150"/>
        <v>94</v>
      </c>
      <c r="O257" s="3">
        <f t="shared" si="15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0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4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33"/>
        <v>1</v>
      </c>
      <c r="AO257" s="3" t="str">
        <f>IF(ISERROR(MATCH(A257,'SegEnds_Xtal_Prot#'!B:B, 0)), "NoXtal", "Xtal")</f>
        <v>NoXtal</v>
      </c>
      <c r="AP257" s="3">
        <f t="shared" si="118"/>
        <v>1</v>
      </c>
      <c r="AQ257" s="3">
        <f t="shared" si="119"/>
        <v>1</v>
      </c>
      <c r="AR257" s="3">
        <f t="shared" si="120"/>
        <v>3</v>
      </c>
      <c r="AS257" s="3">
        <f t="shared" si="121"/>
        <v>1</v>
      </c>
      <c r="AT257" s="3">
        <f t="shared" si="122"/>
        <v>1</v>
      </c>
      <c r="AU257" s="3">
        <f t="shared" si="123"/>
        <v>1</v>
      </c>
      <c r="AV257" s="3">
        <f t="shared" si="124"/>
        <v>11</v>
      </c>
      <c r="AW257" s="3">
        <f t="shared" si="125"/>
        <v>7</v>
      </c>
      <c r="AX257" s="3">
        <f t="shared" si="126"/>
        <v>7</v>
      </c>
      <c r="AY257" s="3">
        <f t="shared" si="127"/>
        <v>4</v>
      </c>
      <c r="AZ257" s="3">
        <f t="shared" si="128"/>
        <v>1</v>
      </c>
      <c r="BA257" s="3">
        <f>IF(ISERROR(LEN(VLOOKUP(A257,Seqs!A:E,2,FALSE))-AL257),"-",LEN(VLOOKUP(A257,Seqs!A:E,2,FALSE))-AL257)</f>
        <v>11</v>
      </c>
      <c r="BB257" s="16">
        <f t="shared" si="129"/>
        <v>28</v>
      </c>
      <c r="BC257" s="9">
        <f t="shared" si="130"/>
        <v>21</v>
      </c>
      <c r="BD257" s="3">
        <f t="shared" si="131"/>
        <v>28</v>
      </c>
      <c r="BE257" s="3">
        <f t="shared" si="132"/>
        <v>50</v>
      </c>
      <c r="BF257" s="3">
        <f t="shared" si="148"/>
        <v>44</v>
      </c>
    </row>
    <row r="258" spans="1:58" s="3" customFormat="1" x14ac:dyDescent="0.2">
      <c r="A258" s="3" t="s">
        <v>174</v>
      </c>
      <c r="B258" s="3" t="str">
        <f>LOWER(VLOOKUP(A258,Xtal_Templ!A:B,2,FALSE))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46"/>
        <v>75</v>
      </c>
      <c r="G258" s="3">
        <v>77</v>
      </c>
      <c r="H258" s="3">
        <f t="shared" si="147"/>
        <v>78</v>
      </c>
      <c r="I258" s="3">
        <f t="shared" si="14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49"/>
        <v>110</v>
      </c>
      <c r="M258" s="3">
        <v>111</v>
      </c>
      <c r="N258" s="3">
        <f t="shared" si="150"/>
        <v>113</v>
      </c>
      <c r="O258" s="3">
        <f t="shared" si="15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0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4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33"/>
        <v>1</v>
      </c>
      <c r="AO258" s="3" t="str">
        <f>IF(ISERROR(MATCH(A258,'SegEnds_Xtal_Prot#'!B:B, 0)), "NoXtal", "Xtal")</f>
        <v>NoXtal</v>
      </c>
      <c r="AP258" s="3">
        <f t="shared" si="118"/>
        <v>1</v>
      </c>
      <c r="AQ258" s="3">
        <f t="shared" si="119"/>
        <v>1</v>
      </c>
      <c r="AR258" s="3">
        <f t="shared" si="120"/>
        <v>2</v>
      </c>
      <c r="AS258" s="3">
        <f t="shared" si="121"/>
        <v>1</v>
      </c>
      <c r="AT258" s="3">
        <f t="shared" si="122"/>
        <v>1</v>
      </c>
      <c r="AU258" s="3">
        <f t="shared" si="123"/>
        <v>2</v>
      </c>
      <c r="AV258" s="3">
        <f t="shared" si="124"/>
        <v>11</v>
      </c>
      <c r="AW258" s="3">
        <f t="shared" si="125"/>
        <v>10</v>
      </c>
      <c r="AX258" s="3">
        <f t="shared" si="126"/>
        <v>5</v>
      </c>
      <c r="AY258" s="3">
        <f t="shared" si="127"/>
        <v>3</v>
      </c>
      <c r="AZ258" s="3">
        <f t="shared" si="128"/>
        <v>1</v>
      </c>
      <c r="BA258" s="3">
        <f>IF(ISERROR(LEN(VLOOKUP(A258,Seqs!A:E,2,FALSE))-AL258),"-",LEN(VLOOKUP(A258,Seqs!A:E,2,FALSE))-AL258)</f>
        <v>34</v>
      </c>
      <c r="BB258" s="16">
        <f t="shared" si="129"/>
        <v>28</v>
      </c>
      <c r="BC258" s="9">
        <f t="shared" si="130"/>
        <v>22</v>
      </c>
      <c r="BD258" s="3">
        <f t="shared" si="131"/>
        <v>28</v>
      </c>
      <c r="BE258" s="3">
        <f t="shared" si="132"/>
        <v>43</v>
      </c>
    </row>
    <row r="259" spans="1:58" s="3" customFormat="1" x14ac:dyDescent="0.2">
      <c r="A259" s="3" t="s">
        <v>175</v>
      </c>
      <c r="B259" s="3" t="str">
        <f>LOWER(VLOOKUP(A259,Xtal_Templ!A:B,2,FALSE))</f>
        <v>ccr9_human</v>
      </c>
      <c r="C259" s="3">
        <f>VLOOKUP($A259,'SegEnds_NonXtal_BW#'!$A:$Z,3,FALSE)+D259-50</f>
        <v>53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46"/>
        <v>87</v>
      </c>
      <c r="G259" s="3">
        <v>89</v>
      </c>
      <c r="H259" s="3">
        <f t="shared" si="147"/>
        <v>90</v>
      </c>
      <c r="I259" s="3">
        <f t="shared" si="14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49"/>
        <v>121</v>
      </c>
      <c r="M259" s="3">
        <v>122</v>
      </c>
      <c r="N259" s="3">
        <f t="shared" si="150"/>
        <v>124</v>
      </c>
      <c r="O259" s="3">
        <f t="shared" si="15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0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4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350</v>
      </c>
      <c r="AM259" s="28" t="str">
        <f>VLOOKUP(A259,Classification!A:B,2,FALSE)</f>
        <v>A</v>
      </c>
      <c r="AN259" s="28" t="b">
        <f t="shared" si="133"/>
        <v>1</v>
      </c>
      <c r="AO259" s="3" t="str">
        <f>IF(ISERROR(MATCH(A259,'SegEnds_Xtal_Prot#'!B:B, 0)), "NoXtal", "Xtal")</f>
        <v>NoXtal</v>
      </c>
      <c r="AP259" s="3">
        <f t="shared" si="118"/>
        <v>1</v>
      </c>
      <c r="AQ259" s="3">
        <f t="shared" si="119"/>
        <v>1</v>
      </c>
      <c r="AR259" s="3">
        <f t="shared" si="120"/>
        <v>1</v>
      </c>
      <c r="AS259" s="3">
        <f t="shared" si="121"/>
        <v>1</v>
      </c>
      <c r="AT259" s="3">
        <f t="shared" si="122"/>
        <v>1</v>
      </c>
      <c r="AU259" s="3">
        <f t="shared" si="123"/>
        <v>2</v>
      </c>
      <c r="AV259" s="3">
        <f t="shared" si="124"/>
        <v>13</v>
      </c>
      <c r="AW259" s="3">
        <f t="shared" si="125"/>
        <v>6</v>
      </c>
      <c r="AX259" s="3">
        <f t="shared" si="126"/>
        <v>5</v>
      </c>
      <c r="AY259" s="3">
        <f t="shared" si="127"/>
        <v>4</v>
      </c>
      <c r="AZ259" s="3">
        <f t="shared" si="128"/>
        <v>1</v>
      </c>
      <c r="BA259" s="3">
        <f>IF(ISERROR(LEN(VLOOKUP(A259,Seqs!A:E,2,FALSE))-AL259),"-",LEN(VLOOKUP(A259,Seqs!A:E,2,FALSE))-AL259)</f>
        <v>28</v>
      </c>
      <c r="BB259" s="16">
        <f t="shared" si="129"/>
        <v>28</v>
      </c>
      <c r="BC259" s="9">
        <f t="shared" si="130"/>
        <v>22</v>
      </c>
      <c r="BD259" s="3">
        <f t="shared" si="131"/>
        <v>28</v>
      </c>
      <c r="BE259" s="3">
        <f t="shared" si="132"/>
        <v>43</v>
      </c>
    </row>
    <row r="260" spans="1:58" s="3" customFormat="1" x14ac:dyDescent="0.2">
      <c r="A260" s="3" t="s">
        <v>177</v>
      </c>
      <c r="B260" s="3" t="str">
        <f>LOWER(VLOOKUP(A260,Xtal_Templ!A:B,2,FALSE))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46"/>
        <v>77</v>
      </c>
      <c r="G260" s="3">
        <v>79</v>
      </c>
      <c r="H260" s="3">
        <f t="shared" si="147"/>
        <v>80</v>
      </c>
      <c r="I260" s="3">
        <f t="shared" si="14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49"/>
        <v>111</v>
      </c>
      <c r="M260" s="3">
        <v>112</v>
      </c>
      <c r="N260" s="3">
        <f t="shared" si="150"/>
        <v>114</v>
      </c>
      <c r="O260" s="3">
        <f t="shared" si="15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0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4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33"/>
        <v>1</v>
      </c>
      <c r="AO260" s="3" t="str">
        <f>IF(ISERROR(MATCH(A260,'SegEnds_Xtal_Prot#'!B:B, 0)), "NoXtal", "Xtal")</f>
        <v>Xtal</v>
      </c>
      <c r="AP260" s="3">
        <f t="shared" ref="AP260:AP324" si="152">IF(ISERROR(F260-E260),"-",F260-E260)</f>
        <v>1</v>
      </c>
      <c r="AQ260" s="3">
        <f t="shared" ref="AQ260:AQ324" si="153">IF(ISERROR(I260-H260),"-",I260-H260)</f>
        <v>1</v>
      </c>
      <c r="AR260" s="3">
        <f t="shared" ref="AR260:AR324" si="154">IF(ISERROR(L260-K260),"-",L260-K260)</f>
        <v>1</v>
      </c>
      <c r="AS260" s="3">
        <f t="shared" ref="AS260:AS324" si="155">IF(ISERROR(O260-N260),"-",O260-N260)</f>
        <v>1</v>
      </c>
      <c r="AT260" s="3">
        <f t="shared" ref="AT260:AT324" si="156">IF(ISERROR(R260-Q260),"-",R260-Q260)</f>
        <v>1</v>
      </c>
      <c r="AU260" s="3">
        <f t="shared" ref="AU260:AU324" si="157">IF(ISERROR(U260-T260),"-",U260-T260)</f>
        <v>1</v>
      </c>
      <c r="AV260" s="3">
        <f t="shared" ref="AV260:AV324" si="158">IF(ISERROR(X260-W260),"-",X260-W260)</f>
        <v>11</v>
      </c>
      <c r="AW260" s="3">
        <f t="shared" ref="AW260:AW324" si="159">IF(ISERROR(AA260-Z260),"-",AA260-Z260)</f>
        <v>9</v>
      </c>
      <c r="AX260" s="3">
        <f t="shared" ref="AX260:AX324" si="160">IF(ISERROR(AD260-AC260),"-",AD260-AC260)</f>
        <v>5</v>
      </c>
      <c r="AY260" s="3">
        <f t="shared" ref="AY260:AY324" si="161">IF(ISERROR(AG260-AF260),"-",AG260-AF260)</f>
        <v>4</v>
      </c>
      <c r="AZ260" s="3">
        <f t="shared" ref="AZ260:AZ324" si="16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4" si="163">J260-D260</f>
        <v>28</v>
      </c>
      <c r="BC260" s="9">
        <f t="shared" ref="BC260:BC324" si="164">IF(ISERROR(V260-S260),"-",V260-S260)</f>
        <v>22</v>
      </c>
      <c r="BD260" s="3">
        <f t="shared" ref="BD260:BD324" si="165">J260-D260</f>
        <v>28</v>
      </c>
      <c r="BE260" s="3">
        <f t="shared" ref="BE260:BE324" si="166">AE260-AB260</f>
        <v>43</v>
      </c>
    </row>
    <row r="261" spans="1:58" s="3" customFormat="1" x14ac:dyDescent="0.2">
      <c r="A261" s="3" t="s">
        <v>189</v>
      </c>
      <c r="B261" s="3" t="str">
        <f>LOWER(VLOOKUP(A261,Xtal_Templ!A:B,2,FALSE))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46"/>
        <v>60</v>
      </c>
      <c r="G261" s="3">
        <v>62</v>
      </c>
      <c r="H261" s="3">
        <f t="shared" si="147"/>
        <v>63</v>
      </c>
      <c r="I261" s="3">
        <f t="shared" si="14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49"/>
        <v>94</v>
      </c>
      <c r="M261" s="3">
        <v>95</v>
      </c>
      <c r="N261" s="3">
        <f t="shared" si="150"/>
        <v>97</v>
      </c>
      <c r="O261" s="3">
        <f t="shared" si="15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0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4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259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5" si="16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52"/>
        <v>1</v>
      </c>
      <c r="AQ261" s="3">
        <f t="shared" si="153"/>
        <v>1</v>
      </c>
      <c r="AR261" s="3">
        <f t="shared" si="154"/>
        <v>1</v>
      </c>
      <c r="AS261" s="3">
        <f t="shared" si="155"/>
        <v>1</v>
      </c>
      <c r="AT261" s="3">
        <f t="shared" si="156"/>
        <v>1</v>
      </c>
      <c r="AU261" s="3">
        <f t="shared" si="157"/>
        <v>2</v>
      </c>
      <c r="AV261" s="3">
        <f t="shared" si="158"/>
        <v>10</v>
      </c>
      <c r="AW261" s="3">
        <f t="shared" si="159"/>
        <v>4</v>
      </c>
      <c r="AX261" s="3">
        <f t="shared" si="160"/>
        <v>5</v>
      </c>
      <c r="AY261" s="3">
        <f t="shared" si="161"/>
        <v>2</v>
      </c>
      <c r="AZ261" s="3">
        <f t="shared" si="162"/>
        <v>1</v>
      </c>
      <c r="BA261" s="3">
        <f>IF(ISERROR(LEN(VLOOKUP(A261,Seqs!A:E,2,FALSE))-AL261),"-",LEN(VLOOKUP(A261,Seqs!A:E,2,FALSE))-AL261)</f>
        <v>30</v>
      </c>
      <c r="BB261" s="16">
        <f t="shared" si="163"/>
        <v>28</v>
      </c>
      <c r="BC261" s="9">
        <f t="shared" si="164"/>
        <v>22</v>
      </c>
      <c r="BD261" s="3">
        <f t="shared" si="165"/>
        <v>28</v>
      </c>
      <c r="BE261" s="3">
        <f t="shared" si="166"/>
        <v>43</v>
      </c>
    </row>
    <row r="262" spans="1:58" s="3" customFormat="1" x14ac:dyDescent="0.2">
      <c r="A262" s="3" t="s">
        <v>192</v>
      </c>
      <c r="B262" s="3" t="str">
        <f>LOWER(VLOOKUP(A262,Xtal_Templ!A:B,2,FALSE))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46"/>
        <v>58</v>
      </c>
      <c r="G262" s="3">
        <v>60</v>
      </c>
      <c r="H262" s="3">
        <f t="shared" si="147"/>
        <v>61</v>
      </c>
      <c r="I262" s="3">
        <f t="shared" si="14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49"/>
        <v>95</v>
      </c>
      <c r="M262" s="3">
        <v>96</v>
      </c>
      <c r="N262" s="3">
        <f t="shared" si="150"/>
        <v>98</v>
      </c>
      <c r="O262" s="3">
        <f t="shared" si="15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0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4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167"/>
        <v>1</v>
      </c>
      <c r="AO262" s="3" t="str">
        <f>IF(ISERROR(MATCH(A262,'SegEnds_Xtal_Prot#'!B:B, 0)), "NoXtal", "Xtal")</f>
        <v>Xtal</v>
      </c>
      <c r="AP262" s="3">
        <f t="shared" si="152"/>
        <v>1</v>
      </c>
      <c r="AQ262" s="3">
        <f t="shared" si="153"/>
        <v>1</v>
      </c>
      <c r="AR262" s="3">
        <f t="shared" si="154"/>
        <v>3</v>
      </c>
      <c r="AS262" s="3">
        <f t="shared" si="155"/>
        <v>1</v>
      </c>
      <c r="AT262" s="3">
        <f t="shared" si="156"/>
        <v>1</v>
      </c>
      <c r="AU262" s="3">
        <f t="shared" si="157"/>
        <v>3</v>
      </c>
      <c r="AV262" s="3">
        <f t="shared" si="158"/>
        <v>10</v>
      </c>
      <c r="AW262" s="3">
        <f t="shared" si="159"/>
        <v>2</v>
      </c>
      <c r="AX262" s="3">
        <f t="shared" si="160"/>
        <v>92</v>
      </c>
      <c r="AY262" s="3">
        <f t="shared" si="161"/>
        <v>7</v>
      </c>
      <c r="AZ262" s="3">
        <f t="shared" si="162"/>
        <v>1</v>
      </c>
      <c r="BA262" s="3">
        <f>IF(ISERROR(LEN(VLOOKUP(A262,Seqs!A:E,2,FALSE))-AL262),"-",LEN(VLOOKUP(A262,Seqs!A:E,2,FALSE))-AL262)</f>
        <v>1</v>
      </c>
      <c r="BB262" s="16">
        <f t="shared" si="163"/>
        <v>28</v>
      </c>
      <c r="BC262" s="9">
        <f t="shared" si="164"/>
        <v>23</v>
      </c>
      <c r="BD262" s="3">
        <f t="shared" si="165"/>
        <v>28</v>
      </c>
      <c r="BE262" s="3">
        <f t="shared" si="16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LOWER(VLOOKUP(A263,Xtal_Templ!A:B,2,FALSE))</f>
        <v>c5ar1_human</v>
      </c>
      <c r="C263" s="3">
        <f>VLOOKUP($A263,'SegEnds_NonXtal_BW#'!$A:$Z,3,FALSE)+D263-50</f>
        <v>55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0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44"/>
        <v>197</v>
      </c>
      <c r="AA263" s="3">
        <f>IF(ISERROR(VLOOKUP($A263,'SegEnds_NonXtal_BW#'!$A:$Z,19,FALSE)+VLOOKUP($A263,A:AL,28,FALSE)-50),"-",(VLOOKUP($A263,'SegEnds_NonXtal_BW#'!$A:$Z,19,FALSE)+VLOOKUP($A263,A:AL,28,FALSE)-50))</f>
        <v>199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317</v>
      </c>
      <c r="AM263" s="28" t="str">
        <f>VLOOKUP(A263,Classification!A:B,2,FALSE)</f>
        <v>A</v>
      </c>
      <c r="AN263" s="28" t="b">
        <f t="shared" si="167"/>
        <v>1</v>
      </c>
      <c r="AO263" s="3" t="str">
        <f>IF(ISERROR(MATCH(A263,'SegEnds_Xtal_Prot#'!B:B, 0)), "NoXtal", "Xtal")</f>
        <v>NoXtal</v>
      </c>
      <c r="AP263" s="3" t="str">
        <f t="shared" si="152"/>
        <v>-</v>
      </c>
      <c r="AQ263" s="3" t="str">
        <f t="shared" si="153"/>
        <v>-</v>
      </c>
      <c r="AR263" s="3" t="str">
        <f t="shared" si="154"/>
        <v>-</v>
      </c>
      <c r="AS263" s="3" t="str">
        <f t="shared" si="155"/>
        <v>-</v>
      </c>
      <c r="AT263" s="3" t="str">
        <f t="shared" si="156"/>
        <v>-</v>
      </c>
      <c r="AU263" s="3" t="str">
        <f t="shared" si="157"/>
        <v>-</v>
      </c>
      <c r="AV263" s="3">
        <f t="shared" si="158"/>
        <v>7</v>
      </c>
      <c r="AW263" s="3">
        <f t="shared" si="159"/>
        <v>2</v>
      </c>
      <c r="AX263" s="3">
        <f t="shared" si="160"/>
        <v>7</v>
      </c>
      <c r="AY263" s="3">
        <f t="shared" si="161"/>
        <v>6</v>
      </c>
      <c r="AZ263" s="3">
        <f t="shared" si="162"/>
        <v>1</v>
      </c>
      <c r="BA263" s="3">
        <f>IF(ISERROR(LEN(VLOOKUP(A263,Seqs!A:E,2,FALSE))-AL263),"-",LEN(VLOOKUP(A263,Seqs!A:E,2,FALSE))-AL263)</f>
        <v>19</v>
      </c>
      <c r="BB263" s="16">
        <f t="shared" si="163"/>
        <v>30</v>
      </c>
      <c r="BC263" s="9" t="str">
        <f t="shared" si="164"/>
        <v>-</v>
      </c>
      <c r="BD263" s="3">
        <f t="shared" si="165"/>
        <v>30</v>
      </c>
      <c r="BE263" s="3">
        <f t="shared" si="16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LOWER(VLOOKUP(A264,Xtal_Templ!A:B,2,FALSE))</f>
        <v>agtr1_human</v>
      </c>
      <c r="C264" s="3">
        <f>VLOOKUP($A264,'SegEnds_NonXtal_BW#'!$A:$Z,3,FALSE)+D264-50</f>
        <v>40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168">G264+1</f>
        <v>76</v>
      </c>
      <c r="I264" s="3">
        <f t="shared" si="16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0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4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167"/>
        <v>1</v>
      </c>
      <c r="AO264" s="3" t="str">
        <f>IF(ISERROR(MATCH(A264,'SegEnds_Xtal_Prot#'!B:B, 0)), "NoXtal", "Xtal")</f>
        <v>NoXtal</v>
      </c>
      <c r="AP264" s="3">
        <f t="shared" si="152"/>
        <v>1</v>
      </c>
      <c r="AQ264" s="3">
        <f t="shared" si="153"/>
        <v>1</v>
      </c>
      <c r="AR264" s="3">
        <f t="shared" si="154"/>
        <v>3</v>
      </c>
      <c r="AS264" s="3">
        <f t="shared" si="155"/>
        <v>1</v>
      </c>
      <c r="AT264" s="3" t="str">
        <f t="shared" si="156"/>
        <v>-</v>
      </c>
      <c r="AU264" s="3" t="str">
        <f t="shared" si="157"/>
        <v>-</v>
      </c>
      <c r="AV264" s="3">
        <f t="shared" si="158"/>
        <v>13</v>
      </c>
      <c r="AW264" s="3">
        <f t="shared" si="159"/>
        <v>10</v>
      </c>
      <c r="AX264" s="3">
        <f t="shared" si="160"/>
        <v>5</v>
      </c>
      <c r="AY264" s="3">
        <f t="shared" si="161"/>
        <v>5</v>
      </c>
      <c r="AZ264" s="3">
        <f t="shared" si="162"/>
        <v>1</v>
      </c>
      <c r="BA264" s="3">
        <f>IF(ISERROR(LEN(VLOOKUP(A264,Seqs!A:E,2,FALSE))-AL264),"-",LEN(VLOOKUP(A264,Seqs!A:E,2,FALSE))-AL264)</f>
        <v>29</v>
      </c>
      <c r="BB264" s="16">
        <f t="shared" si="163"/>
        <v>28</v>
      </c>
      <c r="BC264" s="9" t="str">
        <f t="shared" si="164"/>
        <v>-</v>
      </c>
      <c r="BD264" s="3">
        <f t="shared" si="165"/>
        <v>28</v>
      </c>
      <c r="BE264" s="3">
        <f t="shared" si="16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LOWER(VLOOKUP(A265,Xtal_Templ!A:B,2,FALSE))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168"/>
        <v>73</v>
      </c>
      <c r="I265" s="3">
        <f t="shared" si="16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4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167"/>
        <v>1</v>
      </c>
      <c r="AO265" s="3" t="str">
        <f>IF(ISERROR(MATCH(A265,'SegEnds_Xtal_Prot#'!B:B, 0)), "NoXtal", "Xtal")</f>
        <v>NoXtal</v>
      </c>
      <c r="AP265" s="3">
        <f t="shared" si="152"/>
        <v>1</v>
      </c>
      <c r="AQ265" s="3">
        <f t="shared" si="153"/>
        <v>1</v>
      </c>
      <c r="AR265" s="3">
        <f t="shared" si="154"/>
        <v>1</v>
      </c>
      <c r="AS265" s="3">
        <f t="shared" si="155"/>
        <v>1</v>
      </c>
      <c r="AT265" s="3" t="str">
        <f t="shared" si="156"/>
        <v>-</v>
      </c>
      <c r="AU265" s="3" t="str">
        <f t="shared" si="157"/>
        <v>-</v>
      </c>
      <c r="AV265" s="3">
        <f t="shared" si="158"/>
        <v>8</v>
      </c>
      <c r="AW265" s="3">
        <f t="shared" si="159"/>
        <v>9</v>
      </c>
      <c r="AX265" s="3">
        <f t="shared" si="160"/>
        <v>5</v>
      </c>
      <c r="AY265" s="3">
        <f t="shared" si="161"/>
        <v>5</v>
      </c>
      <c r="AZ265" s="3">
        <f t="shared" si="162"/>
        <v>1</v>
      </c>
      <c r="BA265" s="3">
        <f>IF(ISERROR(LEN(VLOOKUP(A265,Seqs!A:E,2,FALSE))-AL265),"-",LEN(VLOOKUP(A265,Seqs!A:E,2,FALSE))-AL265)</f>
        <v>23</v>
      </c>
      <c r="BB265" s="16">
        <f t="shared" si="163"/>
        <v>28</v>
      </c>
      <c r="BC265" s="9" t="str">
        <f t="shared" si="164"/>
        <v>-</v>
      </c>
      <c r="BD265" s="3">
        <f t="shared" si="165"/>
        <v>28</v>
      </c>
      <c r="BE265" s="3">
        <f t="shared" si="166"/>
        <v>43</v>
      </c>
    </row>
    <row r="266" spans="1:58" s="3" customFormat="1" x14ac:dyDescent="0.2">
      <c r="A266" s="3" t="s">
        <v>169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168"/>
        <v>73</v>
      </c>
      <c r="I266" s="3">
        <f t="shared" si="16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4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167"/>
        <v>1</v>
      </c>
      <c r="AO266" s="3" t="str">
        <f>IF(ISERROR(MATCH(A266,'SegEnds_Xtal_Prot#'!B:B, 0)), "NoXtal", "Xtal")</f>
        <v>NoXtal</v>
      </c>
      <c r="AP266" s="3">
        <f t="shared" si="152"/>
        <v>1</v>
      </c>
      <c r="AQ266" s="3">
        <f t="shared" si="153"/>
        <v>1</v>
      </c>
      <c r="AR266" s="3">
        <f t="shared" si="154"/>
        <v>1</v>
      </c>
      <c r="AS266" s="3">
        <f t="shared" si="155"/>
        <v>1</v>
      </c>
      <c r="AT266" s="3" t="str">
        <f t="shared" si="156"/>
        <v>-</v>
      </c>
      <c r="AU266" s="3" t="str">
        <f t="shared" si="157"/>
        <v>-</v>
      </c>
      <c r="AV266" s="3">
        <f t="shared" si="158"/>
        <v>11</v>
      </c>
      <c r="AW266" s="3">
        <f t="shared" si="159"/>
        <v>9</v>
      </c>
      <c r="AX266" s="3">
        <f t="shared" si="160"/>
        <v>5</v>
      </c>
      <c r="AY266" s="3">
        <f t="shared" si="161"/>
        <v>4</v>
      </c>
      <c r="AZ266" s="3">
        <f t="shared" si="162"/>
        <v>1</v>
      </c>
      <c r="BA266" s="3">
        <f>IF(ISERROR(LEN(VLOOKUP(A266,Seqs!A:E,2,FALSE))-AL266),"-",LEN(VLOOKUP(A266,Seqs!A:E,2,FALSE))-AL266)</f>
        <v>28</v>
      </c>
      <c r="BB266" s="16">
        <f t="shared" si="163"/>
        <v>29</v>
      </c>
      <c r="BC266" s="9" t="str">
        <f t="shared" si="164"/>
        <v>-</v>
      </c>
      <c r="BD266" s="3">
        <f t="shared" si="165"/>
        <v>29</v>
      </c>
      <c r="BE266" s="3">
        <f t="shared" si="166"/>
        <v>43</v>
      </c>
    </row>
    <row r="267" spans="1:58" s="3" customFormat="1" x14ac:dyDescent="0.2">
      <c r="A267" s="3" t="s">
        <v>214</v>
      </c>
      <c r="B267" s="3" t="str">
        <f>LOWER(VLOOKUP(A267,Xtal_Templ!A:B,2,FALSE))</f>
        <v>par2_human</v>
      </c>
      <c r="C267" s="3">
        <f>VLOOKUP($A267,'SegEnds_NonXtal_BW#'!$A:$Z,3,FALSE)+D267-50</f>
        <v>38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179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44"/>
        <v>188</v>
      </c>
      <c r="AA267" s="3">
        <f>IF(ISERROR(VLOOKUP($A267,'SegEnds_NonXtal_BW#'!$A:$Z,19,FALSE)+VLOOKUP($A267,A:AL,28,FALSE)-50),"-",(VLOOKUP($A267,'SegEnds_NonXtal_BW#'!$A:$Z,19,FALSE)+VLOOKUP($A267,A:AL,28,FALSE)-50))</f>
        <v>192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326</v>
      </c>
      <c r="AM267" s="28" t="str">
        <f>VLOOKUP(A267,Classification!A:B,2,FALSE)</f>
        <v>A</v>
      </c>
      <c r="AN267" s="28" t="b">
        <f t="shared" si="167"/>
        <v>1</v>
      </c>
      <c r="AO267" s="3" t="str">
        <f>IF(ISERROR(MATCH(A267,'SegEnds_Xtal_Prot#'!B:B, 0)), "NoXtal", "Xtal")</f>
        <v>NoXtal</v>
      </c>
      <c r="AP267" s="3" t="str">
        <f t="shared" si="152"/>
        <v>-</v>
      </c>
      <c r="AQ267" s="3" t="str">
        <f t="shared" si="153"/>
        <v>-</v>
      </c>
      <c r="AR267" s="3">
        <f t="shared" si="154"/>
        <v>3</v>
      </c>
      <c r="AS267" s="3">
        <f t="shared" si="155"/>
        <v>1</v>
      </c>
      <c r="AT267" s="3" t="str">
        <f t="shared" si="156"/>
        <v>-</v>
      </c>
      <c r="AU267" s="3" t="str">
        <f t="shared" si="157"/>
        <v>-</v>
      </c>
      <c r="AV267" s="3">
        <f t="shared" si="158"/>
        <v>7</v>
      </c>
      <c r="AW267" s="3">
        <f t="shared" si="159"/>
        <v>4</v>
      </c>
      <c r="AX267" s="3">
        <f t="shared" si="160"/>
        <v>5</v>
      </c>
      <c r="AY267" s="3">
        <f t="shared" si="161"/>
        <v>8</v>
      </c>
      <c r="AZ267" s="3">
        <f t="shared" si="162"/>
        <v>1</v>
      </c>
      <c r="BA267" s="3">
        <f>IF(ISERROR(LEN(VLOOKUP(A267,Seqs!A:E,2,FALSE))-AL267),"-",LEN(VLOOKUP(A267,Seqs!A:E,2,FALSE))-AL267)</f>
        <v>54</v>
      </c>
      <c r="BB267" s="16">
        <f t="shared" si="163"/>
        <v>28</v>
      </c>
      <c r="BC267" s="9" t="str">
        <f t="shared" si="164"/>
        <v>-</v>
      </c>
      <c r="BD267" s="3">
        <f t="shared" si="165"/>
        <v>28</v>
      </c>
      <c r="BE267" s="3">
        <f t="shared" si="166"/>
        <v>46</v>
      </c>
    </row>
    <row r="268" spans="1:58" s="3" customFormat="1" x14ac:dyDescent="0.2">
      <c r="A268" s="3" t="s">
        <v>215</v>
      </c>
      <c r="B268" s="3" t="str">
        <f>LOWER(VLOOKUP(A268,Xtal_Templ!A:B,2,FALSE))</f>
        <v>mtr1a_human</v>
      </c>
      <c r="C268" s="3">
        <f>VLOOKUP($A268,'SegEnds_NonXtal_BW#'!$A:$Z,3,FALSE)+D268-50</f>
        <v>99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167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248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44"/>
        <v>264</v>
      </c>
      <c r="AA268" s="3">
        <f>IF(ISERROR(VLOOKUP($A268,'SegEnds_NonXtal_BW#'!$A:$Z,19,FALSE)+VLOOKUP($A268,A:AL,28,FALSE)-50),"-",(VLOOKUP($A268,'SegEnds_NonXtal_BW#'!$A:$Z,19,FALSE)+VLOOKUP($A268,A:AL,28,FALSE)-50))</f>
        <v>274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312</v>
      </c>
      <c r="AD268" s="3">
        <f>IF(ISERROR(VLOOKUP($A268,'SegEnds_NonXtal_BW#'!$A:$Z,21,FALSE)+VLOOKUP($A268,A:AL,31,FALSE)-50),"-",(VLOOKUP($A268,'SegEnds_NonXtal_BW#'!$A:$Z,21,FALSE)+VLOOKUP($A268,A:AL,31,FALSE)-50))</f>
        <v>318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365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407</v>
      </c>
      <c r="AM268" s="28" t="str">
        <f>VLOOKUP(A268,Classification!A:B,2,FALSE)</f>
        <v>A</v>
      </c>
      <c r="AN268" s="28" t="b">
        <f t="shared" si="167"/>
        <v>1</v>
      </c>
      <c r="AO268" s="3" t="str">
        <f>IF(ISERROR(MATCH(A268,'SegEnds_Xtal_Prot#'!B:B, 0)), "NoXtal", "Xtal")</f>
        <v>NoXtal</v>
      </c>
      <c r="AP268" s="3">
        <f t="shared" si="152"/>
        <v>1</v>
      </c>
      <c r="AQ268" s="3">
        <f t="shared" si="153"/>
        <v>1</v>
      </c>
      <c r="AR268" s="3" t="str">
        <f t="shared" si="154"/>
        <v>-</v>
      </c>
      <c r="AS268" s="3" t="str">
        <f t="shared" si="155"/>
        <v>-</v>
      </c>
      <c r="AT268" s="3" t="str">
        <f t="shared" si="156"/>
        <v>-</v>
      </c>
      <c r="AU268" s="3" t="str">
        <f t="shared" si="157"/>
        <v>-</v>
      </c>
      <c r="AV268" s="3">
        <f t="shared" si="158"/>
        <v>14</v>
      </c>
      <c r="AW268" s="3">
        <f t="shared" si="159"/>
        <v>10</v>
      </c>
      <c r="AX268" s="3">
        <f t="shared" si="160"/>
        <v>6</v>
      </c>
      <c r="AY268" s="3">
        <f t="shared" si="161"/>
        <v>8</v>
      </c>
      <c r="AZ268" s="3">
        <f t="shared" si="162"/>
        <v>1</v>
      </c>
      <c r="BA268" s="3">
        <f>IF(ISERROR(LEN(VLOOKUP(A268,Seqs!A:E,2,FALSE))-AL268),"-",LEN(VLOOKUP(A268,Seqs!A:E,2,FALSE))-AL268)</f>
        <v>87</v>
      </c>
      <c r="BB268" s="16">
        <f t="shared" si="163"/>
        <v>28</v>
      </c>
      <c r="BC268" s="9" t="str">
        <f t="shared" si="164"/>
        <v>-</v>
      </c>
      <c r="BD268" s="3">
        <f t="shared" si="165"/>
        <v>28</v>
      </c>
      <c r="BE268" s="3">
        <f t="shared" si="166"/>
        <v>57</v>
      </c>
    </row>
    <row r="269" spans="1:58" s="3" customFormat="1" x14ac:dyDescent="0.2">
      <c r="A269" s="3" t="s">
        <v>219</v>
      </c>
      <c r="B269" s="3" t="str">
        <f>LOWER(VLOOKUP(A269,Xtal_Templ!A:B,2,FALSE))</f>
        <v>agtr1_human</v>
      </c>
      <c r="C269" s="3">
        <f>VLOOKUP($A269,'SegEnds_NonXtal_BW#'!$A:$Z,3,FALSE)+D269-50</f>
        <v>23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167"/>
        <v>1</v>
      </c>
      <c r="AO269" s="3" t="str">
        <f>IF(ISERROR(MATCH(A269,'SegEnds_Xtal_Prot#'!B:B, 0)), "NoXtal", "Xtal")</f>
        <v>NoXtal</v>
      </c>
      <c r="AP269" s="3" t="str">
        <f t="shared" si="152"/>
        <v>-</v>
      </c>
      <c r="AQ269" s="3" t="str">
        <f t="shared" si="153"/>
        <v>-</v>
      </c>
      <c r="AR269" s="3">
        <f t="shared" si="154"/>
        <v>3</v>
      </c>
      <c r="AS269" s="3">
        <f t="shared" si="155"/>
        <v>1</v>
      </c>
      <c r="AT269" s="3" t="str">
        <f t="shared" si="156"/>
        <v>-</v>
      </c>
      <c r="AU269" s="3" t="str">
        <f t="shared" si="157"/>
        <v>-</v>
      </c>
      <c r="AV269" s="3" t="str">
        <f t="shared" si="158"/>
        <v>-</v>
      </c>
      <c r="AW269" s="3" t="str">
        <f t="shared" si="159"/>
        <v>-</v>
      </c>
      <c r="AX269" s="3">
        <f t="shared" si="160"/>
        <v>5</v>
      </c>
      <c r="AY269" s="3">
        <f t="shared" si="161"/>
        <v>5</v>
      </c>
      <c r="AZ269" s="3">
        <f t="shared" si="162"/>
        <v>1</v>
      </c>
      <c r="BA269" s="3">
        <f>IF(ISERROR(LEN(VLOOKUP(A269,Seqs!A:E,2,FALSE))-AL269),"-",LEN(VLOOKUP(A269,Seqs!A:E,2,FALSE))-AL269)</f>
        <v>19</v>
      </c>
      <c r="BB269" s="16">
        <f t="shared" si="163"/>
        <v>33</v>
      </c>
      <c r="BC269" s="9" t="str">
        <f t="shared" si="164"/>
        <v>-</v>
      </c>
      <c r="BD269" s="3">
        <f t="shared" si="165"/>
        <v>33</v>
      </c>
      <c r="BE269" s="3">
        <f t="shared" si="16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LOWER(VLOOKUP(A270,Xtal_Templ!A:B,2,FALSE))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0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167"/>
        <v>1</v>
      </c>
      <c r="AO270" s="3" t="str">
        <f>IF(ISERROR(MATCH(A270,'SegEnds_Xtal_Prot#'!B:B, 0)), "NoXtal", "Xtal")</f>
        <v>NoXtal</v>
      </c>
      <c r="AP270" s="3" t="str">
        <f t="shared" si="152"/>
        <v>-</v>
      </c>
      <c r="AQ270" s="3" t="str">
        <f t="shared" si="153"/>
        <v>-</v>
      </c>
      <c r="AR270" s="3">
        <f t="shared" si="154"/>
        <v>8</v>
      </c>
      <c r="AS270" s="3">
        <f t="shared" si="155"/>
        <v>1</v>
      </c>
      <c r="AT270" s="3" t="str">
        <f t="shared" si="156"/>
        <v>-</v>
      </c>
      <c r="AU270" s="3" t="str">
        <f t="shared" si="157"/>
        <v>-</v>
      </c>
      <c r="AV270" s="3" t="str">
        <f t="shared" si="158"/>
        <v>-</v>
      </c>
      <c r="AW270" s="3" t="str">
        <f t="shared" si="159"/>
        <v>-</v>
      </c>
      <c r="AX270" s="3">
        <f t="shared" si="160"/>
        <v>62</v>
      </c>
      <c r="AY270" s="3">
        <f t="shared" si="161"/>
        <v>5</v>
      </c>
      <c r="AZ270" s="3">
        <f t="shared" si="162"/>
        <v>1</v>
      </c>
      <c r="BA270" s="3">
        <f>IF(ISERROR(LEN(VLOOKUP(A270,Seqs!A:E,2,FALSE))-AL270),"-",LEN(VLOOKUP(A270,Seqs!A:E,2,FALSE))-AL270)</f>
        <v>353</v>
      </c>
      <c r="BB270" s="16">
        <f t="shared" si="163"/>
        <v>29</v>
      </c>
      <c r="BC270" s="9" t="str">
        <f t="shared" si="164"/>
        <v>-</v>
      </c>
      <c r="BD270" s="3">
        <f t="shared" si="165"/>
        <v>29</v>
      </c>
      <c r="BE270" s="3">
        <f t="shared" si="166"/>
        <v>114</v>
      </c>
    </row>
    <row r="271" spans="1:58" s="3" customFormat="1" x14ac:dyDescent="0.2">
      <c r="A271" s="3" t="s">
        <v>222</v>
      </c>
      <c r="B271" s="3" t="str">
        <f>LOWER(VLOOKUP(A271,Xtal_Templ!A:B,2,FALSE))</f>
        <v>cxcr4_human</v>
      </c>
      <c r="C271" s="3">
        <f>VLOOKUP($A271,'SegEnds_NonXtal_BW#'!$A:$Z,3,FALSE)+D271-50</f>
        <v>34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109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16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226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323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368</v>
      </c>
      <c r="AM271" s="28" t="str">
        <f>VLOOKUP(A271,Classification!A:B,2,FALSE)</f>
        <v>A</v>
      </c>
      <c r="AN271" s="28" t="b">
        <f t="shared" si="167"/>
        <v>1</v>
      </c>
      <c r="AO271" s="3" t="str">
        <f>IF(ISERROR(MATCH(A271,'SegEnds_Xtal_Prot#'!B:B, 0)), "NoXtal", "Xtal")</f>
        <v>NoXtal</v>
      </c>
      <c r="AP271" s="3" t="str">
        <f t="shared" si="152"/>
        <v>-</v>
      </c>
      <c r="AQ271" s="3" t="str">
        <f t="shared" si="153"/>
        <v>-</v>
      </c>
      <c r="AR271" s="3" t="str">
        <f t="shared" si="154"/>
        <v>-</v>
      </c>
      <c r="AS271" s="3" t="str">
        <f t="shared" si="155"/>
        <v>-</v>
      </c>
      <c r="AT271" s="3" t="str">
        <f t="shared" si="156"/>
        <v>-</v>
      </c>
      <c r="AU271" s="3" t="str">
        <f t="shared" si="157"/>
        <v>-</v>
      </c>
      <c r="AV271" s="3">
        <f t="shared" si="158"/>
        <v>34</v>
      </c>
      <c r="AW271" s="3">
        <f t="shared" si="159"/>
        <v>7</v>
      </c>
      <c r="AX271" s="3">
        <f t="shared" si="160"/>
        <v>13</v>
      </c>
      <c r="AY271" s="3">
        <f t="shared" si="161"/>
        <v>2</v>
      </c>
      <c r="AZ271" s="3">
        <f t="shared" si="162"/>
        <v>1</v>
      </c>
      <c r="BA271" s="3">
        <f>IF(ISERROR(LEN(VLOOKUP(A271,Seqs!A:E,2,FALSE))-AL271),"-",LEN(VLOOKUP(A271,Seqs!A:E,2,FALSE))-AL271)</f>
        <v>66</v>
      </c>
      <c r="BB271" s="16">
        <f t="shared" si="163"/>
        <v>33</v>
      </c>
      <c r="BC271" s="9" t="str">
        <f t="shared" si="164"/>
        <v>-</v>
      </c>
      <c r="BD271" s="3">
        <f t="shared" si="165"/>
        <v>33</v>
      </c>
      <c r="BE271" s="3">
        <f t="shared" si="166"/>
        <v>66</v>
      </c>
    </row>
    <row r="272" spans="1:58" s="3" customFormat="1" x14ac:dyDescent="0.2">
      <c r="A272" s="3" t="s">
        <v>226</v>
      </c>
      <c r="B272" s="3" t="str">
        <f>LOWER(VLOOKUP(A272,Xtal_Templ!A:B,2,FALSE))</f>
        <v>p2y12_human</v>
      </c>
      <c r="C272" s="3">
        <f>VLOOKUP($A272,'SegEnds_NonXtal_BW#'!$A:$Z,3,FALSE)+D272-50</f>
        <v>17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0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16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306</v>
      </c>
      <c r="AM272" s="28" t="str">
        <f>VLOOKUP(A272,Classification!A:B,2,FALSE)</f>
        <v>A</v>
      </c>
      <c r="AN272" s="28" t="b">
        <f t="shared" si="167"/>
        <v>1</v>
      </c>
      <c r="AO272" s="3" t="str">
        <f>IF(ISERROR(MATCH(A272,'SegEnds_Xtal_Prot#'!B:B, 0)), "NoXtal", "Xtal")</f>
        <v>NoXtal</v>
      </c>
      <c r="AP272" s="3" t="str">
        <f t="shared" si="152"/>
        <v>-</v>
      </c>
      <c r="AQ272" s="3" t="str">
        <f t="shared" si="153"/>
        <v>-</v>
      </c>
      <c r="AR272" s="3" t="str">
        <f t="shared" si="154"/>
        <v>-</v>
      </c>
      <c r="AS272" s="3" t="str">
        <f t="shared" si="155"/>
        <v>-</v>
      </c>
      <c r="AT272" s="3" t="str">
        <f t="shared" si="156"/>
        <v>-</v>
      </c>
      <c r="AU272" s="3" t="str">
        <f t="shared" si="157"/>
        <v>-</v>
      </c>
      <c r="AV272" s="3">
        <f t="shared" si="158"/>
        <v>14</v>
      </c>
      <c r="AW272" s="3">
        <f t="shared" si="159"/>
        <v>5</v>
      </c>
      <c r="AX272" s="3">
        <f t="shared" si="160"/>
        <v>9</v>
      </c>
      <c r="AY272" s="3">
        <f t="shared" si="161"/>
        <v>5</v>
      </c>
      <c r="AZ272" s="3">
        <f t="shared" si="162"/>
        <v>1</v>
      </c>
      <c r="BA272" s="3">
        <f>IF(ISERROR(LEN(VLOOKUP(A272,Seqs!A:E,2,FALSE))-AL272),"-",LEN(VLOOKUP(A272,Seqs!A:E,2,FALSE))-AL272)</f>
        <v>32</v>
      </c>
      <c r="BB272" s="16">
        <f t="shared" si="163"/>
        <v>27</v>
      </c>
      <c r="BC272" s="9" t="str">
        <f t="shared" si="164"/>
        <v>-</v>
      </c>
      <c r="BD272" s="3">
        <f t="shared" si="165"/>
        <v>27</v>
      </c>
      <c r="BE272" s="3">
        <f t="shared" si="166"/>
        <v>58</v>
      </c>
    </row>
    <row r="273" spans="1:58" s="3" customFormat="1" x14ac:dyDescent="0.2">
      <c r="A273" s="3" t="s">
        <v>232</v>
      </c>
      <c r="B273" s="3" t="str">
        <f>LOWER(VLOOKUP(A273,Xtal_Templ!A:B,2,FALSE))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170">G273+1</f>
        <v>73</v>
      </c>
      <c r="I273" s="3">
        <f t="shared" si="17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16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167"/>
        <v>1</v>
      </c>
      <c r="AO273" s="3" t="str">
        <f>IF(ISERROR(MATCH(A273,'SegEnds_Xtal_Prot#'!B:B, 0)), "NoXtal", "Xtal")</f>
        <v>NoXtal</v>
      </c>
      <c r="AP273" s="3">
        <f t="shared" si="152"/>
        <v>1</v>
      </c>
      <c r="AQ273" s="3">
        <f t="shared" si="153"/>
        <v>1</v>
      </c>
      <c r="AR273" s="3">
        <f t="shared" si="154"/>
        <v>4</v>
      </c>
      <c r="AS273" s="3">
        <f t="shared" si="155"/>
        <v>1</v>
      </c>
      <c r="AT273" s="3" t="str">
        <f t="shared" si="156"/>
        <v>-</v>
      </c>
      <c r="AU273" s="3" t="str">
        <f t="shared" si="157"/>
        <v>-</v>
      </c>
      <c r="AV273" s="3">
        <f t="shared" si="158"/>
        <v>11</v>
      </c>
      <c r="AW273" s="3">
        <f t="shared" si="159"/>
        <v>5</v>
      </c>
      <c r="AX273" s="3">
        <f t="shared" si="160"/>
        <v>11</v>
      </c>
      <c r="AY273" s="3">
        <f t="shared" si="161"/>
        <v>6</v>
      </c>
      <c r="AZ273" s="3">
        <f t="shared" si="162"/>
        <v>1</v>
      </c>
      <c r="BA273" s="3">
        <f>IF(ISERROR(LEN(VLOOKUP(A273,Seqs!A:E,2,FALSE))-AL273),"-",LEN(VLOOKUP(A273,Seqs!A:E,2,FALSE))-AL273)</f>
        <v>180</v>
      </c>
      <c r="BB273" s="16">
        <f t="shared" si="163"/>
        <v>28</v>
      </c>
      <c r="BC273" s="9" t="str">
        <f t="shared" si="164"/>
        <v>-</v>
      </c>
      <c r="BD273" s="3">
        <f t="shared" si="165"/>
        <v>28</v>
      </c>
      <c r="BE273" s="3">
        <f t="shared" si="166"/>
        <v>64</v>
      </c>
    </row>
    <row r="274" spans="1:58" s="3" customFormat="1" x14ac:dyDescent="0.2">
      <c r="A274" s="3" t="s">
        <v>235</v>
      </c>
      <c r="B274" s="3" t="str">
        <f>LOWER(VLOOKUP(A274,Xtal_Templ!A:B,2,FALSE))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170"/>
        <v>46</v>
      </c>
      <c r="I274" s="3">
        <f t="shared" si="17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16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257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167"/>
        <v>1</v>
      </c>
      <c r="AO274" s="3" t="str">
        <f>IF(ISERROR(MATCH(A274,'SegEnds_Xtal_Prot#'!B:B, 0)), "NoXtal", "Xtal")</f>
        <v>NoXtal</v>
      </c>
      <c r="AP274" s="3">
        <f t="shared" si="152"/>
        <v>1</v>
      </c>
      <c r="AQ274" s="3">
        <f t="shared" si="153"/>
        <v>1</v>
      </c>
      <c r="AR274" s="3" t="str">
        <f t="shared" si="154"/>
        <v>-</v>
      </c>
      <c r="AS274" s="3" t="str">
        <f t="shared" si="155"/>
        <v>-</v>
      </c>
      <c r="AT274" s="3" t="str">
        <f t="shared" si="156"/>
        <v>-</v>
      </c>
      <c r="AU274" s="3" t="str">
        <f t="shared" si="157"/>
        <v>-</v>
      </c>
      <c r="AV274" s="3">
        <f t="shared" si="158"/>
        <v>10</v>
      </c>
      <c r="AW274" s="3">
        <f t="shared" si="159"/>
        <v>4</v>
      </c>
      <c r="AX274" s="3">
        <f t="shared" si="160"/>
        <v>10</v>
      </c>
      <c r="AY274" s="3">
        <f t="shared" si="161"/>
        <v>7</v>
      </c>
      <c r="AZ274" s="3">
        <f t="shared" si="162"/>
        <v>1</v>
      </c>
      <c r="BA274" s="3">
        <f>IF(ISERROR(LEN(VLOOKUP(A274,Seqs!A:E,2,FALSE))-AL274),"-",LEN(VLOOKUP(A274,Seqs!A:E,2,FALSE))-AL274)</f>
        <v>34</v>
      </c>
      <c r="BB274" s="16">
        <f t="shared" si="163"/>
        <v>29</v>
      </c>
      <c r="BC274" s="9" t="str">
        <f t="shared" si="164"/>
        <v>-</v>
      </c>
      <c r="BD274" s="3">
        <f t="shared" si="165"/>
        <v>29</v>
      </c>
      <c r="BE274" s="3">
        <f t="shared" si="166"/>
        <v>63</v>
      </c>
    </row>
    <row r="275" spans="1:58" s="3" customFormat="1" x14ac:dyDescent="0.2">
      <c r="A275" s="3" t="s">
        <v>259</v>
      </c>
      <c r="B275" s="3" t="str">
        <f>LOWER(VLOOKUP(A275,Xtal_Templ!A:B,2,FALSE))</f>
        <v>5ht1b_human</v>
      </c>
      <c r="C275" s="3">
        <f>VLOOKUP($A275,'SegEnds_NonXtal_BW#'!$A:$Z,3,FALSE)+D275-50</f>
        <v>30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170"/>
        <v>66</v>
      </c>
      <c r="I275" s="3">
        <f t="shared" si="170"/>
        <v>67</v>
      </c>
      <c r="J275" s="3">
        <v>80</v>
      </c>
      <c r="K275" s="3">
        <f>VLOOKUP($A275,'SegEnds_NonXtal_BW#'!$A:$Z,8,FALSE)+VLOOKUP($A275,A:AL,10,FALSE)-50</f>
        <v>98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169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16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302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339</v>
      </c>
      <c r="AM275" s="28" t="str">
        <f>VLOOKUP(A275,Classification!A:B,2,FALSE)</f>
        <v>A</v>
      </c>
      <c r="AN275" s="28" t="b">
        <f t="shared" si="167"/>
        <v>1</v>
      </c>
      <c r="AO275" s="3" t="str">
        <f>IF(ISERROR(MATCH(A275,'SegEnds_Xtal_Prot#'!B:B, 0)), "NoXtal", "Xtal")</f>
        <v>NoXtal</v>
      </c>
      <c r="AP275" s="3">
        <f t="shared" si="152"/>
        <v>1</v>
      </c>
      <c r="AQ275" s="3">
        <f t="shared" si="153"/>
        <v>1</v>
      </c>
      <c r="AR275" s="3">
        <f t="shared" si="154"/>
        <v>1</v>
      </c>
      <c r="AS275" s="3">
        <f t="shared" si="155"/>
        <v>1</v>
      </c>
      <c r="AT275" s="3" t="str">
        <f t="shared" si="156"/>
        <v>-</v>
      </c>
      <c r="AU275" s="3" t="str">
        <f t="shared" si="157"/>
        <v>-</v>
      </c>
      <c r="AV275" s="3">
        <f t="shared" si="158"/>
        <v>13</v>
      </c>
      <c r="AW275" s="3">
        <f t="shared" si="159"/>
        <v>8</v>
      </c>
      <c r="AX275" s="3">
        <f t="shared" si="160"/>
        <v>23</v>
      </c>
      <c r="AY275" s="3">
        <f t="shared" si="161"/>
        <v>9</v>
      </c>
      <c r="AZ275" s="3">
        <f t="shared" si="162"/>
        <v>1</v>
      </c>
      <c r="BA275" s="3">
        <f>IF(ISERROR(LEN(VLOOKUP(A275,Seqs!A:E,2,FALSE))-AL275),"-",LEN(VLOOKUP(A275,Seqs!A:E,2,FALSE))-AL275)</f>
        <v>33</v>
      </c>
      <c r="BB275" s="16">
        <f t="shared" si="163"/>
        <v>28</v>
      </c>
      <c r="BC275" s="9" t="str">
        <f t="shared" si="164"/>
        <v>-</v>
      </c>
      <c r="BD275" s="3">
        <f t="shared" si="165"/>
        <v>28</v>
      </c>
      <c r="BE275" s="3">
        <f t="shared" si="166"/>
        <v>75</v>
      </c>
    </row>
    <row r="276" spans="1:58" s="3" customFormat="1" x14ac:dyDescent="0.2">
      <c r="A276" s="3" t="s">
        <v>264</v>
      </c>
      <c r="B276" s="3" t="str">
        <f>LOWER(VLOOKUP(A276,Xtal_Templ!A:B,2,FALSE))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16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167"/>
        <v>1</v>
      </c>
      <c r="AO276" s="3" t="str">
        <f>IF(ISERROR(MATCH(A276,'SegEnds_Xtal_Prot#'!B:B, 0)), "NoXtal", "Xtal")</f>
        <v>NoXtal</v>
      </c>
      <c r="AP276" s="3" t="str">
        <f t="shared" si="152"/>
        <v>-</v>
      </c>
      <c r="AQ276" s="3" t="str">
        <f t="shared" si="153"/>
        <v>-</v>
      </c>
      <c r="AR276" s="3" t="str">
        <f t="shared" si="154"/>
        <v>-</v>
      </c>
      <c r="AS276" s="3" t="str">
        <f t="shared" si="155"/>
        <v>-</v>
      </c>
      <c r="AT276" s="3" t="str">
        <f t="shared" si="156"/>
        <v>-</v>
      </c>
      <c r="AU276" s="3" t="str">
        <f t="shared" si="157"/>
        <v>-</v>
      </c>
      <c r="AV276" s="3">
        <f t="shared" si="158"/>
        <v>12</v>
      </c>
      <c r="AW276" s="3">
        <f t="shared" si="159"/>
        <v>5</v>
      </c>
      <c r="AX276" s="3">
        <f t="shared" si="160"/>
        <v>20</v>
      </c>
      <c r="AY276" s="3">
        <f t="shared" si="161"/>
        <v>8</v>
      </c>
      <c r="AZ276" s="3">
        <f t="shared" si="162"/>
        <v>1</v>
      </c>
      <c r="BA276" s="3">
        <f>IF(ISERROR(LEN(VLOOKUP(A276,Seqs!A:E,2,FALSE))-AL276),"-",LEN(VLOOKUP(A276,Seqs!A:E,2,FALSE))-AL276)</f>
        <v>62</v>
      </c>
      <c r="BB276" s="16">
        <f t="shared" si="163"/>
        <v>26</v>
      </c>
      <c r="BC276" s="9" t="str">
        <f t="shared" si="164"/>
        <v>-</v>
      </c>
      <c r="BD276" s="3">
        <f t="shared" si="165"/>
        <v>26</v>
      </c>
      <c r="BE276" s="3">
        <f t="shared" si="166"/>
        <v>72</v>
      </c>
    </row>
    <row r="277" spans="1:58" s="3" customFormat="1" x14ac:dyDescent="0.2">
      <c r="A277" s="3" t="s">
        <v>265</v>
      </c>
      <c r="B277" s="3" t="str">
        <f>LOWER(VLOOKUP(A277,Xtal_Templ!A:B,2,FALSE))</f>
        <v>drd2_human</v>
      </c>
      <c r="C277" s="3">
        <f>VLOOKUP($A277,'SegEnds_NonXtal_BW#'!$A:$Z,3,FALSE)+D277-50</f>
        <v>78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4" si="171">G277-2</f>
        <v>110</v>
      </c>
      <c r="G277" s="3">
        <v>112</v>
      </c>
      <c r="H277" s="3">
        <f t="shared" ref="H277:I296" si="172">G277+1</f>
        <v>113</v>
      </c>
      <c r="I277" s="3">
        <f t="shared" si="172"/>
        <v>114</v>
      </c>
      <c r="J277" s="3">
        <v>127</v>
      </c>
      <c r="K277" s="3">
        <f>VLOOKUP($A277,'SegEnds_NonXtal_BW#'!$A:$Z,8,FALSE)+VLOOKUP($A277,A:AL,10,FALSE)-50</f>
        <v>145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215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16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349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387</v>
      </c>
      <c r="AM277" s="28" t="str">
        <f>VLOOKUP(A277,Classification!A:B,2,FALSE)</f>
        <v>A</v>
      </c>
      <c r="AN277" s="28" t="b">
        <f t="shared" si="167"/>
        <v>1</v>
      </c>
      <c r="AO277" s="3" t="str">
        <f>IF(ISERROR(MATCH(A277,'SegEnds_Xtal_Prot#'!B:B, 0)), "NoXtal", "Xtal")</f>
        <v>NoXtal</v>
      </c>
      <c r="AP277" s="3">
        <f t="shared" si="152"/>
        <v>1</v>
      </c>
      <c r="AQ277" s="3">
        <f t="shared" si="153"/>
        <v>1</v>
      </c>
      <c r="AR277" s="3">
        <f t="shared" si="154"/>
        <v>1</v>
      </c>
      <c r="AS277" s="3">
        <f t="shared" si="155"/>
        <v>1</v>
      </c>
      <c r="AT277" s="3" t="str">
        <f t="shared" si="156"/>
        <v>-</v>
      </c>
      <c r="AU277" s="3" t="str">
        <f t="shared" si="157"/>
        <v>-</v>
      </c>
      <c r="AV277" s="3">
        <f t="shared" si="158"/>
        <v>14</v>
      </c>
      <c r="AW277" s="3">
        <f t="shared" si="159"/>
        <v>8</v>
      </c>
      <c r="AX277" s="3">
        <f t="shared" si="160"/>
        <v>23</v>
      </c>
      <c r="AY277" s="3">
        <f t="shared" si="161"/>
        <v>9</v>
      </c>
      <c r="AZ277" s="3">
        <f t="shared" si="162"/>
        <v>1</v>
      </c>
      <c r="BA277" s="3">
        <f>IF(ISERROR(LEN(VLOOKUP(A277,Seqs!A:E,2,FALSE))-AL277),"-",LEN(VLOOKUP(A277,Seqs!A:E,2,FALSE))-AL277)</f>
        <v>32</v>
      </c>
      <c r="BB277" s="16">
        <f t="shared" si="163"/>
        <v>28</v>
      </c>
      <c r="BC277" s="9" t="str">
        <f t="shared" si="164"/>
        <v>-</v>
      </c>
      <c r="BD277" s="3">
        <f t="shared" si="165"/>
        <v>28</v>
      </c>
      <c r="BE277" s="3">
        <f t="shared" si="166"/>
        <v>75</v>
      </c>
    </row>
    <row r="278" spans="1:58" s="3" customFormat="1" x14ac:dyDescent="0.2">
      <c r="A278" s="3" t="s">
        <v>266</v>
      </c>
      <c r="B278" s="3" t="str">
        <f>LOWER(VLOOKUP(A278,Xtal_Templ!A:B,2,FALSE))</f>
        <v>drd2_human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171"/>
        <v>73</v>
      </c>
      <c r="G278" s="3">
        <v>75</v>
      </c>
      <c r="H278" s="3">
        <f t="shared" si="172"/>
        <v>76</v>
      </c>
      <c r="I278" s="3">
        <f t="shared" si="17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181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169"/>
        <v>191</v>
      </c>
      <c r="AA278" s="3">
        <f>IF(ISERROR(VLOOKUP($A278,'SegEnds_NonXtal_BW#'!$A:$Z,19,FALSE)+VLOOKUP($A278,A:AL,28,FALSE)-50),"-",(VLOOKUP($A278,'SegEnds_NonXtal_BW#'!$A:$Z,19,FALSE)+VLOOKUP($A278,A:AL,28,FALSE)-50))</f>
        <v>199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392</v>
      </c>
      <c r="AM278" s="28" t="str">
        <f>VLOOKUP(A278,Classification!A:B,2,FALSE)</f>
        <v>A</v>
      </c>
      <c r="AN278" s="28" t="b">
        <f t="shared" si="167"/>
        <v>1</v>
      </c>
      <c r="AO278" s="3" t="str">
        <f>IF(ISERROR(MATCH(A278,'SegEnds_Xtal_Prot#'!B:B, 0)), "NoXtal", "Xtal")</f>
        <v>NoXtal</v>
      </c>
      <c r="AP278" s="3">
        <f t="shared" si="152"/>
        <v>3</v>
      </c>
      <c r="AQ278" s="3">
        <f t="shared" si="153"/>
        <v>1</v>
      </c>
      <c r="AR278" s="3" t="str">
        <f t="shared" si="154"/>
        <v>-</v>
      </c>
      <c r="AS278" s="3" t="str">
        <f t="shared" si="155"/>
        <v>-</v>
      </c>
      <c r="AT278" s="3" t="str">
        <f t="shared" si="156"/>
        <v>-</v>
      </c>
      <c r="AU278" s="3" t="str">
        <f t="shared" si="157"/>
        <v>-</v>
      </c>
      <c r="AV278" s="3">
        <f t="shared" si="158"/>
        <v>8</v>
      </c>
      <c r="AW278" s="3">
        <f t="shared" si="159"/>
        <v>8</v>
      </c>
      <c r="AX278" s="3">
        <f t="shared" si="160"/>
        <v>70</v>
      </c>
      <c r="AY278" s="3">
        <f t="shared" si="161"/>
        <v>7</v>
      </c>
      <c r="AZ278" s="3">
        <f t="shared" si="162"/>
        <v>1</v>
      </c>
      <c r="BA278" s="3">
        <f>IF(ISERROR(LEN(VLOOKUP(A278,Seqs!A:E,2,FALSE))-AL278),"-",LEN(VLOOKUP(A278,Seqs!A:E,2,FALSE))-AL278)</f>
        <v>148</v>
      </c>
      <c r="BB278" s="16">
        <f t="shared" si="163"/>
        <v>30</v>
      </c>
      <c r="BC278" s="9" t="str">
        <f t="shared" si="164"/>
        <v>-</v>
      </c>
      <c r="BD278" s="3">
        <f t="shared" si="165"/>
        <v>30</v>
      </c>
      <c r="BE278" s="3">
        <f t="shared" si="166"/>
        <v>122</v>
      </c>
    </row>
    <row r="279" spans="1:58" s="3" customFormat="1" x14ac:dyDescent="0.2">
      <c r="A279" s="3" t="s">
        <v>269</v>
      </c>
      <c r="B279" s="3" t="str">
        <f>LOWER(VLOOKUP(A279,Xtal_Templ!A:B,2,FALSE))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171"/>
        <v>100</v>
      </c>
      <c r="G279" s="3">
        <v>102</v>
      </c>
      <c r="H279" s="3">
        <f t="shared" si="172"/>
        <v>103</v>
      </c>
      <c r="I279" s="3">
        <f t="shared" si="17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173">M279-1</f>
        <v>136</v>
      </c>
      <c r="M279" s="3">
        <v>137</v>
      </c>
      <c r="N279" s="3">
        <f t="shared" ref="N279:N296" si="174">M279+2</f>
        <v>139</v>
      </c>
      <c r="O279" s="3">
        <f t="shared" ref="O279:O296" si="17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16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167"/>
        <v>1</v>
      </c>
      <c r="AO279" s="3" t="str">
        <f>IF(ISERROR(MATCH(A279,'SegEnds_Xtal_Prot#'!B:B, 0)), "NoXtal", "Xtal")</f>
        <v>NoXtal</v>
      </c>
      <c r="AP279" s="3">
        <f t="shared" si="152"/>
        <v>1</v>
      </c>
      <c r="AQ279" s="3">
        <f t="shared" si="153"/>
        <v>1</v>
      </c>
      <c r="AR279" s="3">
        <f t="shared" si="154"/>
        <v>1</v>
      </c>
      <c r="AS279" s="3">
        <f t="shared" si="155"/>
        <v>1</v>
      </c>
      <c r="AT279" s="3" t="str">
        <f t="shared" si="156"/>
        <v>-</v>
      </c>
      <c r="AU279" s="3" t="str">
        <f t="shared" si="157"/>
        <v>-</v>
      </c>
      <c r="AV279" s="3">
        <f t="shared" si="158"/>
        <v>16</v>
      </c>
      <c r="AW279" s="3">
        <f t="shared" si="159"/>
        <v>8</v>
      </c>
      <c r="AX279" s="3">
        <f t="shared" si="160"/>
        <v>5</v>
      </c>
      <c r="AY279" s="3">
        <f t="shared" si="161"/>
        <v>5</v>
      </c>
      <c r="AZ279" s="3">
        <f t="shared" si="162"/>
        <v>1</v>
      </c>
      <c r="BA279" s="3">
        <f>IF(ISERROR(LEN(VLOOKUP(A279,Seqs!A:E,2,FALSE))-AL279),"-",LEN(VLOOKUP(A279,Seqs!A:E,2,FALSE))-AL279)</f>
        <v>63</v>
      </c>
      <c r="BB279" s="16">
        <f t="shared" si="163"/>
        <v>28</v>
      </c>
      <c r="BC279" s="9" t="str">
        <f t="shared" si="164"/>
        <v>-</v>
      </c>
      <c r="BD279" s="3">
        <f t="shared" si="165"/>
        <v>28</v>
      </c>
      <c r="BE279" s="3">
        <f t="shared" si="166"/>
        <v>56</v>
      </c>
    </row>
    <row r="280" spans="1:58" s="3" customFormat="1" x14ac:dyDescent="0.2">
      <c r="A280" s="3" t="s">
        <v>314</v>
      </c>
      <c r="B280" s="3" t="str">
        <f>LOWER(VLOOKUP(A280,Xtal_Templ!A:B,2,FALSE))</f>
        <v>nk1r_human</v>
      </c>
      <c r="C280" s="3">
        <f>VLOOKUP($A280,'SegEnds_NonXtal_BW#'!$A:$Z,3,FALSE)+D280-50</f>
        <v>28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171"/>
        <v>61</v>
      </c>
      <c r="G280" s="3">
        <v>63</v>
      </c>
      <c r="H280" s="3">
        <f t="shared" si="172"/>
        <v>64</v>
      </c>
      <c r="I280" s="3">
        <f t="shared" si="172"/>
        <v>65</v>
      </c>
      <c r="J280" s="3">
        <v>78</v>
      </c>
      <c r="K280" s="3">
        <f>VLOOKUP($A280,'SegEnds_NonXtal_BW#'!$A:$Z,8,FALSE)+VLOOKUP($A280,A:AL,10,FALSE)-50</f>
        <v>96</v>
      </c>
      <c r="L280" s="3">
        <f t="shared" si="173"/>
        <v>97</v>
      </c>
      <c r="M280" s="3">
        <v>98</v>
      </c>
      <c r="N280" s="3">
        <f t="shared" si="174"/>
        <v>100</v>
      </c>
      <c r="O280" s="3">
        <f t="shared" si="17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169"/>
        <v>182</v>
      </c>
      <c r="AA280" s="3">
        <f>IF(ISERROR(VLOOKUP($A280,'SegEnds_NonXtal_BW#'!$A:$Z,19,FALSE)+VLOOKUP($A280,A:AL,28,FALSE)-50),"-",(VLOOKUP($A280,'SegEnds_NonXtal_BW#'!$A:$Z,19,FALSE)+VLOOKUP($A280,A:AL,28,FALSE)-50))</f>
        <v>188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282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167"/>
        <v>1</v>
      </c>
      <c r="AO280" s="3" t="str">
        <f>IF(ISERROR(MATCH(A280,'SegEnds_Xtal_Prot#'!B:B, 0)), "NoXtal", "Xtal")</f>
        <v>Xtal</v>
      </c>
      <c r="AP280" s="3">
        <f t="shared" si="152"/>
        <v>1</v>
      </c>
      <c r="AQ280" s="3">
        <f t="shared" si="153"/>
        <v>1</v>
      </c>
      <c r="AR280" s="3">
        <f t="shared" si="154"/>
        <v>1</v>
      </c>
      <c r="AS280" s="3">
        <f t="shared" si="155"/>
        <v>1</v>
      </c>
      <c r="AT280" s="3" t="str">
        <f t="shared" si="156"/>
        <v>-</v>
      </c>
      <c r="AU280" s="3" t="str">
        <f t="shared" si="157"/>
        <v>-</v>
      </c>
      <c r="AV280" s="3">
        <f t="shared" si="158"/>
        <v>11</v>
      </c>
      <c r="AW280" s="3">
        <f t="shared" si="159"/>
        <v>6</v>
      </c>
      <c r="AX280" s="3">
        <f t="shared" si="160"/>
        <v>4</v>
      </c>
      <c r="AY280" s="3">
        <f t="shared" si="161"/>
        <v>8</v>
      </c>
      <c r="AZ280" s="3">
        <f t="shared" si="162"/>
        <v>1</v>
      </c>
      <c r="BA280" s="3">
        <f>IF(ISERROR(LEN(VLOOKUP(A280,Seqs!A:E,2,FALSE))-AL280),"-",LEN(VLOOKUP(A280,Seqs!A:E,2,FALSE))-AL280)</f>
        <v>87</v>
      </c>
      <c r="BB280" s="16">
        <f t="shared" si="163"/>
        <v>28</v>
      </c>
      <c r="BC280" s="9" t="str">
        <f t="shared" si="164"/>
        <v>-</v>
      </c>
      <c r="BD280" s="3">
        <f t="shared" si="165"/>
        <v>28</v>
      </c>
      <c r="BE280" s="3">
        <f t="shared" si="166"/>
        <v>55</v>
      </c>
    </row>
    <row r="281" spans="1:58" s="3" customFormat="1" x14ac:dyDescent="0.2">
      <c r="A281" s="3" t="s">
        <v>315</v>
      </c>
      <c r="B281" s="3" t="str">
        <f>LOWER(VLOOKUP(A281,Xtal_Templ!A:B,2,FALSE))</f>
        <v>nk1r_human</v>
      </c>
      <c r="C281" s="3">
        <f>VLOOKUP($A281,'SegEnds_NonXtal_BW#'!$A:$Z,3,FALSE)+D281-50</f>
        <v>29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171"/>
        <v>62</v>
      </c>
      <c r="G281" s="3">
        <v>64</v>
      </c>
      <c r="H281" s="3">
        <f t="shared" si="172"/>
        <v>65</v>
      </c>
      <c r="I281" s="3">
        <f t="shared" si="172"/>
        <v>66</v>
      </c>
      <c r="J281" s="3">
        <v>79</v>
      </c>
      <c r="K281" s="3">
        <f>VLOOKUP($A281,'SegEnds_NonXtal_BW#'!$A:$Z,8,FALSE)+VLOOKUP($A281,A:AL,10,FALSE)-50</f>
        <v>97</v>
      </c>
      <c r="L281" s="3">
        <f t="shared" si="173"/>
        <v>98</v>
      </c>
      <c r="M281" s="3">
        <v>99</v>
      </c>
      <c r="N281" s="3">
        <f t="shared" si="174"/>
        <v>101</v>
      </c>
      <c r="O281" s="3">
        <f t="shared" si="17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169"/>
        <v>183</v>
      </c>
      <c r="AA281" s="3">
        <f>IF(ISERROR(VLOOKUP($A281,'SegEnds_NonXtal_BW#'!$A:$Z,19,FALSE)+VLOOKUP($A281,A:AL,28,FALSE)-50),"-",(VLOOKUP($A281,'SegEnds_NonXtal_BW#'!$A:$Z,19,FALSE)+VLOOKUP($A281,A:AL,28,FALSE)-50))</f>
        <v>189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284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167"/>
        <v>1</v>
      </c>
      <c r="AO281" s="3" t="str">
        <f>IF(ISERROR(MATCH(A281,'SegEnds_Xtal_Prot#'!B:B, 0)), "NoXtal", "Xtal")</f>
        <v>NoXtal</v>
      </c>
      <c r="AP281" s="3">
        <f t="shared" si="152"/>
        <v>1</v>
      </c>
      <c r="AQ281" s="3">
        <f t="shared" si="153"/>
        <v>1</v>
      </c>
      <c r="AR281" s="3">
        <f t="shared" si="154"/>
        <v>1</v>
      </c>
      <c r="AS281" s="3">
        <f t="shared" si="155"/>
        <v>1</v>
      </c>
      <c r="AT281" s="3" t="str">
        <f t="shared" si="156"/>
        <v>-</v>
      </c>
      <c r="AU281" s="3" t="str">
        <f t="shared" si="157"/>
        <v>-</v>
      </c>
      <c r="AV281" s="3">
        <f t="shared" si="158"/>
        <v>11</v>
      </c>
      <c r="AW281" s="3">
        <f t="shared" si="159"/>
        <v>6</v>
      </c>
      <c r="AX281" s="3">
        <f t="shared" si="160"/>
        <v>5</v>
      </c>
      <c r="AY281" s="3">
        <f t="shared" si="161"/>
        <v>8</v>
      </c>
      <c r="AZ281" s="3">
        <f t="shared" si="162"/>
        <v>1</v>
      </c>
      <c r="BA281" s="3">
        <f>IF(ISERROR(LEN(VLOOKUP(A281,Seqs!A:E,2,FALSE))-AL281),"-",LEN(VLOOKUP(A281,Seqs!A:E,2,FALSE))-AL281)</f>
        <v>76</v>
      </c>
      <c r="BB281" s="16">
        <f t="shared" si="163"/>
        <v>28</v>
      </c>
      <c r="BC281" s="9" t="str">
        <f t="shared" si="164"/>
        <v>-</v>
      </c>
      <c r="BD281" s="3">
        <f t="shared" si="165"/>
        <v>28</v>
      </c>
      <c r="BE281" s="3">
        <f t="shared" si="166"/>
        <v>56</v>
      </c>
    </row>
    <row r="282" spans="1:58" s="3" customFormat="1" x14ac:dyDescent="0.2">
      <c r="A282" s="3" t="s">
        <v>316</v>
      </c>
      <c r="B282" s="3" t="str">
        <f>LOWER(VLOOKUP(A282,Xtal_Templ!A:B,2,FALSE))</f>
        <v>nk1r_human</v>
      </c>
      <c r="C282" s="3">
        <f>VLOOKUP($A282,'SegEnds_NonXtal_BW#'!$A:$Z,3,FALSE)+D282-50</f>
        <v>81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171"/>
        <v>114</v>
      </c>
      <c r="G282" s="3">
        <v>116</v>
      </c>
      <c r="H282" s="3">
        <f t="shared" si="172"/>
        <v>117</v>
      </c>
      <c r="I282" s="3">
        <f t="shared" si="172"/>
        <v>118</v>
      </c>
      <c r="J282" s="3">
        <v>131</v>
      </c>
      <c r="K282" s="3">
        <f>VLOOKUP($A282,'SegEnds_NonXtal_BW#'!$A:$Z,8,FALSE)+VLOOKUP($A282,A:AL,10,FALSE)-50</f>
        <v>149</v>
      </c>
      <c r="L282" s="3">
        <f t="shared" si="173"/>
        <v>150</v>
      </c>
      <c r="M282" s="3">
        <v>151</v>
      </c>
      <c r="N282" s="3">
        <f t="shared" si="174"/>
        <v>153</v>
      </c>
      <c r="O282" s="3">
        <f t="shared" si="17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169"/>
        <v>235</v>
      </c>
      <c r="AA282" s="3">
        <f>IF(ISERROR(VLOOKUP($A282,'SegEnds_NonXtal_BW#'!$A:$Z,19,FALSE)+VLOOKUP($A282,A:AL,28,FALSE)-50),"-",(VLOOKUP($A282,'SegEnds_NonXtal_BW#'!$A:$Z,19,FALSE)+VLOOKUP($A282,A:AL,28,FALSE)-50))</f>
        <v>239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333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167"/>
        <v>1</v>
      </c>
      <c r="AO282" s="3" t="str">
        <f>IF(ISERROR(MATCH(A282,'SegEnds_Xtal_Prot#'!B:B, 0)), "NoXtal", "Xtal")</f>
        <v>NoXtal</v>
      </c>
      <c r="AP282" s="3">
        <f t="shared" si="152"/>
        <v>1</v>
      </c>
      <c r="AQ282" s="3">
        <f t="shared" si="153"/>
        <v>1</v>
      </c>
      <c r="AR282" s="3">
        <f t="shared" si="154"/>
        <v>1</v>
      </c>
      <c r="AS282" s="3">
        <f t="shared" si="155"/>
        <v>1</v>
      </c>
      <c r="AT282" s="3" t="str">
        <f t="shared" si="156"/>
        <v>-</v>
      </c>
      <c r="AU282" s="3" t="str">
        <f t="shared" si="157"/>
        <v>-</v>
      </c>
      <c r="AV282" s="3">
        <f t="shared" si="158"/>
        <v>11</v>
      </c>
      <c r="AW282" s="3">
        <f t="shared" si="159"/>
        <v>4</v>
      </c>
      <c r="AX282" s="3">
        <f t="shared" si="160"/>
        <v>4</v>
      </c>
      <c r="AY282" s="3">
        <f t="shared" si="161"/>
        <v>8</v>
      </c>
      <c r="AZ282" s="3">
        <f t="shared" si="162"/>
        <v>1</v>
      </c>
      <c r="BA282" s="3">
        <f>IF(ISERROR(LEN(VLOOKUP(A282,Seqs!A:E,2,FALSE))-AL282),"-",LEN(VLOOKUP(A282,Seqs!A:E,2,FALSE))-AL282)</f>
        <v>94</v>
      </c>
      <c r="BB282" s="16">
        <f t="shared" si="163"/>
        <v>28</v>
      </c>
      <c r="BC282" s="9" t="str">
        <f t="shared" si="164"/>
        <v>-</v>
      </c>
      <c r="BD282" s="3">
        <f t="shared" si="165"/>
        <v>28</v>
      </c>
      <c r="BE282" s="3">
        <f t="shared" si="166"/>
        <v>55</v>
      </c>
    </row>
    <row r="283" spans="1:58" s="3" customFormat="1" x14ac:dyDescent="0.2">
      <c r="A283" s="3" t="s">
        <v>320</v>
      </c>
      <c r="B283" s="3" t="str">
        <f>LOWER(VLOOKUP(A283,Xtal_Templ!A:B,2,FALSE))</f>
        <v>oprd_human</v>
      </c>
      <c r="C283" s="3">
        <f>VLOOKUP($A283,'SegEnds_NonXtal_BW#'!$A:$Z,3,FALSE)+D283-50</f>
        <v>27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171"/>
        <v>66</v>
      </c>
      <c r="G283" s="3">
        <v>68</v>
      </c>
      <c r="H283" s="3">
        <f t="shared" si="172"/>
        <v>69</v>
      </c>
      <c r="I283" s="3">
        <f t="shared" si="17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173"/>
        <v>101</v>
      </c>
      <c r="M283" s="3">
        <v>102</v>
      </c>
      <c r="N283" s="3">
        <f t="shared" si="174"/>
        <v>104</v>
      </c>
      <c r="O283" s="3">
        <f t="shared" si="17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169"/>
        <v>190</v>
      </c>
      <c r="AA283" s="3">
        <f>IF(ISERROR(VLOOKUP($A283,'SegEnds_NonXtal_BW#'!$A:$Z,19,FALSE)+VLOOKUP($A283,A:AL,28,FALSE)-50),"-",(VLOOKUP($A283,'SegEnds_NonXtal_BW#'!$A:$Z,19,FALSE)+VLOOKUP($A283,A:AL,28,FALSE)-50))</f>
        <v>196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324</v>
      </c>
      <c r="AM283" s="28" t="str">
        <f>VLOOKUP(A283,Classification!A:B,2,FALSE)</f>
        <v>A</v>
      </c>
      <c r="AN283" s="28" t="b">
        <f t="shared" si="167"/>
        <v>1</v>
      </c>
      <c r="AO283" s="3" t="str">
        <f>IF(ISERROR(MATCH(A283,'SegEnds_Xtal_Prot#'!B:B, 0)), "NoXtal", "Xtal")</f>
        <v>NoXtal</v>
      </c>
      <c r="AP283" s="3">
        <f t="shared" si="152"/>
        <v>1</v>
      </c>
      <c r="AQ283" s="3">
        <f t="shared" si="153"/>
        <v>1</v>
      </c>
      <c r="AR283" s="3">
        <f t="shared" si="154"/>
        <v>2</v>
      </c>
      <c r="AS283" s="3">
        <f t="shared" si="155"/>
        <v>1</v>
      </c>
      <c r="AT283" s="3" t="str">
        <f t="shared" si="156"/>
        <v>-</v>
      </c>
      <c r="AU283" s="3" t="str">
        <f t="shared" si="157"/>
        <v>-</v>
      </c>
      <c r="AV283" s="3">
        <f t="shared" si="158"/>
        <v>11</v>
      </c>
      <c r="AW283" s="3">
        <f t="shared" si="159"/>
        <v>6</v>
      </c>
      <c r="AX283" s="3">
        <f t="shared" si="160"/>
        <v>6</v>
      </c>
      <c r="AY283" s="3">
        <f t="shared" si="161"/>
        <v>5</v>
      </c>
      <c r="AZ283" s="3">
        <f t="shared" si="162"/>
        <v>1</v>
      </c>
      <c r="BA283" s="3">
        <f>IF(ISERROR(LEN(VLOOKUP(A283,Seqs!A:E,2,FALSE))-AL283),"-",LEN(VLOOKUP(A283,Seqs!A:E,2,FALSE))-AL283)</f>
        <v>4</v>
      </c>
      <c r="BB283" s="16">
        <f t="shared" si="163"/>
        <v>28</v>
      </c>
      <c r="BC283" s="9" t="str">
        <f t="shared" si="164"/>
        <v>-</v>
      </c>
      <c r="BD283" s="3">
        <f t="shared" si="165"/>
        <v>28</v>
      </c>
      <c r="BE283" s="3">
        <f t="shared" si="16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LOWER(VLOOKUP(A284,Xtal_Templ!A:B,2,FALSE))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171"/>
        <v>74</v>
      </c>
      <c r="G284" s="3">
        <v>76</v>
      </c>
      <c r="H284" s="3">
        <f t="shared" si="172"/>
        <v>77</v>
      </c>
      <c r="I284" s="3">
        <f t="shared" si="17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173"/>
        <v>109</v>
      </c>
      <c r="M284" s="3">
        <v>110</v>
      </c>
      <c r="N284" s="3">
        <f t="shared" si="174"/>
        <v>112</v>
      </c>
      <c r="O284" s="3">
        <f t="shared" si="17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16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167"/>
        <v>1</v>
      </c>
      <c r="AO284" s="3" t="str">
        <f>IF(ISERROR(MATCH(A284,'SegEnds_Xtal_Prot#'!B:B, 0)), "NoXtal", "Xtal")</f>
        <v>NoXtal</v>
      </c>
      <c r="AP284" s="3">
        <f t="shared" si="152"/>
        <v>1</v>
      </c>
      <c r="AQ284" s="3">
        <f t="shared" si="153"/>
        <v>1</v>
      </c>
      <c r="AR284" s="3">
        <f t="shared" si="154"/>
        <v>2</v>
      </c>
      <c r="AS284" s="3">
        <f t="shared" si="155"/>
        <v>1</v>
      </c>
      <c r="AT284" s="3" t="str">
        <f t="shared" si="156"/>
        <v>-</v>
      </c>
      <c r="AU284" s="3" t="str">
        <f t="shared" si="157"/>
        <v>-</v>
      </c>
      <c r="AV284" s="3">
        <f t="shared" si="158"/>
        <v>12</v>
      </c>
      <c r="AW284" s="3">
        <f t="shared" si="159"/>
        <v>6</v>
      </c>
      <c r="AX284" s="3">
        <f t="shared" si="160"/>
        <v>6</v>
      </c>
      <c r="AY284" s="3">
        <f t="shared" si="161"/>
        <v>5</v>
      </c>
      <c r="AZ284" s="3">
        <f t="shared" si="162"/>
        <v>1</v>
      </c>
      <c r="BA284" s="3">
        <f>IF(ISERROR(LEN(VLOOKUP(A284,Seqs!A:E,2,FALSE))-AL284),"-",LEN(VLOOKUP(A284,Seqs!A:E,2,FALSE))-AL284)</f>
        <v>0</v>
      </c>
      <c r="BB284" s="16">
        <f t="shared" si="163"/>
        <v>28</v>
      </c>
      <c r="BC284" s="9" t="str">
        <f t="shared" si="164"/>
        <v>-</v>
      </c>
      <c r="BD284" s="3">
        <f t="shared" si="165"/>
        <v>28</v>
      </c>
      <c r="BE284" s="3">
        <f t="shared" si="16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LOWER(VLOOKUP(A285,Xtal_Templ!A:B,2,FALSE))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171"/>
        <v>72</v>
      </c>
      <c r="G285" s="3">
        <v>74</v>
      </c>
      <c r="H285" s="3">
        <f t="shared" si="172"/>
        <v>75</v>
      </c>
      <c r="I285" s="3">
        <f t="shared" si="17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173"/>
        <v>108</v>
      </c>
      <c r="M285" s="3">
        <v>109</v>
      </c>
      <c r="N285" s="3">
        <f t="shared" si="174"/>
        <v>111</v>
      </c>
      <c r="O285" s="3">
        <f t="shared" si="17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16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251</v>
      </c>
      <c r="AD285" s="3">
        <f>IF(ISERROR(VLOOKUP($A285,'SegEnds_NonXtal_BW#'!$A:$Z,21,FALSE)+VLOOKUP($A285,A:AL,31,FALSE)-50),"-",(VLOOKUP($A285,'SegEnds_NonXtal_BW#'!$A:$Z,21,FALSE)+VLOOKUP($A285,A:AL,31,FALSE)-50))</f>
        <v>257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167"/>
        <v>1</v>
      </c>
      <c r="AO285" s="3" t="str">
        <f>IF(ISERROR(MATCH(A285,'SegEnds_Xtal_Prot#'!B:B, 0)), "NoXtal", "Xtal")</f>
        <v>NoXtal</v>
      </c>
      <c r="AP285" s="3">
        <f t="shared" si="152"/>
        <v>1</v>
      </c>
      <c r="AQ285" s="3">
        <f t="shared" si="153"/>
        <v>1</v>
      </c>
      <c r="AR285" s="3">
        <f t="shared" si="154"/>
        <v>2</v>
      </c>
      <c r="AS285" s="3">
        <f t="shared" si="155"/>
        <v>1</v>
      </c>
      <c r="AT285" s="3" t="str">
        <f t="shared" si="156"/>
        <v>-</v>
      </c>
      <c r="AU285" s="3" t="str">
        <f t="shared" si="157"/>
        <v>-</v>
      </c>
      <c r="AV285" s="3">
        <f t="shared" si="158"/>
        <v>23</v>
      </c>
      <c r="AW285" s="3">
        <f t="shared" si="159"/>
        <v>5</v>
      </c>
      <c r="AX285" s="3">
        <f t="shared" si="160"/>
        <v>6</v>
      </c>
      <c r="AY285" s="3">
        <f t="shared" si="161"/>
        <v>8</v>
      </c>
      <c r="AZ285" s="3">
        <f t="shared" si="162"/>
        <v>1</v>
      </c>
      <c r="BA285" s="3">
        <f>IF(ISERROR(LEN(VLOOKUP(A285,Seqs!A:E,2,FALSE))-AL285),"-",LEN(VLOOKUP(A285,Seqs!A:E,2,FALSE))-AL285)</f>
        <v>86</v>
      </c>
      <c r="BB285" s="16">
        <f t="shared" si="163"/>
        <v>28</v>
      </c>
      <c r="BC285" s="9" t="str">
        <f t="shared" si="164"/>
        <v>-</v>
      </c>
      <c r="BD285" s="3">
        <f t="shared" si="165"/>
        <v>28</v>
      </c>
      <c r="BE285" s="3">
        <f t="shared" si="166"/>
        <v>57</v>
      </c>
    </row>
    <row r="286" spans="1:58" s="3" customFormat="1" x14ac:dyDescent="0.2">
      <c r="A286" s="3" t="s">
        <v>323</v>
      </c>
      <c r="B286" s="3" t="str">
        <f>LOWER(VLOOKUP(A286,Xtal_Templ!A:B,2,FALSE))</f>
        <v>ox2r_human</v>
      </c>
      <c r="C286" s="3">
        <f>VLOOKUP($A286,'SegEnds_NonXtal_BW#'!$A:$Z,3,FALSE)+D286-50</f>
        <v>146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171"/>
        <v>176</v>
      </c>
      <c r="G286" s="3">
        <v>178</v>
      </c>
      <c r="H286" s="3">
        <f t="shared" si="172"/>
        <v>179</v>
      </c>
      <c r="I286" s="3">
        <f t="shared" si="172"/>
        <v>180</v>
      </c>
      <c r="J286" s="3">
        <v>193</v>
      </c>
      <c r="K286" s="3">
        <f>VLOOKUP($A286,'SegEnds_NonXtal_BW#'!$A:$Z,8,FALSE)+VLOOKUP($A286,A:AL,10,FALSE)-50</f>
        <v>211</v>
      </c>
      <c r="L286" s="3">
        <f t="shared" si="173"/>
        <v>212</v>
      </c>
      <c r="M286" s="3">
        <v>213</v>
      </c>
      <c r="N286" s="3">
        <f t="shared" si="174"/>
        <v>215</v>
      </c>
      <c r="O286" s="3">
        <f t="shared" si="17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169"/>
        <v>310</v>
      </c>
      <c r="AA286" s="3">
        <f>IF(ISERROR(VLOOKUP($A286,'SegEnds_NonXtal_BW#'!$A:$Z,19,FALSE)+VLOOKUP($A286,A:AL,28,FALSE)-50),"-",(VLOOKUP($A286,'SegEnds_NonXtal_BW#'!$A:$Z,19,FALSE)+VLOOKUP($A286,A:AL,28,FALSE)-50))</f>
        <v>316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167"/>
        <v>1</v>
      </c>
      <c r="AO286" s="3" t="str">
        <f>IF(ISERROR(MATCH(A286,'SegEnds_Xtal_Prot#'!B:B, 0)), "NoXtal", "Xtal")</f>
        <v>NoXtal</v>
      </c>
      <c r="AP286" s="3">
        <f t="shared" si="152"/>
        <v>1</v>
      </c>
      <c r="AQ286" s="3">
        <f t="shared" si="153"/>
        <v>1</v>
      </c>
      <c r="AR286" s="3">
        <f t="shared" si="154"/>
        <v>1</v>
      </c>
      <c r="AS286" s="3">
        <f t="shared" si="155"/>
        <v>1</v>
      </c>
      <c r="AT286" s="3" t="str">
        <f t="shared" si="156"/>
        <v>-</v>
      </c>
      <c r="AU286" s="3" t="str">
        <f t="shared" si="157"/>
        <v>-</v>
      </c>
      <c r="AV286" s="3">
        <f t="shared" si="158"/>
        <v>24</v>
      </c>
      <c r="AW286" s="3">
        <f t="shared" si="159"/>
        <v>6</v>
      </c>
      <c r="AX286" s="3">
        <f t="shared" si="160"/>
        <v>9</v>
      </c>
      <c r="AY286" s="3">
        <f t="shared" si="161"/>
        <v>8</v>
      </c>
      <c r="AZ286" s="3">
        <f t="shared" si="162"/>
        <v>1</v>
      </c>
      <c r="BA286" s="3">
        <f>IF(ISERROR(LEN(VLOOKUP(A286,Seqs!A:E,2,FALSE))-AL286),"-",LEN(VLOOKUP(A286,Seqs!A:E,2,FALSE))-AL286)</f>
        <v>72</v>
      </c>
      <c r="BB286" s="16">
        <f t="shared" si="163"/>
        <v>28</v>
      </c>
      <c r="BC286" s="9" t="str">
        <f t="shared" si="164"/>
        <v>-</v>
      </c>
      <c r="BD286" s="3">
        <f t="shared" si="165"/>
        <v>28</v>
      </c>
      <c r="BE286" s="3">
        <f t="shared" si="166"/>
        <v>58</v>
      </c>
    </row>
    <row r="287" spans="1:58" s="3" customFormat="1" x14ac:dyDescent="0.2">
      <c r="A287" s="3" t="s">
        <v>325</v>
      </c>
      <c r="B287" s="3" t="str">
        <f>LOWER(VLOOKUP(A287,Xtal_Templ!A:B,2,FALSE))</f>
        <v>npy1r_human</v>
      </c>
      <c r="C287" s="3">
        <f>VLOOKUP($A287,'SegEnds_NonXtal_BW#'!$A:$Z,3,FALSE)+D287-50</f>
        <v>36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171"/>
        <v>69</v>
      </c>
      <c r="G287" s="3">
        <v>71</v>
      </c>
      <c r="H287" s="3">
        <f t="shared" si="172"/>
        <v>72</v>
      </c>
      <c r="I287" s="3">
        <f t="shared" si="172"/>
        <v>73</v>
      </c>
      <c r="J287" s="3">
        <v>86</v>
      </c>
      <c r="K287" s="3">
        <f>VLOOKUP($A287,'SegEnds_NonXtal_BW#'!$A:$Z,8,FALSE)+VLOOKUP($A287,A:AL,10,FALSE)-50</f>
        <v>104</v>
      </c>
      <c r="L287" s="3">
        <f t="shared" si="173"/>
        <v>105</v>
      </c>
      <c r="M287" s="3">
        <v>106</v>
      </c>
      <c r="N287" s="3">
        <f t="shared" si="174"/>
        <v>108</v>
      </c>
      <c r="O287" s="3">
        <f t="shared" si="17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169"/>
        <v>200</v>
      </c>
      <c r="AA287" s="3">
        <f>IF(ISERROR(VLOOKUP($A287,'SegEnds_NonXtal_BW#'!$A:$Z,19,FALSE)+VLOOKUP($A287,A:AL,28,FALSE)-50),"-",(VLOOKUP($A287,'SegEnds_NonXtal_BW#'!$A:$Z,19,FALSE)+VLOOKUP($A287,A:AL,28,FALSE)-50))</f>
        <v>204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167"/>
        <v>1</v>
      </c>
      <c r="AO287" s="3" t="str">
        <f>IF(ISERROR(MATCH(A287,'SegEnds_Xtal_Prot#'!B:B, 0)), "NoXtal", "Xtal")</f>
        <v>Xtal</v>
      </c>
      <c r="AP287" s="3">
        <f t="shared" si="152"/>
        <v>1</v>
      </c>
      <c r="AQ287" s="3">
        <f t="shared" si="153"/>
        <v>1</v>
      </c>
      <c r="AR287" s="3">
        <f t="shared" si="154"/>
        <v>1</v>
      </c>
      <c r="AS287" s="3">
        <f t="shared" si="155"/>
        <v>1</v>
      </c>
      <c r="AT287" s="3" t="str">
        <f t="shared" si="156"/>
        <v>-</v>
      </c>
      <c r="AU287" s="3" t="str">
        <f t="shared" si="157"/>
        <v>-</v>
      </c>
      <c r="AV287" s="3">
        <f t="shared" si="158"/>
        <v>21</v>
      </c>
      <c r="AW287" s="3">
        <f t="shared" si="159"/>
        <v>4</v>
      </c>
      <c r="AX287" s="3">
        <f t="shared" si="160"/>
        <v>4</v>
      </c>
      <c r="AY287" s="3">
        <f t="shared" si="161"/>
        <v>6</v>
      </c>
      <c r="AZ287" s="3">
        <f t="shared" si="162"/>
        <v>1</v>
      </c>
      <c r="BA287" s="3">
        <f>IF(ISERROR(LEN(VLOOKUP(A287,Seqs!A:E,2,FALSE))-AL287),"-",LEN(VLOOKUP(A287,Seqs!A:E,2,FALSE))-AL287)</f>
        <v>49</v>
      </c>
      <c r="BB287" s="16">
        <f t="shared" si="163"/>
        <v>28</v>
      </c>
      <c r="BC287" s="9" t="str">
        <f t="shared" si="164"/>
        <v>-</v>
      </c>
      <c r="BD287" s="3">
        <f t="shared" si="165"/>
        <v>28</v>
      </c>
      <c r="BE287" s="3">
        <f t="shared" si="166"/>
        <v>55</v>
      </c>
    </row>
    <row r="288" spans="1:58" s="3" customFormat="1" x14ac:dyDescent="0.2">
      <c r="A288" s="3" t="s">
        <v>326</v>
      </c>
      <c r="B288" s="3" t="str">
        <f>LOWER(VLOOKUP(A288,Xtal_Templ!A:B,2,FALSE))</f>
        <v>ox1r_human</v>
      </c>
      <c r="C288" s="3">
        <f>VLOOKUP($A288,'SegEnds_NonXtal_BW#'!$A:$Z,3,FALSE)+D288-50</f>
        <v>50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171"/>
        <v>79</v>
      </c>
      <c r="G288" s="3">
        <v>81</v>
      </c>
      <c r="H288" s="3">
        <f t="shared" si="172"/>
        <v>82</v>
      </c>
      <c r="I288" s="3">
        <f t="shared" si="172"/>
        <v>83</v>
      </c>
      <c r="J288" s="3">
        <v>96</v>
      </c>
      <c r="K288" s="3">
        <f>VLOOKUP($A288,'SegEnds_NonXtal_BW#'!$A:$Z,8,FALSE)+VLOOKUP($A288,A:AL,10,FALSE)-50</f>
        <v>113</v>
      </c>
      <c r="L288" s="3">
        <f t="shared" si="173"/>
        <v>115</v>
      </c>
      <c r="M288" s="3">
        <v>116</v>
      </c>
      <c r="N288" s="3">
        <f t="shared" si="174"/>
        <v>118</v>
      </c>
      <c r="O288" s="3">
        <f t="shared" si="17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169"/>
        <v>205</v>
      </c>
      <c r="AA288" s="3">
        <f>IF(ISERROR(VLOOKUP($A288,'SegEnds_NonXtal_BW#'!$A:$Z,19,FALSE)+VLOOKUP($A288,A:AL,28,FALSE)-50),"-",(VLOOKUP($A288,'SegEnds_NonXtal_BW#'!$A:$Z,19,FALSE)+VLOOKUP($A288,A:AL,28,FALSE)-50))</f>
        <v>213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257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300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167"/>
        <v>1</v>
      </c>
      <c r="AO288" s="3" t="str">
        <f>IF(ISERROR(MATCH(A288,'SegEnds_Xtal_Prot#'!B:B, 0)), "NoXtal", "Xtal")</f>
        <v>NoXtal</v>
      </c>
      <c r="AP288" s="3">
        <f t="shared" si="152"/>
        <v>1</v>
      </c>
      <c r="AQ288" s="3">
        <f t="shared" si="153"/>
        <v>1</v>
      </c>
      <c r="AR288" s="3">
        <f t="shared" si="154"/>
        <v>2</v>
      </c>
      <c r="AS288" s="3">
        <f t="shared" si="155"/>
        <v>1</v>
      </c>
      <c r="AT288" s="3" t="str">
        <f t="shared" si="156"/>
        <v>-</v>
      </c>
      <c r="AU288" s="3" t="str">
        <f t="shared" si="157"/>
        <v>-</v>
      </c>
      <c r="AV288" s="3">
        <f t="shared" si="158"/>
        <v>16</v>
      </c>
      <c r="AW288" s="3">
        <f t="shared" si="159"/>
        <v>8</v>
      </c>
      <c r="AX288" s="3">
        <f t="shared" si="160"/>
        <v>4</v>
      </c>
      <c r="AY288" s="3">
        <f t="shared" si="161"/>
        <v>6</v>
      </c>
      <c r="AZ288" s="3">
        <f t="shared" si="162"/>
        <v>1</v>
      </c>
      <c r="BA288" s="3">
        <f>IF(ISERROR(LEN(VLOOKUP(A288,Seqs!A:E,2,FALSE))-AL288),"-",LEN(VLOOKUP(A288,Seqs!A:E,2,FALSE))-AL288)</f>
        <v>41</v>
      </c>
      <c r="BB288" s="16">
        <f t="shared" si="163"/>
        <v>28</v>
      </c>
      <c r="BC288" s="9" t="str">
        <f t="shared" si="164"/>
        <v>-</v>
      </c>
      <c r="BD288" s="3">
        <f t="shared" si="165"/>
        <v>28</v>
      </c>
      <c r="BE288" s="3">
        <f t="shared" si="166"/>
        <v>52</v>
      </c>
    </row>
    <row r="289" spans="1:59" s="3" customFormat="1" x14ac:dyDescent="0.2">
      <c r="A289" s="3" t="s">
        <v>327</v>
      </c>
      <c r="B289" s="3" t="str">
        <f>LOWER(VLOOKUP(A289,Xtal_Templ!A:B,2,FALSE))</f>
        <v>npy1r_human</v>
      </c>
      <c r="C289" s="3">
        <f>VLOOKUP($A289,'SegEnds_NonXtal_BW#'!$A:$Z,3,FALSE)+D289-50</f>
        <v>37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171"/>
        <v>70</v>
      </c>
      <c r="G289" s="3">
        <v>72</v>
      </c>
      <c r="H289" s="3">
        <f t="shared" si="172"/>
        <v>73</v>
      </c>
      <c r="I289" s="3">
        <f t="shared" si="17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173"/>
        <v>106</v>
      </c>
      <c r="M289" s="3">
        <v>107</v>
      </c>
      <c r="N289" s="3">
        <f t="shared" si="174"/>
        <v>109</v>
      </c>
      <c r="O289" s="3">
        <f t="shared" si="17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169"/>
        <v>203</v>
      </c>
      <c r="AA289" s="3">
        <f>IF(ISERROR(VLOOKUP($A289,'SegEnds_NonXtal_BW#'!$A:$Z,19,FALSE)+VLOOKUP($A289,A:AL,28,FALSE)-50),"-",(VLOOKUP($A289,'SegEnds_NonXtal_BW#'!$A:$Z,19,FALSE)+VLOOKUP($A289,A:AL,28,FALSE)-50))</f>
        <v>207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167"/>
        <v>1</v>
      </c>
      <c r="AO289" s="3" t="str">
        <f>IF(ISERROR(MATCH(A289,'SegEnds_Xtal_Prot#'!B:B, 0)), "NoXtal", "Xtal")</f>
        <v>NoXtal</v>
      </c>
      <c r="AP289" s="3">
        <f t="shared" si="152"/>
        <v>1</v>
      </c>
      <c r="AQ289" s="3">
        <f t="shared" si="153"/>
        <v>1</v>
      </c>
      <c r="AR289" s="3">
        <f t="shared" si="154"/>
        <v>1</v>
      </c>
      <c r="AS289" s="3">
        <f t="shared" si="155"/>
        <v>1</v>
      </c>
      <c r="AT289" s="3" t="str">
        <f t="shared" si="156"/>
        <v>-</v>
      </c>
      <c r="AU289" s="3" t="str">
        <f t="shared" si="157"/>
        <v>-</v>
      </c>
      <c r="AV289" s="3">
        <f t="shared" si="158"/>
        <v>23</v>
      </c>
      <c r="AW289" s="3">
        <f t="shared" si="159"/>
        <v>4</v>
      </c>
      <c r="AX289" s="3">
        <f t="shared" si="160"/>
        <v>6</v>
      </c>
      <c r="AY289" s="3">
        <f t="shared" si="161"/>
        <v>6</v>
      </c>
      <c r="AZ289" s="3">
        <f t="shared" si="162"/>
        <v>1</v>
      </c>
      <c r="BA289" s="3">
        <f>IF(ISERROR(LEN(VLOOKUP(A289,Seqs!A:E,2,FALSE))-AL289),"-",LEN(VLOOKUP(A289,Seqs!A:E,2,FALSE))-AL289)</f>
        <v>38</v>
      </c>
      <c r="BB289" s="16">
        <f t="shared" si="163"/>
        <v>28</v>
      </c>
      <c r="BC289" s="9" t="str">
        <f t="shared" si="164"/>
        <v>-</v>
      </c>
      <c r="BD289" s="3">
        <f t="shared" si="165"/>
        <v>28</v>
      </c>
      <c r="BE289" s="3">
        <f t="shared" si="166"/>
        <v>54</v>
      </c>
    </row>
    <row r="290" spans="1:59" s="3" customFormat="1" x14ac:dyDescent="0.2">
      <c r="A290" s="3" t="s">
        <v>328</v>
      </c>
      <c r="B290" s="3" t="str">
        <f>LOWER(VLOOKUP(A290,Xtal_Templ!A:B,2,FALSE))</f>
        <v>npy1r_human</v>
      </c>
      <c r="C290" s="3">
        <f>VLOOKUP($A290,'SegEnds_NonXtal_BW#'!$A:$Z,3,FALSE)+D290-50</f>
        <v>37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171"/>
        <v>70</v>
      </c>
      <c r="G290" s="3">
        <v>72</v>
      </c>
      <c r="H290" s="3">
        <f t="shared" si="172"/>
        <v>73</v>
      </c>
      <c r="I290" s="3">
        <f t="shared" si="17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173"/>
        <v>106</v>
      </c>
      <c r="M290" s="3">
        <v>107</v>
      </c>
      <c r="N290" s="3">
        <f t="shared" si="174"/>
        <v>109</v>
      </c>
      <c r="O290" s="3">
        <f t="shared" si="17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169"/>
        <v>200</v>
      </c>
      <c r="AA290" s="3">
        <f>IF(ISERROR(VLOOKUP($A290,'SegEnds_NonXtal_BW#'!$A:$Z,19,FALSE)+VLOOKUP($A290,A:AL,28,FALSE)-50),"-",(VLOOKUP($A290,'SegEnds_NonXtal_BW#'!$A:$Z,19,FALSE)+VLOOKUP($A290,A:AL,28,FALSE)-50))</f>
        <v>204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167"/>
        <v>1</v>
      </c>
      <c r="AO290" s="3" t="str">
        <f>IF(ISERROR(MATCH(A290,'SegEnds_Xtal_Prot#'!B:B, 0)), "NoXtal", "Xtal")</f>
        <v>NoXtal</v>
      </c>
      <c r="AP290" s="3">
        <f t="shared" si="152"/>
        <v>1</v>
      </c>
      <c r="AQ290" s="3">
        <f t="shared" si="153"/>
        <v>1</v>
      </c>
      <c r="AR290" s="3">
        <f t="shared" si="154"/>
        <v>1</v>
      </c>
      <c r="AS290" s="3">
        <f t="shared" si="155"/>
        <v>1</v>
      </c>
      <c r="AT290" s="3" t="str">
        <f t="shared" si="156"/>
        <v>-</v>
      </c>
      <c r="AU290" s="3" t="str">
        <f t="shared" si="157"/>
        <v>-</v>
      </c>
      <c r="AV290" s="3">
        <f t="shared" si="158"/>
        <v>20</v>
      </c>
      <c r="AW290" s="3">
        <f t="shared" si="159"/>
        <v>4</v>
      </c>
      <c r="AX290" s="3">
        <f t="shared" si="160"/>
        <v>108</v>
      </c>
      <c r="AY290" s="3">
        <f t="shared" si="161"/>
        <v>6</v>
      </c>
      <c r="AZ290" s="3">
        <f t="shared" si="162"/>
        <v>1</v>
      </c>
      <c r="BA290" s="3">
        <f>IF(ISERROR(LEN(VLOOKUP(A290,Seqs!A:E,2,FALSE))-AL290),"-",LEN(VLOOKUP(A290,Seqs!A:E,2,FALSE))-AL290)</f>
        <v>5</v>
      </c>
      <c r="BB290" s="16">
        <f t="shared" si="163"/>
        <v>28</v>
      </c>
      <c r="BC290" s="9" t="str">
        <f t="shared" si="164"/>
        <v>-</v>
      </c>
      <c r="BD290" s="3">
        <f t="shared" si="165"/>
        <v>28</v>
      </c>
      <c r="BE290" s="3">
        <f t="shared" si="16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LOWER(VLOOKUP(A291,Xtal_Templ!A:B,2,FALSE))</f>
        <v>npy1r_human</v>
      </c>
      <c r="C291" s="3">
        <f>VLOOKUP($A291,'SegEnds_NonXtal_BW#'!$A:$Z,3,FALSE)+D291-50</f>
        <v>31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171"/>
        <v>65</v>
      </c>
      <c r="G291" s="3">
        <v>67</v>
      </c>
      <c r="H291" s="3">
        <f t="shared" si="172"/>
        <v>68</v>
      </c>
      <c r="I291" s="3">
        <f t="shared" si="17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173"/>
        <v>101</v>
      </c>
      <c r="M291" s="3">
        <v>102</v>
      </c>
      <c r="N291" s="3">
        <f t="shared" si="174"/>
        <v>104</v>
      </c>
      <c r="O291" s="3">
        <f t="shared" si="17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202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167"/>
        <v>#VALUE!</v>
      </c>
      <c r="AO291" s="3" t="str">
        <f>IF(ISERROR(MATCH(A291,'SegEnds_Xtal_Prot#'!B:B, 0)), "NoXtal", "Xtal")</f>
        <v>NoXtal</v>
      </c>
      <c r="AP291" s="3">
        <f t="shared" si="152"/>
        <v>2</v>
      </c>
      <c r="AQ291" s="3">
        <f t="shared" si="153"/>
        <v>1</v>
      </c>
      <c r="AR291" s="3">
        <f t="shared" si="154"/>
        <v>1</v>
      </c>
      <c r="AS291" s="3">
        <f t="shared" si="155"/>
        <v>1</v>
      </c>
      <c r="AT291" s="3" t="str">
        <f t="shared" si="156"/>
        <v>-</v>
      </c>
      <c r="AU291" s="3" t="str">
        <f t="shared" si="157"/>
        <v>-</v>
      </c>
      <c r="AV291" s="3" t="str">
        <f t="shared" si="158"/>
        <v>-</v>
      </c>
      <c r="AW291" s="3" t="str">
        <f t="shared" si="159"/>
        <v>-</v>
      </c>
      <c r="AX291" s="3">
        <f t="shared" si="160"/>
        <v>4</v>
      </c>
      <c r="AY291" s="3" t="str">
        <f t="shared" si="161"/>
        <v>-</v>
      </c>
      <c r="AZ291" s="3" t="str">
        <f t="shared" si="162"/>
        <v>-</v>
      </c>
      <c r="BA291" s="3" t="str">
        <f>IF(ISERROR(LEN(VLOOKUP(A291,Seqs!A:E,2,FALSE))-AL291),"-",LEN(VLOOKUP(A291,Seqs!A:E,2,FALSE))-AL291)</f>
        <v>-</v>
      </c>
      <c r="BB291" s="16">
        <f t="shared" si="163"/>
        <v>29</v>
      </c>
      <c r="BC291" s="9" t="str">
        <f t="shared" si="164"/>
        <v>-</v>
      </c>
      <c r="BD291" s="3">
        <f t="shared" si="165"/>
        <v>29</v>
      </c>
      <c r="BE291" s="3">
        <f t="shared" si="166"/>
        <v>55</v>
      </c>
      <c r="BG291" s="3" t="s">
        <v>1307</v>
      </c>
    </row>
    <row r="292" spans="1:59" s="3" customFormat="1" x14ac:dyDescent="0.2">
      <c r="A292" s="3" t="s">
        <v>332</v>
      </c>
      <c r="B292" s="3" t="str">
        <f>LOWER(VLOOKUP(A292,Xtal_Templ!A:B,2,FALSE))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171"/>
        <v>70</v>
      </c>
      <c r="G292" s="3">
        <v>72</v>
      </c>
      <c r="H292" s="3">
        <f t="shared" si="172"/>
        <v>73</v>
      </c>
      <c r="I292" s="3">
        <f t="shared" si="17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173"/>
        <v>106</v>
      </c>
      <c r="M292" s="3">
        <v>107</v>
      </c>
      <c r="N292" s="3">
        <f t="shared" si="174"/>
        <v>109</v>
      </c>
      <c r="O292" s="3">
        <f t="shared" si="17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4" si="17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167"/>
        <v>1</v>
      </c>
      <c r="AO292" s="3" t="str">
        <f>IF(ISERROR(MATCH(A292,'SegEnds_Xtal_Prot#'!B:B, 0)), "NoXtal", "Xtal")</f>
        <v>NoXtal</v>
      </c>
      <c r="AP292" s="3">
        <f t="shared" si="152"/>
        <v>1</v>
      </c>
      <c r="AQ292" s="3">
        <f t="shared" si="153"/>
        <v>1</v>
      </c>
      <c r="AR292" s="3">
        <f t="shared" si="154"/>
        <v>2</v>
      </c>
      <c r="AS292" s="3">
        <f t="shared" si="155"/>
        <v>1</v>
      </c>
      <c r="AT292" s="3" t="str">
        <f t="shared" si="156"/>
        <v>-</v>
      </c>
      <c r="AU292" s="3" t="str">
        <f t="shared" si="157"/>
        <v>-</v>
      </c>
      <c r="AV292" s="3">
        <f t="shared" si="158"/>
        <v>14</v>
      </c>
      <c r="AW292" s="3">
        <f t="shared" si="159"/>
        <v>8</v>
      </c>
      <c r="AX292" s="3">
        <f t="shared" si="160"/>
        <v>5</v>
      </c>
      <c r="AY292" s="3">
        <f t="shared" si="161"/>
        <v>6</v>
      </c>
      <c r="AZ292" s="3">
        <f t="shared" si="162"/>
        <v>1</v>
      </c>
      <c r="BA292" s="3">
        <f>IF(ISERROR(LEN(VLOOKUP(A292,Seqs!A:E,2,FALSE))-AL292),"-",LEN(VLOOKUP(A292,Seqs!A:E,2,FALSE))-AL292)</f>
        <v>77</v>
      </c>
      <c r="BB292" s="16">
        <f t="shared" si="163"/>
        <v>28</v>
      </c>
      <c r="BC292" s="9" t="str">
        <f t="shared" si="164"/>
        <v>-</v>
      </c>
      <c r="BD292" s="3">
        <f t="shared" si="165"/>
        <v>28</v>
      </c>
      <c r="BE292" s="3">
        <f t="shared" si="166"/>
        <v>56</v>
      </c>
    </row>
    <row r="293" spans="1:59" s="3" customFormat="1" x14ac:dyDescent="0.2">
      <c r="A293" s="3" t="s">
        <v>344</v>
      </c>
      <c r="B293" s="3" t="str">
        <f>LOWER(VLOOKUP(A293,Xtal_Templ!A:B,2,FALSE))</f>
        <v>ox1r_human</v>
      </c>
      <c r="C293" s="3">
        <f>VLOOKUP($A293,'SegEnds_NonXtal_BW#'!$A:$Z,3,FALSE)+D293-50</f>
        <v>39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171"/>
        <v>68</v>
      </c>
      <c r="G293" s="3">
        <v>70</v>
      </c>
      <c r="H293" s="3">
        <f t="shared" si="172"/>
        <v>71</v>
      </c>
      <c r="I293" s="3">
        <f t="shared" si="17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173"/>
        <v>102</v>
      </c>
      <c r="M293" s="3">
        <v>103</v>
      </c>
      <c r="N293" s="3">
        <f t="shared" si="174"/>
        <v>105</v>
      </c>
      <c r="O293" s="3">
        <f t="shared" si="17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176"/>
        <v>189</v>
      </c>
      <c r="AA293" s="3">
        <f>IF(ISERROR(VLOOKUP($A293,'SegEnds_NonXtal_BW#'!$A:$Z,19,FALSE)+VLOOKUP($A293,A:AL,28,FALSE)-50),"-",(VLOOKUP($A293,'SegEnds_NonXtal_BW#'!$A:$Z,19,FALSE)+VLOOKUP($A293,A:AL,28,FALSE)-50))</f>
        <v>194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332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344</v>
      </c>
      <c r="AM293" s="28" t="str">
        <f>VLOOKUP(A293,Classification!A:B,2,FALSE)</f>
        <v>A</v>
      </c>
      <c r="AN293" s="28" t="b">
        <f t="shared" si="167"/>
        <v>1</v>
      </c>
      <c r="AO293" s="3" t="str">
        <f>IF(ISERROR(MATCH(A293,'SegEnds_Xtal_Prot#'!B:B, 0)), "NoXtal", "Xtal")</f>
        <v>NoXtal</v>
      </c>
      <c r="AP293" s="3">
        <f t="shared" si="152"/>
        <v>1</v>
      </c>
      <c r="AQ293" s="3">
        <f t="shared" si="153"/>
        <v>1</v>
      </c>
      <c r="AR293" s="3">
        <f t="shared" si="154"/>
        <v>1</v>
      </c>
      <c r="AS293" s="3">
        <f t="shared" si="155"/>
        <v>1</v>
      </c>
      <c r="AT293" s="3" t="str">
        <f t="shared" si="156"/>
        <v>-</v>
      </c>
      <c r="AU293" s="3" t="str">
        <f t="shared" si="157"/>
        <v>-</v>
      </c>
      <c r="AV293" s="3">
        <f t="shared" si="158"/>
        <v>12</v>
      </c>
      <c r="AW293" s="3">
        <f t="shared" si="159"/>
        <v>5</v>
      </c>
      <c r="AX293" s="3">
        <f t="shared" si="160"/>
        <v>26</v>
      </c>
      <c r="AY293" s="3">
        <f t="shared" si="161"/>
        <v>6</v>
      </c>
      <c r="AZ293" s="3">
        <f t="shared" si="162"/>
        <v>1</v>
      </c>
      <c r="BA293" s="3">
        <f>IF(ISERROR(LEN(VLOOKUP(A293,Seqs!A:E,2,FALSE))-AL293),"-",LEN(VLOOKUP(A293,Seqs!A:E,2,FALSE))-AL293)</f>
        <v>45</v>
      </c>
      <c r="BB293" s="16">
        <f t="shared" si="163"/>
        <v>28</v>
      </c>
      <c r="BC293" s="9" t="str">
        <f t="shared" si="164"/>
        <v>-</v>
      </c>
      <c r="BD293" s="3">
        <f t="shared" si="165"/>
        <v>28</v>
      </c>
      <c r="BE293" s="3">
        <f t="shared" si="166"/>
        <v>78</v>
      </c>
    </row>
    <row r="294" spans="1:59" s="3" customFormat="1" x14ac:dyDescent="0.2">
      <c r="A294" s="3" t="s">
        <v>367</v>
      </c>
      <c r="B294" s="3" t="str">
        <f>LOWER(VLOOKUP(A294,Xtal_Templ!A:B,2,FALSE))</f>
        <v>npy1r_human</v>
      </c>
      <c r="C294" s="3">
        <f>VLOOKUP($A294,'SegEnds_NonXtal_BW#'!$A:$Z,3,FALSE)+D294-50</f>
        <v>58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171"/>
        <v>91</v>
      </c>
      <c r="G294" s="3">
        <v>93</v>
      </c>
      <c r="H294" s="3">
        <f t="shared" si="172"/>
        <v>94</v>
      </c>
      <c r="I294" s="3">
        <f t="shared" si="172"/>
        <v>95</v>
      </c>
      <c r="J294" s="3">
        <v>108</v>
      </c>
      <c r="K294" s="3">
        <f>VLOOKUP($A294,'SegEnds_NonXtal_BW#'!$A:$Z,8,FALSE)+VLOOKUP($A294,A:AL,10,FALSE)-50</f>
        <v>126</v>
      </c>
      <c r="L294" s="3">
        <f t="shared" si="173"/>
        <v>129</v>
      </c>
      <c r="M294" s="3">
        <v>130</v>
      </c>
      <c r="N294" s="3">
        <f t="shared" si="174"/>
        <v>132</v>
      </c>
      <c r="O294" s="3">
        <f t="shared" si="17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176"/>
        <v>219</v>
      </c>
      <c r="AA294" s="3">
        <f>IF(ISERROR(VLOOKUP($A294,'SegEnds_NonXtal_BW#'!$A:$Z,19,FALSE)+VLOOKUP($A294,A:AL,28,FALSE)-50),"-",(VLOOKUP($A294,'SegEnds_NonXtal_BW#'!$A:$Z,19,FALSE)+VLOOKUP($A294,A:AL,28,FALSE)-50))</f>
        <v>225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167"/>
        <v>1</v>
      </c>
      <c r="AO294" s="3" t="str">
        <f>IF(ISERROR(MATCH(A294,'SegEnds_Xtal_Prot#'!B:B, 0)), "NoXtal", "Xtal")</f>
        <v>NoXtal</v>
      </c>
      <c r="AP294" s="3">
        <f t="shared" si="152"/>
        <v>1</v>
      </c>
      <c r="AQ294" s="3">
        <f t="shared" si="153"/>
        <v>1</v>
      </c>
      <c r="AR294" s="3">
        <f t="shared" si="154"/>
        <v>3</v>
      </c>
      <c r="AS294" s="3">
        <f t="shared" si="155"/>
        <v>1</v>
      </c>
      <c r="AT294" s="3" t="str">
        <f t="shared" si="156"/>
        <v>-</v>
      </c>
      <c r="AU294" s="3" t="str">
        <f t="shared" si="157"/>
        <v>-</v>
      </c>
      <c r="AV294" s="3">
        <f t="shared" si="158"/>
        <v>16</v>
      </c>
      <c r="AW294" s="3">
        <f t="shared" si="159"/>
        <v>6</v>
      </c>
      <c r="AX294" s="3">
        <f t="shared" si="160"/>
        <v>4</v>
      </c>
      <c r="AY294" s="3">
        <f t="shared" si="161"/>
        <v>7</v>
      </c>
      <c r="AZ294" s="3">
        <f t="shared" si="162"/>
        <v>2</v>
      </c>
      <c r="BA294" s="3">
        <f>IF(ISERROR(LEN(VLOOKUP(A294,Seqs!A:E,2,FALSE))-AL294),"-",LEN(VLOOKUP(A294,Seqs!A:E,2,FALSE))-AL294)</f>
        <v>35</v>
      </c>
      <c r="BB294" s="16">
        <f t="shared" si="163"/>
        <v>28</v>
      </c>
      <c r="BC294" s="9" t="str">
        <f t="shared" si="164"/>
        <v>-</v>
      </c>
      <c r="BD294" s="3">
        <f t="shared" si="165"/>
        <v>28</v>
      </c>
      <c r="BE294" s="3">
        <f t="shared" si="166"/>
        <v>55</v>
      </c>
    </row>
    <row r="295" spans="1:59" s="3" customFormat="1" x14ac:dyDescent="0.2">
      <c r="A295" s="3" t="s">
        <v>368</v>
      </c>
      <c r="B295" s="3" t="str">
        <f>LOWER(VLOOKUP(A295,Xtal_Templ!A:B,2,FALSE))</f>
        <v>npy1r_human</v>
      </c>
      <c r="C295" s="3">
        <f>VLOOKUP($A295,'SegEnds_NonXtal_BW#'!$A:$Z,3,FALSE)+D295-50</f>
        <v>49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171"/>
        <v>82</v>
      </c>
      <c r="G295" s="3">
        <v>84</v>
      </c>
      <c r="H295" s="3">
        <f t="shared" si="172"/>
        <v>85</v>
      </c>
      <c r="I295" s="3">
        <f t="shared" si="172"/>
        <v>86</v>
      </c>
      <c r="J295" s="3">
        <v>99</v>
      </c>
      <c r="K295" s="3">
        <f>VLOOKUP($A295,'SegEnds_NonXtal_BW#'!$A:$Z,8,FALSE)+VLOOKUP($A295,A:AL,10,FALSE)-50</f>
        <v>117</v>
      </c>
      <c r="L295" s="3">
        <f t="shared" si="173"/>
        <v>120</v>
      </c>
      <c r="M295" s="3">
        <v>121</v>
      </c>
      <c r="N295" s="3">
        <f t="shared" si="174"/>
        <v>123</v>
      </c>
      <c r="O295" s="3">
        <f t="shared" si="17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176"/>
        <v>210</v>
      </c>
      <c r="AA295" s="3">
        <f>IF(ISERROR(VLOOKUP($A295,'SegEnds_NonXtal_BW#'!$A:$Z,19,FALSE)+VLOOKUP($A295,A:AL,28,FALSE)-50),"-",(VLOOKUP($A295,'SegEnds_NonXtal_BW#'!$A:$Z,19,FALSE)+VLOOKUP($A295,A:AL,28,FALSE)-50))</f>
        <v>216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167"/>
        <v>1</v>
      </c>
      <c r="AO295" s="3" t="str">
        <f>IF(ISERROR(MATCH(A295,'SegEnds_Xtal_Prot#'!B:B, 0)), "NoXtal", "Xtal")</f>
        <v>NoXtal</v>
      </c>
      <c r="AP295" s="3">
        <f t="shared" si="152"/>
        <v>1</v>
      </c>
      <c r="AQ295" s="3">
        <f t="shared" si="153"/>
        <v>1</v>
      </c>
      <c r="AR295" s="3">
        <f t="shared" si="154"/>
        <v>3</v>
      </c>
      <c r="AS295" s="3">
        <f t="shared" si="155"/>
        <v>1</v>
      </c>
      <c r="AT295" s="3" t="str">
        <f t="shared" si="156"/>
        <v>-</v>
      </c>
      <c r="AU295" s="3" t="str">
        <f t="shared" si="157"/>
        <v>-</v>
      </c>
      <c r="AV295" s="3">
        <f t="shared" si="158"/>
        <v>16</v>
      </c>
      <c r="AW295" s="3">
        <f t="shared" si="159"/>
        <v>6</v>
      </c>
      <c r="AX295" s="3">
        <f t="shared" si="160"/>
        <v>4</v>
      </c>
      <c r="AY295" s="3">
        <f t="shared" si="161"/>
        <v>7</v>
      </c>
      <c r="AZ295" s="3">
        <f t="shared" si="162"/>
        <v>2</v>
      </c>
      <c r="BA295" s="3">
        <f>IF(ISERROR(LEN(VLOOKUP(A295,Seqs!A:E,2,FALSE))-AL295),"-",LEN(VLOOKUP(A295,Seqs!A:E,2,FALSE))-AL295)</f>
        <v>35</v>
      </c>
      <c r="BB295" s="16">
        <f t="shared" si="163"/>
        <v>28</v>
      </c>
      <c r="BC295" s="9" t="str">
        <f t="shared" si="164"/>
        <v>-</v>
      </c>
      <c r="BD295" s="3">
        <f t="shared" si="165"/>
        <v>28</v>
      </c>
      <c r="BE295" s="3">
        <f t="shared" si="166"/>
        <v>55</v>
      </c>
    </row>
    <row r="296" spans="1:59" s="3" customFormat="1" x14ac:dyDescent="0.2">
      <c r="A296" s="3" t="s">
        <v>373</v>
      </c>
      <c r="B296" s="3" t="str">
        <f>LOWER(VLOOKUP(A296,Xtal_Templ!A:B,2,FALSE))</f>
        <v>agtr1_human</v>
      </c>
      <c r="C296" s="3">
        <f>VLOOKUP($A296,'SegEnds_NonXtal_BW#'!$A:$Z,3,FALSE)+D296-50</f>
        <v>77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171"/>
        <v>110</v>
      </c>
      <c r="G296" s="3">
        <v>112</v>
      </c>
      <c r="H296" s="3">
        <f t="shared" si="172"/>
        <v>113</v>
      </c>
      <c r="I296" s="3">
        <f t="shared" si="17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173"/>
        <v>147</v>
      </c>
      <c r="M296" s="3">
        <v>148</v>
      </c>
      <c r="N296" s="3">
        <f t="shared" si="174"/>
        <v>150</v>
      </c>
      <c r="O296" s="3">
        <f t="shared" si="17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17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167"/>
        <v>1</v>
      </c>
      <c r="AO296" s="3" t="str">
        <f>IF(ISERROR(MATCH(A296,'SegEnds_Xtal_Prot#'!B:B, 0)), "NoXtal", "Xtal")</f>
        <v>NoXtal</v>
      </c>
      <c r="AP296" s="3">
        <f t="shared" si="152"/>
        <v>1</v>
      </c>
      <c r="AQ296" s="3">
        <f t="shared" si="153"/>
        <v>1</v>
      </c>
      <c r="AR296" s="3">
        <f t="shared" si="154"/>
        <v>3</v>
      </c>
      <c r="AS296" s="3">
        <f t="shared" si="155"/>
        <v>1</v>
      </c>
      <c r="AT296" s="3" t="str">
        <f t="shared" si="156"/>
        <v>-</v>
      </c>
      <c r="AU296" s="3" t="str">
        <f t="shared" si="157"/>
        <v>-</v>
      </c>
      <c r="AV296" s="3">
        <f t="shared" si="158"/>
        <v>11</v>
      </c>
      <c r="AW296" s="3">
        <f t="shared" si="159"/>
        <v>14</v>
      </c>
      <c r="AX296" s="3">
        <f t="shared" si="160"/>
        <v>9</v>
      </c>
      <c r="AY296" s="3">
        <f t="shared" si="161"/>
        <v>5</v>
      </c>
      <c r="AZ296" s="3">
        <f t="shared" si="162"/>
        <v>1</v>
      </c>
      <c r="BA296" s="3">
        <f>IF(ISERROR(LEN(VLOOKUP(A296,Seqs!A:E,2,FALSE))-AL296),"-",LEN(VLOOKUP(A296,Seqs!A:E,2,FALSE))-AL296)</f>
        <v>62</v>
      </c>
      <c r="BB296" s="16">
        <f t="shared" si="163"/>
        <v>29</v>
      </c>
      <c r="BC296" s="9" t="str">
        <f t="shared" si="164"/>
        <v>-</v>
      </c>
      <c r="BD296" s="3">
        <f t="shared" si="165"/>
        <v>29</v>
      </c>
      <c r="BE296" s="3">
        <f t="shared" si="166"/>
        <v>62</v>
      </c>
    </row>
    <row r="297" spans="1:59" s="3" customFormat="1" x14ac:dyDescent="0.2">
      <c r="A297" s="3" t="s">
        <v>924</v>
      </c>
      <c r="B297" s="3" t="str">
        <f>LOWER(VLOOKUP(A297,Xtal_Templ!A:B,2,FALSE))</f>
        <v>us28_hcmva</v>
      </c>
      <c r="C297" s="3">
        <f>VLOOKUP($A297,'SegEnds_NonXtal_BW#'!$A:$Z,3,FALSE)+D297-50</f>
        <v>25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171"/>
        <v>62</v>
      </c>
      <c r="G297" s="3">
        <v>64</v>
      </c>
      <c r="H297" s="3">
        <f t="shared" ref="H297:I314" si="177">G297+1</f>
        <v>65</v>
      </c>
      <c r="I297" s="3">
        <f t="shared" si="17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100</v>
      </c>
      <c r="P297" s="3">
        <v>129</v>
      </c>
      <c r="Q297" s="3">
        <f>VLOOKUP($A297,'SegEnds_NonXtal_BW#'!$A:$Z,12,FALSE)+VLOOKUP($A297,A:AL,16,FALSE)-50</f>
        <v>134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164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176"/>
        <v>175</v>
      </c>
      <c r="AA297" s="3">
        <f>IF(ISERROR(VLOOKUP($A297,'SegEnds_NonXtal_BW#'!$A:$Z,19,FALSE)+VLOOKUP($A297,A:AL,28,FALSE)-50),"-",(VLOOKUP($A297,'SegEnds_NonXtal_BW#'!$A:$Z,19,FALSE)+VLOOKUP($A297,A:AL,28,FALSE)-50))</f>
        <v>183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167"/>
        <v>1</v>
      </c>
      <c r="AO297" s="3" t="str">
        <f>IF(ISERROR(MATCH(A297,'SegEnds_Xtal_Prot#'!B:B, 0)), "NoXtal", "Xtal")</f>
        <v>Xtal</v>
      </c>
      <c r="AP297" s="3">
        <f t="shared" si="152"/>
        <v>1</v>
      </c>
      <c r="AQ297" s="3">
        <f t="shared" si="153"/>
        <v>1</v>
      </c>
      <c r="AR297" s="3" t="str">
        <f t="shared" si="154"/>
        <v>-</v>
      </c>
      <c r="AS297" s="3" t="str">
        <f t="shared" si="155"/>
        <v>-</v>
      </c>
      <c r="AT297" s="3" t="str">
        <f t="shared" si="156"/>
        <v>-</v>
      </c>
      <c r="AU297" s="3" t="str">
        <f t="shared" si="157"/>
        <v>-</v>
      </c>
      <c r="AV297" s="3">
        <f t="shared" si="158"/>
        <v>9</v>
      </c>
      <c r="AW297" s="3">
        <f t="shared" si="159"/>
        <v>8</v>
      </c>
      <c r="AX297" s="3">
        <f t="shared" si="160"/>
        <v>4</v>
      </c>
      <c r="AY297" s="3">
        <f t="shared" si="161"/>
        <v>5</v>
      </c>
      <c r="AZ297" s="3">
        <f t="shared" si="162"/>
        <v>1</v>
      </c>
      <c r="BA297" s="3">
        <f>IF(ISERROR(LEN(VLOOKUP(A297,Seqs!A:E,2,FALSE))-AL297),"-",LEN(VLOOKUP(A297,Seqs!A:E,2,FALSE))-AL297)</f>
        <v>44</v>
      </c>
      <c r="BB297" s="16">
        <f t="shared" si="163"/>
        <v>28</v>
      </c>
      <c r="BC297" s="9" t="str">
        <f t="shared" si="164"/>
        <v>-</v>
      </c>
      <c r="BD297" s="3">
        <f t="shared" si="165"/>
        <v>28</v>
      </c>
      <c r="BE297" s="3">
        <f t="shared" si="166"/>
        <v>43</v>
      </c>
    </row>
    <row r="298" spans="1:59" s="3" customFormat="1" x14ac:dyDescent="0.2">
      <c r="A298" s="3" t="s">
        <v>1508</v>
      </c>
      <c r="B298" s="3" t="str">
        <f>LOWER(VLOOKUP(A298,Xtal_Templ!A:B,2,FALSE))</f>
        <v>q80km9_hcmv</v>
      </c>
      <c r="C298" s="3">
        <f>VLOOKUP($A298,'SegEnds_NonXtal_BW#'!$A:$Z,3,FALSE)+D298-50</f>
        <v>25</v>
      </c>
      <c r="D298" s="3">
        <v>51</v>
      </c>
      <c r="E298" s="3">
        <f>IF(ISERROR(VLOOKUP($A298,'SegEnds_NonXtal_BW#'!$A:$Z,4,FALSE)+VLOOKUP($A298,A:AL,4,FALSE)-50),"-",(VLOOKUP($A298,'SegEnds_NonXtal_BW#'!$A:$Z,4,FALSE)+VLOOKUP($A298,A:AL,4,FALSE)-50))</f>
        <v>61</v>
      </c>
      <c r="F298" s="3">
        <f t="shared" si="171"/>
        <v>62</v>
      </c>
      <c r="G298" s="3">
        <v>64</v>
      </c>
      <c r="H298" s="3">
        <f>G298+1</f>
        <v>65</v>
      </c>
      <c r="I298" s="3">
        <f>H298+1</f>
        <v>66</v>
      </c>
      <c r="J298" s="3">
        <v>79</v>
      </c>
      <c r="K298" s="3">
        <f>VLOOKUP($A298,'SegEnds_NonXtal_BW#'!$A:$Z,8,FALSE)+VLOOKUP($A298,A:AL,10,FALSE)-50</f>
        <v>95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100</v>
      </c>
      <c r="P298" s="3">
        <v>129</v>
      </c>
      <c r="Q298" s="3">
        <f>VLOOKUP($A298,'SegEnds_NonXtal_BW#'!$A:$Z,12,FALSE)+VLOOKUP($A298,A:AL,16,FALSE)-50</f>
        <v>134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140</v>
      </c>
      <c r="V298" s="3">
        <v>152</v>
      </c>
      <c r="W298" s="3">
        <f>IF(ISERROR(VLOOKUP($A298,'SegEnds_NonXtal_BW#'!$A:$Z,16,FALSE)+VLOOKUP($A298,A:AL,22,FALSE)-50),"-",(VLOOKUP($A298,'SegEnds_NonXtal_BW#'!$A:$Z,16,FALSE)+VLOOKUP($A298,A:AL,22,FALSE)-50))</f>
        <v>164</v>
      </c>
      <c r="X298" s="3">
        <f>IF(ISERROR(VLOOKUP($A298,'SegEnds_NonXtal_BW#'!$A:$Z,17,FALSE)+VLOOKUP($A298,A:AL,25,FALSE)-50),"-",(VLOOKUP($A298,'SegEnds_NonXtal_BW#'!$A:$Z,17,FALSE)+VLOOKUP($A298,A:AL,25,FALSE)-50))</f>
        <v>173</v>
      </c>
      <c r="Y298" s="3">
        <v>173</v>
      </c>
      <c r="Z298" s="3">
        <f>Y298+2</f>
        <v>175</v>
      </c>
      <c r="AA298" s="3">
        <f>IF(ISERROR(VLOOKUP($A298,'SegEnds_NonXtal_BW#'!$A:$Z,19,FALSE)+VLOOKUP($A298,A:AL,28,FALSE)-50),"-",(VLOOKUP($A298,'SegEnds_NonXtal_BW#'!$A:$Z,19,FALSE)+VLOOKUP($A298,A:AL,28,FALSE)-50))</f>
        <v>183</v>
      </c>
      <c r="AB298" s="3">
        <v>200</v>
      </c>
      <c r="AC298" s="3">
        <f>IF(ISERROR((VLOOKUP($A298,'SegEnds_NonXtal_BW#'!$A:$Z,20,FALSE)+VLOOKUP($A298,A:AL,28,FALSE)-50)),"-",(VLOOKUP($A298,'SegEnds_NonXtal_BW#'!$A:$Z,20,FALSE)+VLOOKUP($A298,A:AL,28,FALSE)-50))</f>
        <v>218</v>
      </c>
      <c r="AD298" s="3">
        <f>IF(ISERROR(VLOOKUP($A298,'SegEnds_NonXtal_BW#'!$A:$Z,21,FALSE)+VLOOKUP($A298,A:AL,31,FALSE)-50),"-",(VLOOKUP($A298,'SegEnds_NonXtal_BW#'!$A:$Z,21,FALSE)+VLOOKUP($A298,A:AL,31,FALSE)-50))</f>
        <v>222</v>
      </c>
      <c r="AE298" s="3">
        <v>243</v>
      </c>
      <c r="AF298" s="3">
        <f>IF(ISERROR((VLOOKUP($A298,'SegEnds_NonXtal_BW#'!$A:$Z,22,FALSE)+VLOOKUP($A298,A:AL,31,FALSE)-50)),"-",(VLOOKUP($A298,'SegEnds_NonXtal_BW#'!$A:$Z,22,FALSE)+VLOOKUP($A298,A:AL,31,FALSE)-50))</f>
        <v>257</v>
      </c>
      <c r="AG298" s="3">
        <f>IF(ISERROR(VLOOKUP($A298,'SegEnds_NonXtal_BW#'!$A:$Z,23,FALSE)+VLOOKUP($A298,A:AL,34,FALSE)-50),"-",(VLOOKUP($A298,'SegEnds_NonXtal_BW#'!$A:$Z,23,FALSE)+VLOOKUP($A298,A:AL,34,FALSE)-50))</f>
        <v>262</v>
      </c>
      <c r="AH298" s="3">
        <v>288</v>
      </c>
      <c r="AI298" s="3">
        <f>IF(ISERROR((VLOOKUP($A298,'SegEnds_NonXtal_BW#'!$A:$Z,24,FALSE)+VLOOKUP($A298,A:AL,34,FALSE)-50)),"-",(VLOOKUP($A298,'SegEnds_NonXtal_BW#'!$A:$Z,24,FALSE)+VLOOKUP($A298,A:AL,34,FALSE)-50))</f>
        <v>294</v>
      </c>
      <c r="AJ298" s="3">
        <f>IF(ISERROR(VLOOKUP($A298,'SegEnds_NonXtal_BW#'!$A:$Z,25,FALSE)+VLOOKUP($A298,A:AL,37,FALSE)-50),"-",(VLOOKUP($A298,'SegEnds_NonXtal_BW#'!$A:$Z,25,FALSE)+VLOOKUP($A298,A:AL,37,FALSE)-50))</f>
        <v>295</v>
      </c>
      <c r="AK298" s="3">
        <v>298</v>
      </c>
      <c r="AL298" s="3">
        <f>IF(ISERROR((VLOOKUP($A298,'SegEnds_NonXtal_BW#'!$A:$Z,26,FALSE)+VLOOKUP($A298,A:AL,37,FALSE)-50)),"-",(VLOOKUP($A298,'SegEnds_NonXtal_BW#'!$A:$Z,26,FALSE)+VLOOKUP($A298,A:AL,37,FALSE)-50))</f>
        <v>310</v>
      </c>
      <c r="AM298" s="28" t="str">
        <f>VLOOKUP(A298,Classification!A:B,2,FALSE)</f>
        <v>A</v>
      </c>
      <c r="AN298" s="28" t="b">
        <f>AND(IF(Y298="-",IF(AA298-W298&gt;3,TRUE,FALSE),TRUE),IF(M298="-",IF(O298-K298&gt;3,TRUE,FALSE),TRUE),IF(AG298-AF298&gt;1,TRUE,FALSE),C298&lt;E298,OR(E298&lt;F298,F298="-"),OR(F298&lt;H298,F298="-"),OR(H298&lt;I298,H298="-"),I298&lt;K298,OR(K298&lt;L298,L298="-"),OR(L298&lt;N298,L298="-"),OR(N298&lt;O298,N298="-"),O298&lt;Q298,OR(Q298&lt;R298,R298="-"),OR(R298&lt;T298,R298="-"),OR(T298&lt;U298,T298="-"),U298&lt;W298,OR(W298&lt;X298,X298="-"),OR(X298&lt;Z298,X298="-"),OR(Z298&lt;AA298,Z298="-"),AA298&lt;AC298,AC298&lt;AD298,AD298&lt;AF298,AF298&lt;AG298,AG298&lt;AI298,OR(AI298&lt;AJ298,AJ298="-"),OR(AJ298&lt;AL298,AJ298="-"))</f>
        <v>1</v>
      </c>
      <c r="AO298" s="3" t="str">
        <f>IF(ISERROR(MATCH(A298,'SegEnds_Xtal_Prot#'!B:B, 0)), "NoXtal", "Xtal")</f>
        <v>Xtal</v>
      </c>
      <c r="AP298" s="3">
        <f>IF(ISERROR(F298-E298),"-",F298-E298)</f>
        <v>1</v>
      </c>
      <c r="AQ298" s="3">
        <f>IF(ISERROR(I298-H298),"-",I298-H298)</f>
        <v>1</v>
      </c>
      <c r="AR298" s="3" t="str">
        <f>IF(ISERROR(L298-K298),"-",L298-K298)</f>
        <v>-</v>
      </c>
      <c r="AS298" s="3" t="str">
        <f>IF(ISERROR(O298-N298),"-",O298-N298)</f>
        <v>-</v>
      </c>
      <c r="AT298" s="3" t="str">
        <f>IF(ISERROR(R298-Q298),"-",R298-Q298)</f>
        <v>-</v>
      </c>
      <c r="AU298" s="3" t="str">
        <f>IF(ISERROR(U298-T298),"-",U298-T298)</f>
        <v>-</v>
      </c>
      <c r="AV298" s="3">
        <f>IF(ISERROR(X298-W298),"-",X298-W298)</f>
        <v>9</v>
      </c>
      <c r="AW298" s="3">
        <f>IF(ISERROR(AA298-Z298),"-",AA298-Z298)</f>
        <v>8</v>
      </c>
      <c r="AX298" s="3">
        <f>IF(ISERROR(AD298-AC298),"-",AD298-AC298)</f>
        <v>4</v>
      </c>
      <c r="AY298" s="3">
        <f>IF(ISERROR(AG298-AF298),"-",AG298-AF298)</f>
        <v>5</v>
      </c>
      <c r="AZ298" s="3">
        <f>IF(ISERROR(AJ298-AI298),"-",AJ298-AI298)</f>
        <v>1</v>
      </c>
      <c r="BA298" s="3">
        <f>IF(ISERROR(LEN(VLOOKUP(A298,Seqs!A:E,2,FALSE))-AL298),"-",LEN(VLOOKUP(A298,Seqs!A:E,2,FALSE))-AL298)</f>
        <v>44</v>
      </c>
      <c r="BB298" s="16">
        <f>J298-D298</f>
        <v>28</v>
      </c>
      <c r="BC298" s="9" t="str">
        <f>IF(ISERROR(V298-S298),"-",V298-S298)</f>
        <v>-</v>
      </c>
      <c r="BD298" s="3">
        <f>J298-D298</f>
        <v>28</v>
      </c>
      <c r="BE298" s="3">
        <f>AE298-AB298</f>
        <v>43</v>
      </c>
    </row>
    <row r="299" spans="1:59" s="3" customFormat="1" x14ac:dyDescent="0.2">
      <c r="A299" s="3" t="s">
        <v>401</v>
      </c>
      <c r="B299" s="3" t="str">
        <f>LOWER(VLOOKUP(A299,Xtal_Templ!A:B,2,FALSE))</f>
        <v>calcr_human</v>
      </c>
      <c r="C299" s="3">
        <f>VLOOKUP($A299,'SegEnds_NonXtal_BW#'!$A:$Z,3,FALSE)+D299-50</f>
        <v>132</v>
      </c>
      <c r="D299" s="3">
        <v>163</v>
      </c>
      <c r="E299" s="3">
        <f>IF(ISERROR(VLOOKUP($A299,'SegEnds_NonXtal_BW#'!$A:$Z,4,FALSE)+VLOOKUP($A299,A:AL,4,FALSE)-50),"-",(VLOOKUP($A299,'SegEnds_NonXtal_BW#'!$A:$Z,4,FALSE)+VLOOKUP($A299,A:AL,4,FALSE)-50))</f>
        <v>173</v>
      </c>
      <c r="F299" s="3">
        <f t="shared" si="171"/>
        <v>174</v>
      </c>
      <c r="G299" s="3">
        <v>176</v>
      </c>
      <c r="H299" s="3">
        <f t="shared" si="177"/>
        <v>177</v>
      </c>
      <c r="I299" s="3">
        <f t="shared" si="177"/>
        <v>178</v>
      </c>
      <c r="J299" s="3">
        <v>191</v>
      </c>
      <c r="K299" s="3">
        <f>VLOOKUP($A299,'SegEnds_NonXtal_BW#'!$A:$Z,8,FALSE)+VLOOKUP($A299,A:AL,10,FALSE)-50</f>
        <v>205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217</v>
      </c>
      <c r="P299" s="3">
        <v>244</v>
      </c>
      <c r="Q299" s="3">
        <f>VLOOKUP($A299,'SegEnds_NonXtal_BW#'!$A:$Z,12,FALSE)+VLOOKUP($A299,A:AL,16,FALSE)-50</f>
        <v>250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258</v>
      </c>
      <c r="V299" s="3">
        <v>267</v>
      </c>
      <c r="W299" s="3">
        <f>IF(ISERROR(VLOOKUP($A299,'SegEnds_NonXtal_BW#'!$A:$Z,16,FALSE)+VLOOKUP($A299,A:AL,22,FALSE)-50),"-",(VLOOKUP($A299,'SegEnds_NonXtal_BW#'!$A:$Z,16,FALSE)+VLOOKUP($A299,A:AL,22,FALSE)-50))</f>
        <v>285</v>
      </c>
      <c r="X299" s="3">
        <f>IF(ISERROR(VLOOKUP($A299,'SegEnds_NonXtal_BW#'!$A:$Z,17,FALSE)+VLOOKUP($A299,A:AL,25,FALSE)-50),"-",(VLOOKUP($A299,'SegEnds_NonXtal_BW#'!$A:$Z,17,FALSE)+VLOOKUP($A299,A:AL,25,FALSE)-50))</f>
        <v>289</v>
      </c>
      <c r="Y299" s="3">
        <v>289</v>
      </c>
      <c r="Z299" s="3">
        <f t="shared" si="176"/>
        <v>291</v>
      </c>
      <c r="AA299" s="3">
        <f>IF(ISERROR(VLOOKUP($A299,'SegEnds_NonXtal_BW#'!$A:$Z,19,FALSE)+VLOOKUP($A299,A:AL,28,FALSE)-50),"-",(VLOOKUP($A299,'SegEnds_NonXtal_BW#'!$A:$Z,19,FALSE)+VLOOKUP($A299,A:AL,28,FALSE)-50))</f>
        <v>298</v>
      </c>
      <c r="AB299" s="3">
        <v>308</v>
      </c>
      <c r="AC299" s="3">
        <f>IF(ISERROR((VLOOKUP($A299,'SegEnds_NonXtal_BW#'!$A:$Z,20,FALSE)+VLOOKUP($A299,A:AL,28,FALSE)-50)),"-",(VLOOKUP($A299,'SegEnds_NonXtal_BW#'!$A:$Z,20,FALSE)+VLOOKUP($A299,A:AL,28,FALSE)-50))</f>
        <v>328</v>
      </c>
      <c r="AD299" s="3">
        <f>IF(ISERROR(VLOOKUP($A299,'SegEnds_NonXtal_BW#'!$A:$Z,21,FALSE)+VLOOKUP($A299,A:AL,31,FALSE)-50),"-",(VLOOKUP($A299,'SegEnds_NonXtal_BW#'!$A:$Z,21,FALSE)+VLOOKUP($A299,A:AL,31,FALSE)-50))</f>
        <v>338</v>
      </c>
      <c r="AE299" s="3">
        <v>358</v>
      </c>
      <c r="AF299" s="3">
        <f>IF(ISERROR((VLOOKUP($A299,'SegEnds_NonXtal_BW#'!$A:$Z,22,FALSE)+VLOOKUP($A299,A:AL,31,FALSE)-50)),"-",(VLOOKUP($A299,'SegEnds_NonXtal_BW#'!$A:$Z,22,FALSE)+VLOOKUP($A299,A:AL,31,FALSE)-50))</f>
        <v>361</v>
      </c>
      <c r="AG299" s="3">
        <f>IF(ISERROR(VLOOKUP($A299,'SegEnds_NonXtal_BW#'!$A:$Z,23,FALSE)+VLOOKUP($A299,A:AL,34,FALSE)-50),"-",(VLOOKUP($A299,'SegEnds_NonXtal_BW#'!$A:$Z,23,FALSE)+VLOOKUP($A299,A:AL,34,FALSE)-50))</f>
        <v>366</v>
      </c>
      <c r="AH299" s="3">
        <v>388</v>
      </c>
      <c r="AI299" s="3">
        <f>IF(ISERROR((VLOOKUP($A299,'SegEnds_NonXtal_BW#'!$A:$Z,24,FALSE)+VLOOKUP($A299,A:AL,34,FALSE)-50)),"-",(VLOOKUP($A299,'SegEnds_NonXtal_BW#'!$A:$Z,24,FALSE)+VLOOKUP($A299,A:AL,34,FALSE)-50))</f>
        <v>394</v>
      </c>
      <c r="AJ299" s="3">
        <f>IF(ISERROR(VLOOKUP($A299,'SegEnds_NonXtal_BW#'!$A:$Z,25,FALSE)+VLOOKUP($A299,A:AL,37,FALSE)-50),"-",(VLOOKUP($A299,'SegEnds_NonXtal_BW#'!$A:$Z,25,FALSE)+VLOOKUP($A299,A:AL,37,FALSE)-50))</f>
        <v>395</v>
      </c>
      <c r="AK299" s="3">
        <v>398</v>
      </c>
      <c r="AL299" s="3">
        <f>IF(ISERROR((VLOOKUP($A299,'SegEnds_NonXtal_BW#'!$A:$Z,26,FALSE)+VLOOKUP($A299,A:AL,37,FALSE)-50)),"-",(VLOOKUP($A299,'SegEnds_NonXtal_BW#'!$A:$Z,26,FALSE)+VLOOKUP($A299,A:AL,37,FALSE)-50))</f>
        <v>420</v>
      </c>
      <c r="AM299" s="28" t="str">
        <f>VLOOKUP(A299,Classification!A:B,2,FALSE)</f>
        <v>B1</v>
      </c>
      <c r="AN299" s="28" t="b">
        <f t="shared" si="167"/>
        <v>1</v>
      </c>
      <c r="AO299" s="3" t="str">
        <f>IF(ISERROR(MATCH(A299,'SegEnds_Xtal_Prot#'!B:B, 0)), "NoXtal", "Xtal")</f>
        <v>Xtal</v>
      </c>
      <c r="AP299" s="3">
        <f t="shared" si="152"/>
        <v>1</v>
      </c>
      <c r="AQ299" s="3">
        <f t="shared" si="153"/>
        <v>1</v>
      </c>
      <c r="AR299" s="3" t="str">
        <f t="shared" si="154"/>
        <v>-</v>
      </c>
      <c r="AS299" s="3" t="str">
        <f t="shared" si="155"/>
        <v>-</v>
      </c>
      <c r="AT299" s="3" t="str">
        <f t="shared" si="156"/>
        <v>-</v>
      </c>
      <c r="AU299" s="3" t="str">
        <f t="shared" si="157"/>
        <v>-</v>
      </c>
      <c r="AV299" s="3">
        <f t="shared" si="158"/>
        <v>4</v>
      </c>
      <c r="AW299" s="3">
        <f t="shared" si="159"/>
        <v>7</v>
      </c>
      <c r="AX299" s="3">
        <f t="shared" si="160"/>
        <v>10</v>
      </c>
      <c r="AY299" s="3">
        <f t="shared" si="161"/>
        <v>5</v>
      </c>
      <c r="AZ299" s="3">
        <f t="shared" si="162"/>
        <v>1</v>
      </c>
      <c r="BA299" s="3">
        <f>IF(ISERROR(LEN(VLOOKUP(A299,Seqs!A:E,2,FALSE))-AL299),"-",LEN(VLOOKUP(A299,Seqs!A:E,2,FALSE))-AL299)</f>
        <v>54</v>
      </c>
      <c r="BB299" s="16">
        <f t="shared" si="163"/>
        <v>28</v>
      </c>
      <c r="BC299" s="9" t="str">
        <f t="shared" si="164"/>
        <v>-</v>
      </c>
      <c r="BD299" s="3">
        <f t="shared" si="165"/>
        <v>28</v>
      </c>
      <c r="BE299" s="3">
        <f t="shared" si="166"/>
        <v>50</v>
      </c>
    </row>
    <row r="300" spans="1:59" s="3" customFormat="1" ht="17" customHeight="1" x14ac:dyDescent="0.2">
      <c r="A300" s="3" t="s">
        <v>402</v>
      </c>
      <c r="B300" s="3" t="str">
        <f>LOWER(VLOOKUP(A300,Xtal_Templ!A:B,2,FALSE))</f>
        <v>calrl_human</v>
      </c>
      <c r="C300" s="3">
        <f>VLOOKUP($A300,'SegEnds_NonXtal_BW#'!$A:$Z,3,FALSE)+D300-50</f>
        <v>130</v>
      </c>
      <c r="D300" s="3">
        <v>156</v>
      </c>
      <c r="E300" s="3">
        <f>IF(ISERROR(VLOOKUP($A300,'SegEnds_NonXtal_BW#'!$A:$Z,4,FALSE)+VLOOKUP($A300,A:AL,4,FALSE)-50),"-",(VLOOKUP($A300,'SegEnds_NonXtal_BW#'!$A:$Z,4,FALSE)+VLOOKUP($A300,A:AL,4,FALSE)-50))</f>
        <v>166</v>
      </c>
      <c r="F300" s="3">
        <f t="shared" si="171"/>
        <v>167</v>
      </c>
      <c r="G300" s="3">
        <v>169</v>
      </c>
      <c r="H300" s="3">
        <f t="shared" si="177"/>
        <v>170</v>
      </c>
      <c r="I300" s="3">
        <f t="shared" si="177"/>
        <v>171</v>
      </c>
      <c r="J300" s="3">
        <v>184</v>
      </c>
      <c r="K300" s="3">
        <f>VLOOKUP($A300,'SegEnds_NonXtal_BW#'!$A:$Z,8,FALSE)+VLOOKUP($A300,A:AL,10,FALSE)-50</f>
        <v>198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210</v>
      </c>
      <c r="P300" s="3">
        <v>237</v>
      </c>
      <c r="Q300" s="3">
        <f>VLOOKUP($A300,'SegEnds_NonXtal_BW#'!$A:$Z,12,FALSE)+VLOOKUP($A300,A:AL,16,FALSE)-50</f>
        <v>243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251</v>
      </c>
      <c r="V300" s="3">
        <v>260</v>
      </c>
      <c r="W300" s="3">
        <f>IF(ISERROR(VLOOKUP($A300,'SegEnds_NonXtal_BW#'!$A:$Z,16,FALSE)+VLOOKUP($A300,A:AL,22,FALSE)-50),"-",(VLOOKUP($A300,'SegEnds_NonXtal_BW#'!$A:$Z,16,FALSE)+VLOOKUP($A300,A:AL,22,FALSE)-50))</f>
        <v>277</v>
      </c>
      <c r="X300" s="3">
        <f>IF(ISERROR(VLOOKUP($A300,'SegEnds_NonXtal_BW#'!$A:$Z,17,FALSE)+VLOOKUP($A300,A:AL,25,FALSE)-50),"-",(VLOOKUP($A300,'SegEnds_NonXtal_BW#'!$A:$Z,17,FALSE)+VLOOKUP($A300,A:AL,25,FALSE)-50))</f>
        <v>282</v>
      </c>
      <c r="Y300" s="3">
        <v>282</v>
      </c>
      <c r="Z300" s="3">
        <f t="shared" si="176"/>
        <v>284</v>
      </c>
      <c r="AA300" s="3">
        <f>IF(ISERROR(VLOOKUP($A300,'SegEnds_NonXtal_BW#'!$A:$Z,19,FALSE)+VLOOKUP($A300,A:AL,28,FALSE)-50),"-",(VLOOKUP($A300,'SegEnds_NonXtal_BW#'!$A:$Z,19,FALSE)+VLOOKUP($A300,A:AL,28,FALSE)-50))</f>
        <v>290</v>
      </c>
      <c r="AB300" s="3">
        <v>301</v>
      </c>
      <c r="AC300" s="3">
        <f>IF(ISERROR((VLOOKUP($A300,'SegEnds_NonXtal_BW#'!$A:$Z,20,FALSE)+VLOOKUP($A300,A:AL,28,FALSE)-50)),"-",(VLOOKUP($A300,'SegEnds_NonXtal_BW#'!$A:$Z,20,FALSE)+VLOOKUP($A300,A:AL,28,FALSE)-50))</f>
        <v>321</v>
      </c>
      <c r="AD300" s="3">
        <f>IF(ISERROR(VLOOKUP($A300,'SegEnds_NonXtal_BW#'!$A:$Z,21,FALSE)+VLOOKUP($A300,A:AL,31,FALSE)-50),"-",(VLOOKUP($A300,'SegEnds_NonXtal_BW#'!$A:$Z,21,FALSE)+VLOOKUP($A300,A:AL,31,FALSE)-50))</f>
        <v>331</v>
      </c>
      <c r="AE300" s="3">
        <v>351</v>
      </c>
      <c r="AF300" s="3">
        <f>IF(ISERROR((VLOOKUP($A300,'SegEnds_NonXtal_BW#'!$A:$Z,22,FALSE)+VLOOKUP($A300,A:AL,31,FALSE)-50)),"-",(VLOOKUP($A300,'SegEnds_NonXtal_BW#'!$A:$Z,22,FALSE)+VLOOKUP($A300,A:AL,31,FALSE)-50))</f>
        <v>354</v>
      </c>
      <c r="AG300" s="3">
        <f>IF(ISERROR(VLOOKUP($A300,'SegEnds_NonXtal_BW#'!$A:$Z,23,FALSE)+VLOOKUP($A300,A:AL,34,FALSE)-50),"-",(VLOOKUP($A300,'SegEnds_NonXtal_BW#'!$A:$Z,23,FALSE)+VLOOKUP($A300,A:AL,34,FALSE)-50))</f>
        <v>359</v>
      </c>
      <c r="AH300" s="3">
        <v>381</v>
      </c>
      <c r="AI300" s="3">
        <f>IF(ISERROR((VLOOKUP($A300,'SegEnds_NonXtal_BW#'!$A:$Z,24,FALSE)+VLOOKUP($A300,A:AL,34,FALSE)-50)),"-",(VLOOKUP($A300,'SegEnds_NonXtal_BW#'!$A:$Z,24,FALSE)+VLOOKUP($A300,A:AL,34,FALSE)-50))</f>
        <v>387</v>
      </c>
      <c r="AJ300" s="3">
        <f>IF(ISERROR(VLOOKUP($A300,'SegEnds_NonXtal_BW#'!$A:$Z,25,FALSE)+VLOOKUP($A300,A:AL,37,FALSE)-50),"-",(VLOOKUP($A300,'SegEnds_NonXtal_BW#'!$A:$Z,25,FALSE)+VLOOKUP($A300,A:AL,37,FALSE)-50))</f>
        <v>388</v>
      </c>
      <c r="AK300" s="3">
        <v>391</v>
      </c>
      <c r="AL300" s="3">
        <f>IF(ISERROR((VLOOKUP($A300,'SegEnds_NonXtal_BW#'!$A:$Z,26,FALSE)+VLOOKUP($A300,A:AL,37,FALSE)-50)),"-",(VLOOKUP($A300,'SegEnds_NonXtal_BW#'!$A:$Z,26,FALSE)+VLOOKUP($A300,A:AL,37,FALSE)-50))</f>
        <v>413</v>
      </c>
      <c r="AM300" s="28" t="str">
        <f>VLOOKUP(A300,Classification!A:B,2,FALSE)</f>
        <v>B1</v>
      </c>
      <c r="AN300" s="28" t="b">
        <f t="shared" si="167"/>
        <v>1</v>
      </c>
      <c r="AO300" s="3" t="str">
        <f>IF(ISERROR(MATCH(A300,'SegEnds_Xtal_Prot#'!B:B, 0)), "NoXtal", "Xtal")</f>
        <v>Xtal</v>
      </c>
      <c r="AP300" s="3">
        <f t="shared" si="152"/>
        <v>1</v>
      </c>
      <c r="AQ300" s="3">
        <f t="shared" si="153"/>
        <v>1</v>
      </c>
      <c r="AR300" s="3" t="str">
        <f t="shared" si="154"/>
        <v>-</v>
      </c>
      <c r="AS300" s="3" t="str">
        <f t="shared" si="155"/>
        <v>-</v>
      </c>
      <c r="AT300" s="3" t="str">
        <f t="shared" si="156"/>
        <v>-</v>
      </c>
      <c r="AU300" s="3" t="str">
        <f t="shared" si="157"/>
        <v>-</v>
      </c>
      <c r="AV300" s="3">
        <f t="shared" si="158"/>
        <v>5</v>
      </c>
      <c r="AW300" s="3">
        <f t="shared" si="159"/>
        <v>6</v>
      </c>
      <c r="AX300" s="3">
        <f t="shared" si="160"/>
        <v>10</v>
      </c>
      <c r="AY300" s="3">
        <f t="shared" si="161"/>
        <v>5</v>
      </c>
      <c r="AZ300" s="3">
        <f t="shared" si="162"/>
        <v>1</v>
      </c>
      <c r="BA300" s="3">
        <f>IF(ISERROR(LEN(VLOOKUP(A300,Seqs!A:E,2,FALSE))-AL300),"-",LEN(VLOOKUP(A300,Seqs!A:E,2,FALSE))-AL300)</f>
        <v>48</v>
      </c>
      <c r="BB300" s="16">
        <f t="shared" si="163"/>
        <v>28</v>
      </c>
      <c r="BC300" s="9" t="str">
        <f t="shared" si="164"/>
        <v>-</v>
      </c>
      <c r="BD300" s="3">
        <f t="shared" si="165"/>
        <v>28</v>
      </c>
      <c r="BE300" s="3">
        <f t="shared" si="166"/>
        <v>50</v>
      </c>
    </row>
    <row r="301" spans="1:59" s="3" customFormat="1" x14ac:dyDescent="0.2">
      <c r="A301" s="3" t="s">
        <v>38</v>
      </c>
      <c r="B301" s="3" t="str">
        <f>LOWER(VLOOKUP(A301,Xtal_Templ!A:B,2,FALSE))</f>
        <v>crfr1_human</v>
      </c>
      <c r="C301" s="3">
        <f>VLOOKUP($A301,'SegEnds_NonXtal_BW#'!$A:$Z,3,FALSE)+D301-50</f>
        <v>103</v>
      </c>
      <c r="D301" s="3">
        <v>134</v>
      </c>
      <c r="E301" s="3">
        <f>IF(ISERROR(VLOOKUP($A301,'SegEnds_NonXtal_BW#'!$A:$Z,4,FALSE)+VLOOKUP($A301,A:AL,4,FALSE)-50),"-",(VLOOKUP($A301,'SegEnds_NonXtal_BW#'!$A:$Z,4,FALSE)+VLOOKUP($A301,A:AL,4,FALSE)-50))</f>
        <v>144</v>
      </c>
      <c r="F301" s="3">
        <f t="shared" si="171"/>
        <v>145</v>
      </c>
      <c r="G301" s="3">
        <v>147</v>
      </c>
      <c r="H301" s="3">
        <f t="shared" si="177"/>
        <v>148</v>
      </c>
      <c r="I301" s="3">
        <f t="shared" si="177"/>
        <v>149</v>
      </c>
      <c r="J301" s="3">
        <v>162</v>
      </c>
      <c r="K301" s="3">
        <f>VLOOKUP($A301,'SegEnds_NonXtal_BW#'!$A:$Z,8,FALSE)+VLOOKUP($A301,A:AL,10,FALSE)-50</f>
        <v>175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185</v>
      </c>
      <c r="P301" s="3">
        <v>213</v>
      </c>
      <c r="Q301" s="3">
        <f>VLOOKUP($A301,'SegEnds_NonXtal_BW#'!$A:$Z,12,FALSE)+VLOOKUP($A301,A:AL,16,FALSE)-50</f>
        <v>219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0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226</v>
      </c>
      <c r="V301" s="3">
        <v>236</v>
      </c>
      <c r="W301" s="3">
        <f>IF(ISERROR(VLOOKUP($A301,'SegEnds_NonXtal_BW#'!$A:$Z,16,FALSE)+VLOOKUP($A301,A:AL,22,FALSE)-50),"-",(VLOOKUP($A301,'SegEnds_NonXtal_BW#'!$A:$Z,16,FALSE)+VLOOKUP($A301,A:AL,22,FALSE)-50))</f>
        <v>254</v>
      </c>
      <c r="X301" s="3">
        <f>IF(ISERROR(VLOOKUP($A301,'SegEnds_NonXtal_BW#'!$A:$Z,17,FALSE)+VLOOKUP($A301,A:AL,25,FALSE)-50),"-",(VLOOKUP($A301,'SegEnds_NonXtal_BW#'!$A:$Z,17,FALSE)+VLOOKUP($A301,A:AL,25,FALSE)-50))</f>
        <v>258</v>
      </c>
      <c r="Y301" s="3">
        <v>258</v>
      </c>
      <c r="Z301" s="3">
        <f t="shared" si="176"/>
        <v>260</v>
      </c>
      <c r="AA301" s="3">
        <f>IF(ISERROR(VLOOKUP($A301,'SegEnds_NonXtal_BW#'!$A:$Z,19,FALSE)+AB301-50),"-",(VLOOKUP($A301,'SegEnds_NonXtal_BW#'!$A:$Z,19,FALSE)+AB301-50))</f>
        <v>268</v>
      </c>
      <c r="AB301" s="3">
        <v>279</v>
      </c>
      <c r="AC301" s="3">
        <f>IF(ISERROR((VLOOKUP($A301,'SegEnds_NonXtal_BW#'!$A:$Z,20,FALSE)+VLOOKUP($A301,A:AL,28,FALSE)-50)),"-",(VLOOKUP($A301,'SegEnds_NonXtal_BW#'!$A:$Z,20,FALSE)+VLOOKUP($A301,A:AL,28,FALSE)-50))</f>
        <v>298</v>
      </c>
      <c r="AD301" s="3">
        <f>IF(ISERROR(VLOOKUP($A301,'SegEnds_NonXtal_BW#'!$A:$Z,21,FALSE)+AE301-50),"-",(VLOOKUP($A301,'SegEnds_NonXtal_BW#'!$A:$Z,21,FALSE)+AE301-50))</f>
        <v>304</v>
      </c>
      <c r="AE301" s="3">
        <v>329</v>
      </c>
      <c r="AF301" s="3">
        <f>IF(ISERROR((VLOOKUP($A301,'SegEnds_NonXtal_BW#'!$A:$Z,22,FALSE)+AE301-50)),"-",(VLOOKUP($A301,'SegEnds_NonXtal_BW#'!$A:$Z,22,FALSE)+AE301-50))</f>
        <v>332</v>
      </c>
      <c r="AG301" s="3">
        <f>IF(ISERROR(VLOOKUP($A301,'SegEnds_NonXtal_BW#'!$A:$Z,23,FALSE)+VLOOKUP($A301,A:AL,34,FALSE)-50),"-",(VLOOKUP($A301,'SegEnds_NonXtal_BW#'!$A:$Z,23,FALSE)+VLOOKUP($A301,A:AL,34,FALSE)-50))</f>
        <v>339</v>
      </c>
      <c r="AH301" s="3">
        <v>360</v>
      </c>
      <c r="AI301" s="3">
        <f>IF(ISERROR((VLOOKUP($A301,'SegEnds_NonXtal_BW#'!$A:$Z,24,FALSE)+VLOOKUP($A301,A:AL,34,FALSE)-50)),"-",(VLOOKUP($A301,'SegEnds_NonXtal_BW#'!$A:$Z,24,FALSE)+VLOOKUP($A301,A:AL,34,FALSE)-50))</f>
        <v>366</v>
      </c>
      <c r="AJ301" s="3">
        <f>IF(ISERROR(VLOOKUP($A301,'SegEnds_NonXtal_BW#'!$A:$Z,25,FALSE)+VLOOKUP($A301,A:AL,37,FALSE)-50),"-",(VLOOKUP($A301,'SegEnds_NonXtal_BW#'!$A:$Z,25,FALSE)+VLOOKUP($A301,A:AL,37,FALSE)-50))</f>
        <v>367</v>
      </c>
      <c r="AK301" s="3">
        <v>370</v>
      </c>
      <c r="AL301" s="3">
        <f>IF(ISERROR((VLOOKUP($A301,'SegEnds_NonXtal_BW#'!$A:$Z,26,FALSE)+VLOOKUP($A301,A:AL,37,FALSE)-50)),"-",(VLOOKUP($A301,'SegEnds_NonXtal_BW#'!$A:$Z,26,FALSE)+VLOOKUP($A301,A:AL,37,FALSE)-50))</f>
        <v>392</v>
      </c>
      <c r="AM301" s="28" t="str">
        <f>VLOOKUP(A301,Classification!A:B,2,FALSE)</f>
        <v>B1</v>
      </c>
      <c r="AN301" s="28" t="b">
        <f t="shared" si="167"/>
        <v>1</v>
      </c>
      <c r="AO301" s="3" t="str">
        <f>IF(ISERROR(MATCH(A301,'SegEnds_Xtal_Prot#'!B:B, 0)), "NoXtal", "Xtal")</f>
        <v>Xtal</v>
      </c>
      <c r="AP301" s="3">
        <f t="shared" si="152"/>
        <v>1</v>
      </c>
      <c r="AQ301" s="3">
        <f t="shared" si="153"/>
        <v>1</v>
      </c>
      <c r="AR301" s="3" t="str">
        <f t="shared" si="154"/>
        <v>-</v>
      </c>
      <c r="AS301" s="3" t="str">
        <f t="shared" si="155"/>
        <v>-</v>
      </c>
      <c r="AT301" s="3" t="str">
        <f t="shared" si="156"/>
        <v>-</v>
      </c>
      <c r="AU301" s="3" t="str">
        <f t="shared" si="157"/>
        <v>-</v>
      </c>
      <c r="AV301" s="3">
        <f t="shared" si="158"/>
        <v>4</v>
      </c>
      <c r="AW301" s="3">
        <f t="shared" si="159"/>
        <v>8</v>
      </c>
      <c r="AX301" s="3">
        <f t="shared" si="160"/>
        <v>6</v>
      </c>
      <c r="AY301" s="3">
        <f t="shared" si="161"/>
        <v>7</v>
      </c>
      <c r="AZ301" s="3">
        <f t="shared" si="162"/>
        <v>1</v>
      </c>
      <c r="BA301" s="3">
        <f>IF(ISERROR(LEN(VLOOKUP(A301,Seqs!A:E,2,FALSE))-AL301),"-",LEN(VLOOKUP(A301,Seqs!A:E,2,FALSE))-AL301)</f>
        <v>23</v>
      </c>
      <c r="BB301" s="16">
        <f t="shared" si="163"/>
        <v>28</v>
      </c>
      <c r="BC301" s="9" t="str">
        <f t="shared" si="164"/>
        <v>-</v>
      </c>
      <c r="BD301" s="3">
        <f t="shared" si="165"/>
        <v>28</v>
      </c>
      <c r="BE301" s="3">
        <f t="shared" si="166"/>
        <v>50</v>
      </c>
      <c r="BF301" s="3">
        <f>AH301-AE301</f>
        <v>31</v>
      </c>
    </row>
    <row r="302" spans="1:59" s="3" customFormat="1" x14ac:dyDescent="0.2">
      <c r="A302" s="3" t="s">
        <v>403</v>
      </c>
      <c r="B302" s="3" t="str">
        <f>LOWER(VLOOKUP(A302,Xtal_Templ!A:B,2,FALSE))</f>
        <v>crfr1_human</v>
      </c>
      <c r="C302" s="3">
        <f>VLOOKUP($A302,'SegEnds_NonXtal_BW#'!$A:$Z,3,FALSE)+D302-50</f>
        <v>100</v>
      </c>
      <c r="D302" s="3">
        <v>131</v>
      </c>
      <c r="E302" s="3">
        <f>IF(ISERROR(VLOOKUP($A302,'SegEnds_NonXtal_BW#'!$A:$Z,4,FALSE)+VLOOKUP($A302,A:AL,4,FALSE)-50),"-",(VLOOKUP($A302,'SegEnds_NonXtal_BW#'!$A:$Z,4,FALSE)+VLOOKUP($A302,A:AL,4,FALSE)-50))</f>
        <v>141</v>
      </c>
      <c r="F302" s="3">
        <f t="shared" si="171"/>
        <v>142</v>
      </c>
      <c r="G302" s="3">
        <v>144</v>
      </c>
      <c r="H302" s="3">
        <f t="shared" si="177"/>
        <v>145</v>
      </c>
      <c r="I302" s="3">
        <f t="shared" si="177"/>
        <v>146</v>
      </c>
      <c r="J302" s="3">
        <v>159</v>
      </c>
      <c r="K302" s="3">
        <f>VLOOKUP($A302,'SegEnds_NonXtal_BW#'!$A:$Z,8,FALSE)+VLOOKUP($A302,A:AL,10,FALSE)-50</f>
        <v>172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181</v>
      </c>
      <c r="P302" s="3">
        <v>209</v>
      </c>
      <c r="Q302" s="3">
        <f>VLOOKUP($A302,'SegEnds_NonXtal_BW#'!$A:$Z,12,FALSE)+VLOOKUP($A302,A:AL,16,FALSE)-50</f>
        <v>215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0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222</v>
      </c>
      <c r="V302" s="3">
        <v>232</v>
      </c>
      <c r="W302" s="3">
        <f>IF(ISERROR(VLOOKUP($A302,'SegEnds_NonXtal_BW#'!$A:$Z,16,FALSE)+VLOOKUP($A302,A:AL,22,FALSE)-50),"-",(VLOOKUP($A302,'SegEnds_NonXtal_BW#'!$A:$Z,16,FALSE)+VLOOKUP($A302,A:AL,22,FALSE)-50))</f>
        <v>250</v>
      </c>
      <c r="X302" s="3">
        <f>IF(ISERROR(VLOOKUP($A302,'SegEnds_NonXtal_BW#'!$A:$Z,17,FALSE)+VLOOKUP($A302,A:AL,25,FALSE)-50),"-",(VLOOKUP($A302,'SegEnds_NonXtal_BW#'!$A:$Z,17,FALSE)+VLOOKUP($A302,A:AL,25,FALSE)-50))</f>
        <v>254</v>
      </c>
      <c r="Y302" s="3">
        <v>254</v>
      </c>
      <c r="Z302" s="3">
        <f t="shared" si="176"/>
        <v>256</v>
      </c>
      <c r="AA302" s="3">
        <f>IF(ISERROR(VLOOKUP($A302,'SegEnds_NonXtal_BW#'!$A:$Z,19,FALSE)+VLOOKUP($A302,A:AL,28,FALSE)-50),"-",(VLOOKUP($A302,'SegEnds_NonXtal_BW#'!$A:$Z,19,FALSE)+VLOOKUP($A302,A:AL,28,FALSE)-50))</f>
        <v>264</v>
      </c>
      <c r="AB302" s="3">
        <v>275</v>
      </c>
      <c r="AC302" s="3">
        <f>IF(ISERROR((VLOOKUP($A302,'SegEnds_NonXtal_BW#'!$A:$Z,20,FALSE)+VLOOKUP($A302,A:AL,28,FALSE)-50)),"-",(VLOOKUP($A302,'SegEnds_NonXtal_BW#'!$A:$Z,20,FALSE)+VLOOKUP($A302,A:AL,28,FALSE)-50))</f>
        <v>294</v>
      </c>
      <c r="AD302" s="3">
        <f>IF(ISERROR(VLOOKUP($A302,'SegEnds_NonXtal_BW#'!$A:$Z,21,FALSE)+VLOOKUP($A302,A:AL,31,FALSE)-50),"-",(VLOOKUP($A302,'SegEnds_NonXtal_BW#'!$A:$Z,21,FALSE)+VLOOKUP($A302,A:AL,31,FALSE)-50))</f>
        <v>300</v>
      </c>
      <c r="AE302" s="3">
        <v>325</v>
      </c>
      <c r="AF302" s="3">
        <f>IF(ISERROR((VLOOKUP($A302,'SegEnds_NonXtal_BW#'!$A:$Z,22,FALSE)+VLOOKUP($A302,A:AL,31,FALSE)-50)),"-",(VLOOKUP($A302,'SegEnds_NonXtal_BW#'!$A:$Z,22,FALSE)+VLOOKUP($A302,A:AL,31,FALSE)-50))</f>
        <v>328</v>
      </c>
      <c r="AG302" s="3">
        <f>IF(ISERROR(VLOOKUP($A302,'SegEnds_NonXtal_BW#'!$A:$Z,23,FALSE)+VLOOKUP($A302,A:AL,34,FALSE)-50),"-",(VLOOKUP($A302,'SegEnds_NonXtal_BW#'!$A:$Z,23,FALSE)+VLOOKUP($A302,A:AL,34,FALSE)-50))</f>
        <v>335</v>
      </c>
      <c r="AH302" s="3">
        <v>356</v>
      </c>
      <c r="AI302" s="3">
        <f>IF(ISERROR((VLOOKUP($A302,'SegEnds_NonXtal_BW#'!$A:$Z,24,FALSE)+VLOOKUP($A302,A:AL,34,FALSE)-50)),"-",(VLOOKUP($A302,'SegEnds_NonXtal_BW#'!$A:$Z,24,FALSE)+VLOOKUP($A302,A:AL,34,FALSE)-50))</f>
        <v>362</v>
      </c>
      <c r="AJ302" s="3">
        <f>IF(ISERROR(VLOOKUP($A302,'SegEnds_NonXtal_BW#'!$A:$Z,25,FALSE)+VLOOKUP($A302,A:AL,37,FALSE)-50),"-",(VLOOKUP($A302,'SegEnds_NonXtal_BW#'!$A:$Z,25,FALSE)+VLOOKUP($A302,A:AL,37,FALSE)-50))</f>
        <v>363</v>
      </c>
      <c r="AK302" s="3">
        <v>366</v>
      </c>
      <c r="AL302" s="3">
        <f>IF(ISERROR((VLOOKUP($A302,'SegEnds_NonXtal_BW#'!$A:$Z,26,FALSE)+VLOOKUP($A302,A:AL,37,FALSE)-50)),"-",(VLOOKUP($A302,'SegEnds_NonXtal_BW#'!$A:$Z,26,FALSE)+VLOOKUP($A302,A:AL,37,FALSE)-50))</f>
        <v>388</v>
      </c>
      <c r="AM302" s="28" t="str">
        <f>VLOOKUP(A302,Classification!A:B,2,FALSE)</f>
        <v>B1</v>
      </c>
      <c r="AN302" s="28" t="b">
        <f t="shared" si="167"/>
        <v>1</v>
      </c>
      <c r="AO302" s="3" t="str">
        <f>IF(ISERROR(MATCH(A302,'SegEnds_Xtal_Prot#'!B:B, 0)), "NoXtal", "Xtal")</f>
        <v>NoXtal</v>
      </c>
      <c r="AP302" s="3">
        <f t="shared" si="152"/>
        <v>1</v>
      </c>
      <c r="AQ302" s="3">
        <f t="shared" si="153"/>
        <v>1</v>
      </c>
      <c r="AR302" s="3" t="str">
        <f t="shared" si="154"/>
        <v>-</v>
      </c>
      <c r="AS302" s="3" t="str">
        <f t="shared" si="155"/>
        <v>-</v>
      </c>
      <c r="AT302" s="3" t="str">
        <f t="shared" si="156"/>
        <v>-</v>
      </c>
      <c r="AU302" s="3" t="str">
        <f t="shared" si="157"/>
        <v>-</v>
      </c>
      <c r="AV302" s="3">
        <f t="shared" si="158"/>
        <v>4</v>
      </c>
      <c r="AW302" s="3">
        <f t="shared" si="159"/>
        <v>8</v>
      </c>
      <c r="AX302" s="3">
        <f t="shared" si="160"/>
        <v>6</v>
      </c>
      <c r="AY302" s="3">
        <f t="shared" si="161"/>
        <v>7</v>
      </c>
      <c r="AZ302" s="3">
        <f t="shared" si="162"/>
        <v>1</v>
      </c>
      <c r="BA302" s="3">
        <f>IF(ISERROR(LEN(VLOOKUP(A302,Seqs!A:E,2,FALSE))-AL302),"-",LEN(VLOOKUP(A302,Seqs!A:E,2,FALSE))-AL302)</f>
        <v>23</v>
      </c>
      <c r="BB302" s="16">
        <f t="shared" si="163"/>
        <v>28</v>
      </c>
      <c r="BC302" s="9" t="str">
        <f t="shared" si="164"/>
        <v>-</v>
      </c>
      <c r="BD302" s="3">
        <f t="shared" si="165"/>
        <v>28</v>
      </c>
      <c r="BE302" s="3">
        <f t="shared" si="166"/>
        <v>50</v>
      </c>
      <c r="BF302" s="3">
        <f>AH302-AE302</f>
        <v>31</v>
      </c>
    </row>
    <row r="303" spans="1:59" s="3" customFormat="1" x14ac:dyDescent="0.2">
      <c r="A303" s="3" t="s">
        <v>1421</v>
      </c>
      <c r="B303" s="3" t="str">
        <f>LOWER(VLOOKUP(A303,Xtal_Templ!A:B,2,FALSE))</f>
        <v>g1sgd4_rabit</v>
      </c>
      <c r="C303" s="3">
        <f>VLOOKUP($A303,'SegEnds_NonXtal_BW#'!$A:$Z,3,FALSE)+D303-50</f>
        <v>137</v>
      </c>
      <c r="D303" s="3">
        <v>159</v>
      </c>
      <c r="E303" s="3">
        <f>IF(ISERROR(VLOOKUP($A303,'SegEnds_NonXtal_BW#'!$A:$Z,4,FALSE)+VLOOKUP($A303,A:AL,4,FALSE)-50),"-",(VLOOKUP($A303,'SegEnds_NonXtal_BW#'!$A:$Z,4,FALSE)+VLOOKUP($A303,A:AL,4,FALSE)-50))</f>
        <v>169</v>
      </c>
      <c r="F303" s="3">
        <f t="shared" si="171"/>
        <v>170</v>
      </c>
      <c r="G303" s="3">
        <v>172</v>
      </c>
      <c r="H303" s="3">
        <f t="shared" si="177"/>
        <v>173</v>
      </c>
      <c r="I303" s="3">
        <f t="shared" si="177"/>
        <v>174</v>
      </c>
      <c r="J303" s="3">
        <v>187</v>
      </c>
      <c r="K303" s="3">
        <f>VLOOKUP($A303,'SegEnds_NonXtal_BW#'!$A:$Z,8,FALSE)+VLOOKUP($A303,A:AL,10,FALSE)-50</f>
        <v>211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224</v>
      </c>
      <c r="P303" s="3">
        <v>251</v>
      </c>
      <c r="Q303" s="3">
        <f>VLOOKUP($A303,'SegEnds_NonXtal_BW#'!$A:$Z,12,FALSE)+VLOOKUP($A303,A:AL,16,FALSE)-50</f>
        <v>257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0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261</v>
      </c>
      <c r="V303" s="3">
        <v>274</v>
      </c>
      <c r="W303" s="3">
        <f>IF(ISERROR(VLOOKUP($A303,'SegEnds_NonXtal_BW#'!$A:$Z,16,FALSE)+VLOOKUP($A303,A:AL,22,FALSE)-50),"-",(VLOOKUP($A303,'SegEnds_NonXtal_BW#'!$A:$Z,16,FALSE)+VLOOKUP($A303,A:AL,22,FALSE)-50))</f>
        <v>292</v>
      </c>
      <c r="X303" s="3">
        <f>IF(ISERROR(VLOOKUP($A303,'SegEnds_NonXtal_BW#'!$A:$Z,17,FALSE)+VLOOKUP($A303,A:AL,25,FALSE)-50),"-",(VLOOKUP($A303,'SegEnds_NonXtal_BW#'!$A:$Z,17,FALSE)+VLOOKUP($A303,A:AL,25,FALSE)-50))</f>
        <v>296</v>
      </c>
      <c r="Y303" s="3">
        <v>296</v>
      </c>
      <c r="Z303" s="3">
        <f t="shared" si="176"/>
        <v>298</v>
      </c>
      <c r="AA303" s="3">
        <f>IF(ISERROR(VLOOKUP($A303,'SegEnds_NonXtal_BW#'!$A:$Z,19,FALSE)+VLOOKUP($A303,A:AL,28,FALSE)-50),"-",(VLOOKUP($A303,'SegEnds_NonXtal_BW#'!$A:$Z,19,FALSE)+VLOOKUP($A303,A:AL,28,FALSE)-50))</f>
        <v>305</v>
      </c>
      <c r="AB303" s="3">
        <v>316</v>
      </c>
      <c r="AC303" s="3">
        <f>IF(ISERROR((VLOOKUP($A303,'SegEnds_NonXtal_BW#'!$A:$Z,20,FALSE)+VLOOKUP($A303,A:AL,28,FALSE)-50)),"-",(VLOOKUP($A303,'SegEnds_NonXtal_BW#'!$A:$Z,20,FALSE)+VLOOKUP($A303,A:AL,28,FALSE)-50))</f>
        <v>337</v>
      </c>
      <c r="AD303" s="3">
        <f>IF(ISERROR(VLOOKUP($A303,'SegEnds_NonXtal_BW#'!$A:$Z,21,FALSE)+VLOOKUP($A303,A:AL,31,FALSE)-50),"-",(VLOOKUP($A303,'SegEnds_NonXtal_BW#'!$A:$Z,21,FALSE)+VLOOKUP($A303,A:AL,31,FALSE)-50))</f>
        <v>346</v>
      </c>
      <c r="AE303" s="3">
        <v>366</v>
      </c>
      <c r="AF303" s="3">
        <f>IF(ISERROR((VLOOKUP($A303,'SegEnds_NonXtal_BW#'!$A:$Z,22,FALSE)+VLOOKUP($A303,A:AL,31,FALSE)-50)),"-",(VLOOKUP($A303,'SegEnds_NonXtal_BW#'!$A:$Z,22,FALSE)+VLOOKUP($A303,A:AL,31,FALSE)-50))</f>
        <v>369</v>
      </c>
      <c r="AG303" s="3">
        <f>IF(ISERROR(VLOOKUP($A303,'SegEnds_NonXtal_BW#'!$A:$Z,23,FALSE)+VLOOKUP($A303,A:AL,34,FALSE)-50),"-",(VLOOKUP($A303,'SegEnds_NonXtal_BW#'!$A:$Z,23,FALSE)+VLOOKUP($A303,A:AL,34,FALSE)-50))</f>
        <v>379</v>
      </c>
      <c r="AH303" s="3">
        <v>399</v>
      </c>
      <c r="AI303" s="3">
        <f>IF(ISERROR((VLOOKUP($A303,'SegEnds_NonXtal_BW#'!$A:$Z,24,FALSE)+VLOOKUP($A303,A:AL,34,FALSE)-50)),"-",(VLOOKUP($A303,'SegEnds_NonXtal_BW#'!$A:$Z,24,FALSE)+VLOOKUP($A303,A:AL,34,FALSE)-50))</f>
        <v>405</v>
      </c>
      <c r="AJ303" s="3">
        <f>IF(ISERROR(VLOOKUP($A303,'SegEnds_NonXtal_BW#'!$A:$Z,25,FALSE)+VLOOKUP($A303,A:AL,37,FALSE)-50),"-",(VLOOKUP($A303,'SegEnds_NonXtal_BW#'!$A:$Z,25,FALSE)+VLOOKUP($A303,A:AL,37,FALSE)-50))</f>
        <v>406</v>
      </c>
      <c r="AK303" s="3">
        <v>409</v>
      </c>
      <c r="AL303" s="3">
        <f>IF(ISERROR((VLOOKUP($A303,'SegEnds_NonXtal_BW#'!$A:$Z,26,FALSE)+VLOOKUP($A303,A:AL,37,FALSE)-50)),"-",(VLOOKUP($A303,'SegEnds_NonXtal_BW#'!$A:$Z,26,FALSE)+VLOOKUP($A303,A:AL,37,FALSE)-50))</f>
        <v>431</v>
      </c>
      <c r="AM303" s="28" t="str">
        <f>VLOOKUP(A303,Classification!A:B,2,FALSE)</f>
        <v>B1</v>
      </c>
      <c r="AN303" s="28" t="b">
        <f t="shared" si="167"/>
        <v>1</v>
      </c>
      <c r="AO303" s="3" t="str">
        <f>IF(ISERROR(MATCH(A303,'SegEnds_Xtal_Prot#'!B:B, 0)), "NoXtal", "Xtal")</f>
        <v>Xtal</v>
      </c>
      <c r="AP303" s="3">
        <f t="shared" si="152"/>
        <v>1</v>
      </c>
      <c r="AQ303" s="3">
        <f t="shared" si="153"/>
        <v>1</v>
      </c>
      <c r="AR303" s="3" t="str">
        <f t="shared" si="154"/>
        <v>-</v>
      </c>
      <c r="AS303" s="3" t="str">
        <f t="shared" si="155"/>
        <v>-</v>
      </c>
      <c r="AT303" s="3" t="str">
        <f t="shared" si="156"/>
        <v>-</v>
      </c>
      <c r="AU303" s="3" t="str">
        <f t="shared" si="157"/>
        <v>-</v>
      </c>
      <c r="AV303" s="3">
        <f t="shared" si="158"/>
        <v>4</v>
      </c>
      <c r="AW303" s="3">
        <f t="shared" si="159"/>
        <v>7</v>
      </c>
      <c r="AX303" s="3">
        <f t="shared" si="160"/>
        <v>9</v>
      </c>
      <c r="AY303" s="3">
        <f t="shared" si="161"/>
        <v>10</v>
      </c>
      <c r="AZ303" s="3">
        <f t="shared" si="162"/>
        <v>1</v>
      </c>
      <c r="BA303" s="3">
        <f>IF(ISERROR(LEN(VLOOKUP(A303,Seqs!A:E,2,FALSE))-AL303),"-",LEN(VLOOKUP(A303,Seqs!A:E,2,FALSE))-AL303)</f>
        <v>31</v>
      </c>
      <c r="BB303" s="16">
        <f t="shared" si="163"/>
        <v>28</v>
      </c>
      <c r="BC303" s="9" t="str">
        <f t="shared" si="164"/>
        <v>-</v>
      </c>
      <c r="BD303" s="3">
        <f t="shared" si="165"/>
        <v>28</v>
      </c>
      <c r="BE303" s="3">
        <f t="shared" si="166"/>
        <v>50</v>
      </c>
    </row>
    <row r="304" spans="1:59" s="3" customFormat="1" x14ac:dyDescent="0.2">
      <c r="A304" s="3" t="s">
        <v>404</v>
      </c>
      <c r="B304" s="3" t="str">
        <f>LOWER(VLOOKUP(A304,Xtal_Templ!A:B,2,FALSE))</f>
        <v>glr_human</v>
      </c>
      <c r="C304" s="3">
        <f>VLOOKUP($A304,'SegEnds_NonXtal_BW#'!$A:$Z,3,FALSE)+D304-50</f>
        <v>119</v>
      </c>
      <c r="D304" s="3">
        <v>144</v>
      </c>
      <c r="E304" s="3">
        <f>IF(ISERROR(VLOOKUP($A304,'SegEnds_NonXtal_BW#'!$A:$Z,4,FALSE)+VLOOKUP($A304,A:AL,4,FALSE)-50),"-",(VLOOKUP($A304,'SegEnds_NonXtal_BW#'!$A:$Z,4,FALSE)+VLOOKUP($A304,A:AL,4,FALSE)-50))</f>
        <v>154</v>
      </c>
      <c r="F304" s="3">
        <f t="shared" si="171"/>
        <v>155</v>
      </c>
      <c r="G304" s="3">
        <v>157</v>
      </c>
      <c r="H304" s="3">
        <f t="shared" si="177"/>
        <v>158</v>
      </c>
      <c r="I304" s="3">
        <f t="shared" si="177"/>
        <v>159</v>
      </c>
      <c r="J304" s="3">
        <v>172</v>
      </c>
      <c r="K304" s="3">
        <f>VLOOKUP($A304,'SegEnds_NonXtal_BW#'!$A:$Z,8,FALSE)+VLOOKUP($A304,A:AL,10,FALSE)-50</f>
        <v>186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200</v>
      </c>
      <c r="P304" s="3">
        <v>227</v>
      </c>
      <c r="Q304" s="3">
        <f>VLOOKUP($A304,'SegEnds_NonXtal_BW#'!$A:$Z,12,FALSE)+VLOOKUP($A304,A:AL,16,FALSE)-50</f>
        <v>233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240</v>
      </c>
      <c r="V304" s="3">
        <v>250</v>
      </c>
      <c r="W304" s="3">
        <f>IF(ISERROR(VLOOKUP($A304,'SegEnds_NonXtal_BW#'!$A:$Z,16,FALSE)+VLOOKUP($A304,A:AL,22,FALSE)-50),"-",(VLOOKUP($A304,'SegEnds_NonXtal_BW#'!$A:$Z,16,FALSE)+VLOOKUP($A304,A:AL,22,FALSE)-50))</f>
        <v>268</v>
      </c>
      <c r="X304" s="3">
        <f>IF(ISERROR(VLOOKUP($A304,'SegEnds_NonXtal_BW#'!$A:$Z,17,FALSE)+VLOOKUP($A304,A:AL,25,FALSE)-50),"-",(VLOOKUP($A304,'SegEnds_NonXtal_BW#'!$A:$Z,17,FALSE)+VLOOKUP($A304,A:AL,25,FALSE)-50))</f>
        <v>272</v>
      </c>
      <c r="Y304" s="3">
        <v>272</v>
      </c>
      <c r="Z304" s="3">
        <f t="shared" si="176"/>
        <v>274</v>
      </c>
      <c r="AA304" s="3">
        <f>IF(ISERROR(VLOOKUP($A304,'SegEnds_NonXtal_BW#'!$A:$Z,19,FALSE)+VLOOKUP($A304,A:AL,28,FALSE)-50),"-",(VLOOKUP($A304,'SegEnds_NonXtal_BW#'!$A:$Z,19,FALSE)+VLOOKUP($A304,A:AL,28,FALSE)-50))</f>
        <v>281</v>
      </c>
      <c r="AB304" s="3">
        <v>292</v>
      </c>
      <c r="AC304" s="3">
        <f>IF(ISERROR((VLOOKUP($A304,'SegEnds_NonXtal_BW#'!$A:$Z,20,FALSE)+VLOOKUP($A304,A:AL,28,FALSE)-50)),"-",(VLOOKUP($A304,'SegEnds_NonXtal_BW#'!$A:$Z,20,FALSE)+VLOOKUP($A304,A:AL,28,FALSE)-50))</f>
        <v>311</v>
      </c>
      <c r="AD304" s="3">
        <f>IF(ISERROR(VLOOKUP($A304,'SegEnds_NonXtal_BW#'!$A:$Z,21,FALSE)+VLOOKUP($A304,A:AL,31,FALSE)-50),"-",(VLOOKUP($A304,'SegEnds_NonXtal_BW#'!$A:$Z,21,FALSE)+VLOOKUP($A304,A:AL,31,FALSE)-50))</f>
        <v>319</v>
      </c>
      <c r="AE304" s="3">
        <v>344</v>
      </c>
      <c r="AF304" s="3">
        <f>IF(ISERROR((VLOOKUP($A304,'SegEnds_NonXtal_BW#'!$A:$Z,22,FALSE)+VLOOKUP($A304,A:AL,31,FALSE)-50)),"-",(VLOOKUP($A304,'SegEnds_NonXtal_BW#'!$A:$Z,22,FALSE)+VLOOKUP($A304,A:AL,31,FALSE)-50))</f>
        <v>347</v>
      </c>
      <c r="AG304" s="3">
        <f>IF(ISERROR(VLOOKUP($A304,'SegEnds_NonXtal_BW#'!$A:$Z,23,FALSE)+VLOOKUP($A304,A:AL,34,FALSE)-50),"-",(VLOOKUP($A304,'SegEnds_NonXtal_BW#'!$A:$Z,23,FALSE)+VLOOKUP($A304,A:AL,34,FALSE)-50))</f>
        <v>354</v>
      </c>
      <c r="AH304" s="3">
        <v>373</v>
      </c>
      <c r="AI304" s="3">
        <f>IF(ISERROR((VLOOKUP($A304,'SegEnds_NonXtal_BW#'!$A:$Z,24,FALSE)+VLOOKUP($A304,A:AL,34,FALSE)-50)),"-",(VLOOKUP($A304,'SegEnds_NonXtal_BW#'!$A:$Z,24,FALSE)+VLOOKUP($A304,A:AL,34,FALSE)-50))</f>
        <v>379</v>
      </c>
      <c r="AJ304" s="3">
        <f>IF(ISERROR(VLOOKUP($A304,'SegEnds_NonXtal_BW#'!$A:$Z,25,FALSE)+VLOOKUP($A304,A:AL,37,FALSE)-50),"-",(VLOOKUP($A304,'SegEnds_NonXtal_BW#'!$A:$Z,25,FALSE)+VLOOKUP($A304,A:AL,37,FALSE)-50))</f>
        <v>380</v>
      </c>
      <c r="AK304" s="3">
        <v>383</v>
      </c>
      <c r="AL304" s="3">
        <f>IF(ISERROR((VLOOKUP($A304,'SegEnds_NonXtal_BW#'!$A:$Z,26,FALSE)+VLOOKUP($A304,A:AL,37,FALSE)-50)),"-",(VLOOKUP($A304,'SegEnds_NonXtal_BW#'!$A:$Z,26,FALSE)+VLOOKUP($A304,A:AL,37,FALSE)-50))</f>
        <v>405</v>
      </c>
      <c r="AM304" s="28" t="str">
        <f>VLOOKUP(A304,Classification!A:B,2,FALSE)</f>
        <v>B1</v>
      </c>
      <c r="AN304" s="28" t="b">
        <f t="shared" si="167"/>
        <v>1</v>
      </c>
      <c r="AO304" s="3" t="str">
        <f>IF(ISERROR(MATCH(A304,'SegEnds_Xtal_Prot#'!B:B, 0)), "NoXtal", "Xtal")</f>
        <v>NoXtal</v>
      </c>
      <c r="AP304" s="3">
        <f t="shared" si="152"/>
        <v>1</v>
      </c>
      <c r="AQ304" s="3">
        <f t="shared" si="153"/>
        <v>1</v>
      </c>
      <c r="AR304" s="3" t="str">
        <f t="shared" si="154"/>
        <v>-</v>
      </c>
      <c r="AS304" s="3" t="str">
        <f t="shared" si="155"/>
        <v>-</v>
      </c>
      <c r="AT304" s="3" t="str">
        <f t="shared" si="156"/>
        <v>-</v>
      </c>
      <c r="AU304" s="3" t="str">
        <f t="shared" si="157"/>
        <v>-</v>
      </c>
      <c r="AV304" s="3">
        <f t="shared" si="158"/>
        <v>4</v>
      </c>
      <c r="AW304" s="3">
        <f t="shared" si="159"/>
        <v>7</v>
      </c>
      <c r="AX304" s="3">
        <f t="shared" si="160"/>
        <v>8</v>
      </c>
      <c r="AY304" s="3">
        <f t="shared" si="161"/>
        <v>7</v>
      </c>
      <c r="AZ304" s="3">
        <f t="shared" si="162"/>
        <v>1</v>
      </c>
      <c r="BA304" s="3">
        <f>IF(ISERROR(LEN(VLOOKUP(A304,Seqs!A:E,2,FALSE))-AL304),"-",LEN(VLOOKUP(A304,Seqs!A:E,2,FALSE))-AL304)</f>
        <v>18</v>
      </c>
      <c r="BB304" s="16">
        <f t="shared" si="163"/>
        <v>28</v>
      </c>
      <c r="BC304" s="9" t="str">
        <f t="shared" si="164"/>
        <v>-</v>
      </c>
      <c r="BD304" s="3">
        <f t="shared" si="165"/>
        <v>28</v>
      </c>
      <c r="BE304" s="3">
        <f t="shared" si="166"/>
        <v>52</v>
      </c>
      <c r="BF304" s="3">
        <f>AH304-AE304</f>
        <v>29</v>
      </c>
    </row>
    <row r="305" spans="1:58" s="3" customFormat="1" x14ac:dyDescent="0.2">
      <c r="A305" s="3" t="s">
        <v>405</v>
      </c>
      <c r="B305" s="3" t="str">
        <f>LOWER(VLOOKUP(A305,Xtal_Templ!A:B,2,FALSE))</f>
        <v>glr_human</v>
      </c>
      <c r="C305" s="3">
        <f>VLOOKUP($A305,'SegEnds_NonXtal_BW#'!$A:$Z,3,FALSE)+D305-50</f>
        <v>127</v>
      </c>
      <c r="D305" s="3">
        <v>152</v>
      </c>
      <c r="E305" s="3">
        <f>IF(ISERROR(VLOOKUP($A305,'SegEnds_NonXtal_BW#'!$A:$Z,4,FALSE)+VLOOKUP($A305,A:AL,4,FALSE)-50),"-",(VLOOKUP($A305,'SegEnds_NonXtal_BW#'!$A:$Z,4,FALSE)+VLOOKUP($A305,A:AL,4,FALSE)-50))</f>
        <v>162</v>
      </c>
      <c r="F305" s="3">
        <f t="shared" si="171"/>
        <v>163</v>
      </c>
      <c r="G305" s="3">
        <v>165</v>
      </c>
      <c r="H305" s="3">
        <f t="shared" si="177"/>
        <v>166</v>
      </c>
      <c r="I305" s="3">
        <f t="shared" si="177"/>
        <v>167</v>
      </c>
      <c r="J305" s="3">
        <v>180</v>
      </c>
      <c r="K305" s="3">
        <f>VLOOKUP($A305,'SegEnds_NonXtal_BW#'!$A:$Z,8,FALSE)+VLOOKUP($A305,A:AL,10,FALSE)-50</f>
        <v>194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214</v>
      </c>
      <c r="P305" s="3">
        <v>241</v>
      </c>
      <c r="Q305" s="3">
        <f>VLOOKUP($A305,'SegEnds_NonXtal_BW#'!$A:$Z,12,FALSE)+VLOOKUP($A305,A:AL,16,FALSE)-50</f>
        <v>247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254</v>
      </c>
      <c r="V305" s="3">
        <v>264</v>
      </c>
      <c r="W305" s="3">
        <f>IF(ISERROR(VLOOKUP($A305,'SegEnds_NonXtal_BW#'!$A:$Z,16,FALSE)+VLOOKUP($A305,A:AL,22,FALSE)-50),"-",(VLOOKUP($A305,'SegEnds_NonXtal_BW#'!$A:$Z,16,FALSE)+VLOOKUP($A305,A:AL,22,FALSE)-50))</f>
        <v>282</v>
      </c>
      <c r="X305" s="3">
        <f>IF(ISERROR(VLOOKUP($A305,'SegEnds_NonXtal_BW#'!$A:$Z,17,FALSE)+VLOOKUP($A305,A:AL,25,FALSE)-50),"-",(VLOOKUP($A305,'SegEnds_NonXtal_BW#'!$A:$Z,17,FALSE)+VLOOKUP($A305,A:AL,25,FALSE)-50))</f>
        <v>286</v>
      </c>
      <c r="Y305" s="3">
        <v>286</v>
      </c>
      <c r="Z305" s="3">
        <f t="shared" si="176"/>
        <v>288</v>
      </c>
      <c r="AA305" s="3">
        <f>IF(ISERROR(VLOOKUP($A305,'SegEnds_NonXtal_BW#'!$A:$Z,19,FALSE)+VLOOKUP($A305,A:AL,28,FALSE)-50),"-",(VLOOKUP($A305,'SegEnds_NonXtal_BW#'!$A:$Z,19,FALSE)+VLOOKUP($A305,A:AL,28,FALSE)-50))</f>
        <v>295</v>
      </c>
      <c r="AB305" s="3">
        <v>306</v>
      </c>
      <c r="AC305" s="3">
        <f>IF(ISERROR((VLOOKUP($A305,'SegEnds_NonXtal_BW#'!$A:$Z,20,FALSE)+VLOOKUP($A305,A:AL,28,FALSE)-50)),"-",(VLOOKUP($A305,'SegEnds_NonXtal_BW#'!$A:$Z,20,FALSE)+VLOOKUP($A305,A:AL,28,FALSE)-50))</f>
        <v>327</v>
      </c>
      <c r="AD305" s="3">
        <f>IF(ISERROR(VLOOKUP($A305,'SegEnds_NonXtal_BW#'!$A:$Z,21,FALSE)+VLOOKUP($A305,A:AL,31,FALSE)-50),"-",(VLOOKUP($A305,'SegEnds_NonXtal_BW#'!$A:$Z,21,FALSE)+VLOOKUP($A305,A:AL,31,FALSE)-50))</f>
        <v>334</v>
      </c>
      <c r="AE305" s="3">
        <v>356</v>
      </c>
      <c r="AF305" s="3">
        <f>IF(ISERROR((VLOOKUP($A305,'SegEnds_NonXtal_BW#'!$A:$Z,22,FALSE)+VLOOKUP($A305,A:AL,31,FALSE)-50)),"-",(VLOOKUP($A305,'SegEnds_NonXtal_BW#'!$A:$Z,22,FALSE)+VLOOKUP($A305,A:AL,31,FALSE)-50))</f>
        <v>359</v>
      </c>
      <c r="AG305" s="3">
        <f>IF(ISERROR(VLOOKUP($A305,'SegEnds_NonXtal_BW#'!$A:$Z,23,FALSE)+VLOOKUP($A305,A:AL,34,FALSE)-50),"-",(VLOOKUP($A305,'SegEnds_NonXtal_BW#'!$A:$Z,23,FALSE)+VLOOKUP($A305,A:AL,34,FALSE)-50))</f>
        <v>367</v>
      </c>
      <c r="AH305" s="3">
        <v>389</v>
      </c>
      <c r="AI305" s="3">
        <f>IF(ISERROR((VLOOKUP($A305,'SegEnds_NonXtal_BW#'!$A:$Z,24,FALSE)+VLOOKUP($A305,A:AL,34,FALSE)-50)),"-",(VLOOKUP($A305,'SegEnds_NonXtal_BW#'!$A:$Z,24,FALSE)+VLOOKUP($A305,A:AL,34,FALSE)-50))</f>
        <v>395</v>
      </c>
      <c r="AJ305" s="3">
        <f>IF(ISERROR(VLOOKUP($A305,'SegEnds_NonXtal_BW#'!$A:$Z,25,FALSE)+VLOOKUP($A305,A:AL,37,FALSE)-50),"-",(VLOOKUP($A305,'SegEnds_NonXtal_BW#'!$A:$Z,25,FALSE)+VLOOKUP($A305,A:AL,37,FALSE)-50))</f>
        <v>396</v>
      </c>
      <c r="AK305" s="3">
        <v>399</v>
      </c>
      <c r="AL305" s="3">
        <f>IF(ISERROR((VLOOKUP($A305,'SegEnds_NonXtal_BW#'!$A:$Z,26,FALSE)+VLOOKUP($A305,A:AL,37,FALSE)-50)),"-",(VLOOKUP($A305,'SegEnds_NonXtal_BW#'!$A:$Z,26,FALSE)+VLOOKUP($A305,A:AL,37,FALSE)-50))</f>
        <v>421</v>
      </c>
      <c r="AM305" s="28" t="str">
        <f>VLOOKUP(A305,Classification!A:B,2,FALSE)</f>
        <v>B1</v>
      </c>
      <c r="AN305" s="28" t="b">
        <f t="shared" si="167"/>
        <v>1</v>
      </c>
      <c r="AO305" s="3" t="str">
        <f>IF(ISERROR(MATCH(A305,'SegEnds_Xtal_Prot#'!B:B, 0)), "NoXtal", "Xtal")</f>
        <v>NoXtal</v>
      </c>
      <c r="AP305" s="3">
        <f t="shared" si="152"/>
        <v>1</v>
      </c>
      <c r="AQ305" s="3">
        <f t="shared" si="153"/>
        <v>1</v>
      </c>
      <c r="AR305" s="3" t="str">
        <f t="shared" si="154"/>
        <v>-</v>
      </c>
      <c r="AS305" s="3" t="str">
        <f t="shared" si="155"/>
        <v>-</v>
      </c>
      <c r="AT305" s="3" t="str">
        <f t="shared" si="156"/>
        <v>-</v>
      </c>
      <c r="AU305" s="3" t="str">
        <f t="shared" si="157"/>
        <v>-</v>
      </c>
      <c r="AV305" s="3">
        <f t="shared" si="158"/>
        <v>4</v>
      </c>
      <c r="AW305" s="3">
        <f t="shared" si="159"/>
        <v>7</v>
      </c>
      <c r="AX305" s="3">
        <f t="shared" si="160"/>
        <v>7</v>
      </c>
      <c r="AY305" s="3">
        <f t="shared" si="161"/>
        <v>8</v>
      </c>
      <c r="AZ305" s="3">
        <f t="shared" si="162"/>
        <v>1</v>
      </c>
      <c r="BA305" s="3">
        <f>IF(ISERROR(LEN(VLOOKUP(A305,Seqs!A:E,2,FALSE))-AL305),"-",LEN(VLOOKUP(A305,Seqs!A:E,2,FALSE))-AL305)</f>
        <v>45</v>
      </c>
      <c r="BB305" s="16">
        <f t="shared" si="163"/>
        <v>28</v>
      </c>
      <c r="BC305" s="9" t="str">
        <f t="shared" si="164"/>
        <v>-</v>
      </c>
      <c r="BD305" s="3">
        <f t="shared" si="165"/>
        <v>28</v>
      </c>
      <c r="BE305" s="3">
        <f t="shared" si="166"/>
        <v>50</v>
      </c>
    </row>
    <row r="306" spans="1:58" s="3" customFormat="1" x14ac:dyDescent="0.2">
      <c r="A306" s="3" t="s">
        <v>406</v>
      </c>
      <c r="B306" s="3" t="str">
        <f>LOWER(VLOOKUP(A306,Xtal_Templ!A:B,2,FALSE))</f>
        <v>glp1r_human</v>
      </c>
      <c r="C306" s="3">
        <f>VLOOKUP($A306,'SegEnds_NonXtal_BW#'!$A:$Z,3,FALSE)+D306-50</f>
        <v>138</v>
      </c>
      <c r="D306" s="3">
        <v>159</v>
      </c>
      <c r="E306" s="3">
        <f>IF(ISERROR(VLOOKUP($A306,'SegEnds_NonXtal_BW#'!$A:$Z,4,FALSE)+VLOOKUP($A306,A:AL,4,FALSE)-50),"-",(VLOOKUP($A306,'SegEnds_NonXtal_BW#'!$A:$Z,4,FALSE)+VLOOKUP($A306,A:AL,4,FALSE)-50))</f>
        <v>169</v>
      </c>
      <c r="F306" s="3">
        <f t="shared" si="171"/>
        <v>170</v>
      </c>
      <c r="G306" s="3">
        <v>172</v>
      </c>
      <c r="H306" s="3">
        <f t="shared" si="177"/>
        <v>173</v>
      </c>
      <c r="I306" s="3">
        <f t="shared" si="177"/>
        <v>174</v>
      </c>
      <c r="J306" s="3">
        <v>187</v>
      </c>
      <c r="K306" s="3">
        <f>VLOOKUP($A306,'SegEnds_NonXtal_BW#'!$A:$Z,8,FALSE)+VLOOKUP($A306,A:AL,10,FALSE)-50</f>
        <v>201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224</v>
      </c>
      <c r="P306" s="3">
        <v>251</v>
      </c>
      <c r="Q306" s="3">
        <f>VLOOKUP($A306,'SegEnds_NonXtal_BW#'!$A:$Z,12,FALSE)+VLOOKUP($A306,A:AL,16,FALSE)-50</f>
        <v>257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262</v>
      </c>
      <c r="V306" s="3">
        <v>274</v>
      </c>
      <c r="W306" s="3">
        <f>IF(ISERROR(VLOOKUP($A306,'SegEnds_NonXtal_BW#'!$A:$Z,16,FALSE)+VLOOKUP($A306,A:AL,22,FALSE)-50),"-",(VLOOKUP($A306,'SegEnds_NonXtal_BW#'!$A:$Z,16,FALSE)+VLOOKUP($A306,A:AL,22,FALSE)-50))</f>
        <v>292</v>
      </c>
      <c r="X306" s="3">
        <f>IF(ISERROR(VLOOKUP($A306,'SegEnds_NonXtal_BW#'!$A:$Z,17,FALSE)+VLOOKUP($A306,A:AL,25,FALSE)-50),"-",(VLOOKUP($A306,'SegEnds_NonXtal_BW#'!$A:$Z,17,FALSE)+VLOOKUP($A306,A:AL,25,FALSE)-50))</f>
        <v>296</v>
      </c>
      <c r="Y306" s="3">
        <v>296</v>
      </c>
      <c r="Z306" s="3">
        <f t="shared" si="176"/>
        <v>298</v>
      </c>
      <c r="AA306" s="3">
        <f>IF(ISERROR(VLOOKUP($A306,'SegEnds_NonXtal_BW#'!$A:$Z,19,FALSE)+VLOOKUP($A306,A:AL,28,FALSE)-50),"-",(VLOOKUP($A306,'SegEnds_NonXtal_BW#'!$A:$Z,19,FALSE)+VLOOKUP($A306,A:AL,28,FALSE)-50))</f>
        <v>305</v>
      </c>
      <c r="AB306" s="3">
        <v>316</v>
      </c>
      <c r="AC306" s="3">
        <f>IF(ISERROR((VLOOKUP($A306,'SegEnds_NonXtal_BW#'!$A:$Z,20,FALSE)+VLOOKUP($A306,A:AL,28,FALSE)-50)),"-",(VLOOKUP($A306,'SegEnds_NonXtal_BW#'!$A:$Z,20,FALSE)+VLOOKUP($A306,A:AL,28,FALSE)-50))</f>
        <v>337</v>
      </c>
      <c r="AD306" s="3">
        <f>IF(ISERROR(VLOOKUP($A306,'SegEnds_NonXtal_BW#'!$A:$Z,21,FALSE)+VLOOKUP($A306,A:AL,31,FALSE)-50),"-",(VLOOKUP($A306,'SegEnds_NonXtal_BW#'!$A:$Z,21,FALSE)+VLOOKUP($A306,A:AL,31,FALSE)-50))</f>
        <v>344</v>
      </c>
      <c r="AE306" s="3">
        <v>366</v>
      </c>
      <c r="AF306" s="3">
        <f>IF(ISERROR((VLOOKUP($A306,'SegEnds_NonXtal_BW#'!$A:$Z,22,FALSE)+VLOOKUP($A306,A:AL,31,FALSE)-50)),"-",(VLOOKUP($A306,'SegEnds_NonXtal_BW#'!$A:$Z,22,FALSE)+VLOOKUP($A306,A:AL,31,FALSE)-50))</f>
        <v>369</v>
      </c>
      <c r="AG306" s="3">
        <f>IF(ISERROR(VLOOKUP($A306,'SegEnds_NonXtal_BW#'!$A:$Z,23,FALSE)+VLOOKUP($A306,A:AL,34,FALSE)-50),"-",(VLOOKUP($A306,'SegEnds_NonXtal_BW#'!$A:$Z,23,FALSE)+VLOOKUP($A306,A:AL,34,FALSE)-50))</f>
        <v>377</v>
      </c>
      <c r="AH306" s="3">
        <v>399</v>
      </c>
      <c r="AI306" s="3">
        <f>IF(ISERROR((VLOOKUP($A306,'SegEnds_NonXtal_BW#'!$A:$Z,24,FALSE)+VLOOKUP($A306,A:AL,34,FALSE)-50)),"-",(VLOOKUP($A306,'SegEnds_NonXtal_BW#'!$A:$Z,24,FALSE)+VLOOKUP($A306,A:AL,34,FALSE)-50))</f>
        <v>405</v>
      </c>
      <c r="AJ306" s="3">
        <f>IF(ISERROR(VLOOKUP($A306,'SegEnds_NonXtal_BW#'!$A:$Z,25,FALSE)+VLOOKUP($A306,A:AL,37,FALSE)-50),"-",(VLOOKUP($A306,'SegEnds_NonXtal_BW#'!$A:$Z,25,FALSE)+VLOOKUP($A306,A:AL,37,FALSE)-50))</f>
        <v>406</v>
      </c>
      <c r="AK306" s="3">
        <v>409</v>
      </c>
      <c r="AL306" s="3">
        <f>IF(ISERROR((VLOOKUP($A306,'SegEnds_NonXtal_BW#'!$A:$Z,26,FALSE)+VLOOKUP($A306,A:AL,37,FALSE)-50)),"-",(VLOOKUP($A306,'SegEnds_NonXtal_BW#'!$A:$Z,26,FALSE)+VLOOKUP($A306,A:AL,37,FALSE)-50))</f>
        <v>431</v>
      </c>
      <c r="AM306" s="28" t="str">
        <f>VLOOKUP(A306,Classification!A:B,2,FALSE)</f>
        <v>B1</v>
      </c>
      <c r="AN306" s="28" t="b">
        <f t="shared" si="167"/>
        <v>1</v>
      </c>
      <c r="AO306" s="3" t="str">
        <f>IF(ISERROR(MATCH(A306,'SegEnds_Xtal_Prot#'!B:B, 0)), "NoXtal", "Xtal")</f>
        <v>Xtal</v>
      </c>
      <c r="AP306" s="3">
        <f t="shared" si="152"/>
        <v>1</v>
      </c>
      <c r="AQ306" s="3">
        <f t="shared" si="153"/>
        <v>1</v>
      </c>
      <c r="AR306" s="3" t="str">
        <f t="shared" si="154"/>
        <v>-</v>
      </c>
      <c r="AS306" s="3" t="str">
        <f t="shared" si="155"/>
        <v>-</v>
      </c>
      <c r="AT306" s="3" t="str">
        <f t="shared" si="156"/>
        <v>-</v>
      </c>
      <c r="AU306" s="3" t="str">
        <f t="shared" si="157"/>
        <v>-</v>
      </c>
      <c r="AV306" s="3">
        <f t="shared" si="158"/>
        <v>4</v>
      </c>
      <c r="AW306" s="3">
        <f t="shared" si="159"/>
        <v>7</v>
      </c>
      <c r="AX306" s="3">
        <f t="shared" si="160"/>
        <v>7</v>
      </c>
      <c r="AY306" s="3">
        <f t="shared" si="161"/>
        <v>8</v>
      </c>
      <c r="AZ306" s="3">
        <f t="shared" si="162"/>
        <v>1</v>
      </c>
      <c r="BA306" s="3">
        <f>IF(ISERROR(LEN(VLOOKUP(A306,Seqs!A:E,2,FALSE))-AL306),"-",LEN(VLOOKUP(A306,Seqs!A:E,2,FALSE))-AL306)</f>
        <v>32</v>
      </c>
      <c r="BB306" s="16">
        <f t="shared" si="163"/>
        <v>28</v>
      </c>
      <c r="BC306" s="9" t="str">
        <f t="shared" si="164"/>
        <v>-</v>
      </c>
      <c r="BD306" s="3">
        <f t="shared" si="165"/>
        <v>28</v>
      </c>
      <c r="BE306" s="3">
        <f t="shared" si="166"/>
        <v>50</v>
      </c>
    </row>
    <row r="307" spans="1:58" s="3" customFormat="1" x14ac:dyDescent="0.2">
      <c r="A307" s="3" t="s">
        <v>407</v>
      </c>
      <c r="B307" s="3" t="str">
        <f>LOWER(VLOOKUP(A307,Xtal_Templ!A:B,2,FALSE))</f>
        <v>glr_human</v>
      </c>
      <c r="C307" s="3">
        <f>VLOOKUP($A307,'SegEnds_NonXtal_BW#'!$A:$Z,3,FALSE)+D307-50</f>
        <v>168</v>
      </c>
      <c r="D307" s="3">
        <v>193</v>
      </c>
      <c r="E307" s="3">
        <f>IF(ISERROR(VLOOKUP($A307,'SegEnds_NonXtal_BW#'!$A:$Z,4,FALSE)+VLOOKUP($A307,A:AL,4,FALSE)-50),"-",(VLOOKUP($A307,'SegEnds_NonXtal_BW#'!$A:$Z,4,FALSE)+VLOOKUP($A307,A:AL,4,FALSE)-50))</f>
        <v>203</v>
      </c>
      <c r="F307" s="3">
        <f t="shared" si="171"/>
        <v>204</v>
      </c>
      <c r="G307" s="3">
        <v>206</v>
      </c>
      <c r="H307" s="3">
        <f t="shared" si="177"/>
        <v>207</v>
      </c>
      <c r="I307" s="3">
        <f t="shared" si="177"/>
        <v>208</v>
      </c>
      <c r="J307" s="3">
        <v>221</v>
      </c>
      <c r="K307" s="3">
        <f>VLOOKUP($A307,'SegEnds_NonXtal_BW#'!$A:$Z,8,FALSE)+VLOOKUP($A307,A:AL,10,FALSE)-50</f>
        <v>235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258</v>
      </c>
      <c r="P307" s="3">
        <v>285</v>
      </c>
      <c r="Q307" s="3">
        <f>VLOOKUP($A307,'SegEnds_NonXtal_BW#'!$A:$Z,12,FALSE)+VLOOKUP($A307,A:AL,16,FALSE)-50</f>
        <v>291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298</v>
      </c>
      <c r="V307" s="3">
        <v>308</v>
      </c>
      <c r="W307" s="3">
        <f>IF(ISERROR(VLOOKUP($A307,'SegEnds_NonXtal_BW#'!$A:$Z,16,FALSE)+VLOOKUP($A307,A:AL,22,FALSE)-50),"-",(VLOOKUP($A307,'SegEnds_NonXtal_BW#'!$A:$Z,16,FALSE)+VLOOKUP($A307,A:AL,22,FALSE)-50))</f>
        <v>326</v>
      </c>
      <c r="X307" s="3">
        <f>IF(ISERROR(VLOOKUP($A307,'SegEnds_NonXtal_BW#'!$A:$Z,17,FALSE)+VLOOKUP($A307,A:AL,25,FALSE)-50),"-",(VLOOKUP($A307,'SegEnds_NonXtal_BW#'!$A:$Z,17,FALSE)+VLOOKUP($A307,A:AL,25,FALSE)-50))</f>
        <v>330</v>
      </c>
      <c r="Y307" s="3">
        <v>330</v>
      </c>
      <c r="Z307" s="3">
        <f t="shared" si="176"/>
        <v>332</v>
      </c>
      <c r="AA307" s="3">
        <f>IF(ISERROR(VLOOKUP($A307,'SegEnds_NonXtal_BW#'!$A:$Z,19,FALSE)+VLOOKUP($A307,A:AL,28,FALSE)-50),"-",(VLOOKUP($A307,'SegEnds_NonXtal_BW#'!$A:$Z,19,FALSE)+VLOOKUP($A307,A:AL,28,FALSE)-50))</f>
        <v>339</v>
      </c>
      <c r="AB307" s="3">
        <v>350</v>
      </c>
      <c r="AC307" s="3">
        <f>IF(ISERROR((VLOOKUP($A307,'SegEnds_NonXtal_BW#'!$A:$Z,20,FALSE)+VLOOKUP($A307,A:AL,28,FALSE)-50)),"-",(VLOOKUP($A307,'SegEnds_NonXtal_BW#'!$A:$Z,20,FALSE)+VLOOKUP($A307,A:AL,28,FALSE)-50))</f>
        <v>371</v>
      </c>
      <c r="AD307" s="3">
        <f>IF(ISERROR(VLOOKUP($A307,'SegEnds_NonXtal_BW#'!$A:$Z,21,FALSE)+VLOOKUP($A307,A:AL,31,FALSE)-50),"-",(VLOOKUP($A307,'SegEnds_NonXtal_BW#'!$A:$Z,21,FALSE)+VLOOKUP($A307,A:AL,31,FALSE)-50))</f>
        <v>378</v>
      </c>
      <c r="AE307" s="3">
        <v>400</v>
      </c>
      <c r="AF307" s="3">
        <f>IF(ISERROR((VLOOKUP($A307,'SegEnds_NonXtal_BW#'!$A:$Z,22,FALSE)+VLOOKUP($A307,A:AL,31,FALSE)-50)),"-",(VLOOKUP($A307,'SegEnds_NonXtal_BW#'!$A:$Z,22,FALSE)+VLOOKUP($A307,A:AL,31,FALSE)-50))</f>
        <v>403</v>
      </c>
      <c r="AG307" s="3">
        <f>IF(ISERROR(VLOOKUP($A307,'SegEnds_NonXtal_BW#'!$A:$Z,23,FALSE)+VLOOKUP($A307,A:AL,34,FALSE)-50),"-",(VLOOKUP($A307,'SegEnds_NonXtal_BW#'!$A:$Z,23,FALSE)+VLOOKUP($A307,A:AL,34,FALSE)-50))</f>
        <v>411</v>
      </c>
      <c r="AH307" s="3">
        <v>433</v>
      </c>
      <c r="AI307" s="3">
        <f>IF(ISERROR((VLOOKUP($A307,'SegEnds_NonXtal_BW#'!$A:$Z,24,FALSE)+VLOOKUP($A307,A:AL,34,FALSE)-50)),"-",(VLOOKUP($A307,'SegEnds_NonXtal_BW#'!$A:$Z,24,FALSE)+VLOOKUP($A307,A:AL,34,FALSE)-50))</f>
        <v>439</v>
      </c>
      <c r="AJ307" s="3">
        <f>IF(ISERROR(VLOOKUP($A307,'SegEnds_NonXtal_BW#'!$A:$Z,25,FALSE)+VLOOKUP($A307,A:AL,37,FALSE)-50),"-",(VLOOKUP($A307,'SegEnds_NonXtal_BW#'!$A:$Z,25,FALSE)+VLOOKUP($A307,A:AL,37,FALSE)-50))</f>
        <v>440</v>
      </c>
      <c r="AK307" s="3">
        <v>443</v>
      </c>
      <c r="AL307" s="3">
        <f>IF(ISERROR((VLOOKUP($A307,'SegEnds_NonXtal_BW#'!$A:$Z,26,FALSE)+VLOOKUP($A307,A:AL,37,FALSE)-50)),"-",(VLOOKUP($A307,'SegEnds_NonXtal_BW#'!$A:$Z,26,FALSE)+VLOOKUP($A307,A:AL,37,FALSE)-50))</f>
        <v>465</v>
      </c>
      <c r="AM307" s="28" t="str">
        <f>VLOOKUP(A307,Classification!A:B,2,FALSE)</f>
        <v>B1</v>
      </c>
      <c r="AN307" s="28" t="b">
        <f t="shared" si="167"/>
        <v>1</v>
      </c>
      <c r="AO307" s="3" t="str">
        <f>IF(ISERROR(MATCH(A307,'SegEnds_Xtal_Prot#'!B:B, 0)), "NoXtal", "Xtal")</f>
        <v>NoXtal</v>
      </c>
      <c r="AP307" s="3">
        <f t="shared" si="152"/>
        <v>1</v>
      </c>
      <c r="AQ307" s="3">
        <f t="shared" si="153"/>
        <v>1</v>
      </c>
      <c r="AR307" s="3" t="str">
        <f t="shared" si="154"/>
        <v>-</v>
      </c>
      <c r="AS307" s="3" t="str">
        <f t="shared" si="155"/>
        <v>-</v>
      </c>
      <c r="AT307" s="3" t="str">
        <f t="shared" si="156"/>
        <v>-</v>
      </c>
      <c r="AU307" s="3" t="str">
        <f t="shared" si="157"/>
        <v>-</v>
      </c>
      <c r="AV307" s="3">
        <f t="shared" si="158"/>
        <v>4</v>
      </c>
      <c r="AW307" s="3">
        <f t="shared" si="159"/>
        <v>7</v>
      </c>
      <c r="AX307" s="3">
        <f t="shared" si="160"/>
        <v>7</v>
      </c>
      <c r="AY307" s="3">
        <f t="shared" si="161"/>
        <v>8</v>
      </c>
      <c r="AZ307" s="3">
        <f t="shared" si="162"/>
        <v>1</v>
      </c>
      <c r="BA307" s="3">
        <f>IF(ISERROR(LEN(VLOOKUP(A307,Seqs!A:E,2,FALSE))-AL307),"-",LEN(VLOOKUP(A307,Seqs!A:E,2,FALSE))-AL307)</f>
        <v>88</v>
      </c>
      <c r="BB307" s="16">
        <f t="shared" si="163"/>
        <v>28</v>
      </c>
      <c r="BC307" s="9" t="str">
        <f t="shared" si="164"/>
        <v>-</v>
      </c>
      <c r="BD307" s="3">
        <f t="shared" si="165"/>
        <v>28</v>
      </c>
      <c r="BE307" s="3">
        <f t="shared" si="166"/>
        <v>50</v>
      </c>
    </row>
    <row r="308" spans="1:58" s="3" customFormat="1" x14ac:dyDescent="0.2">
      <c r="A308" s="3" t="s">
        <v>32</v>
      </c>
      <c r="B308" s="3" t="str">
        <f>LOWER(VLOOKUP(A308,Xtal_Templ!A:B,2,FALSE))</f>
        <v>glr_human</v>
      </c>
      <c r="C308" s="3">
        <f>VLOOKUP($A308,'SegEnds_NonXtal_BW#'!$A:$Z,3,FALSE)+D308-50</f>
        <v>131</v>
      </c>
      <c r="D308" s="3">
        <v>156</v>
      </c>
      <c r="E308" s="3">
        <f>IF(ISERROR(VLOOKUP($A308,'SegEnds_NonXtal_BW#'!$A:$Z,4,FALSE)+VLOOKUP($A308,A:AL,4,FALSE)-50),"-",(VLOOKUP($A308,'SegEnds_NonXtal_BW#'!$A:$Z,4,FALSE)+VLOOKUP($A308,A:AL,4,FALSE)-50))</f>
        <v>166</v>
      </c>
      <c r="F308" s="3">
        <f t="shared" si="171"/>
        <v>167</v>
      </c>
      <c r="G308" s="3">
        <v>169</v>
      </c>
      <c r="H308" s="3">
        <f t="shared" si="177"/>
        <v>170</v>
      </c>
      <c r="I308" s="3">
        <f t="shared" si="177"/>
        <v>171</v>
      </c>
      <c r="J308" s="3">
        <v>184</v>
      </c>
      <c r="K308" s="3">
        <f>VLOOKUP($A308,'SegEnds_NonXtal_BW#'!$A:$Z,8,FALSE)+VLOOKUP($A308,A:AL,10,FALSE)-50</f>
        <v>203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220</v>
      </c>
      <c r="P308" s="3">
        <v>249</v>
      </c>
      <c r="Q308" s="3">
        <f>VLOOKUP($A308,'SegEnds_NonXtal_BW#'!$A:$Z,12,FALSE)+VLOOKUP($A308,A:AL,16,FALSE)-50</f>
        <v>255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262</v>
      </c>
      <c r="V308" s="3">
        <v>272</v>
      </c>
      <c r="W308" s="3">
        <f>IF(ISERROR(VLOOKUP($A308,'SegEnds_NonXtal_BW#'!$A:$Z,16,FALSE)+VLOOKUP($A308,A:AL,22,FALSE)-50),"-",(VLOOKUP($A308,'SegEnds_NonXtal_BW#'!$A:$Z,16,FALSE)+VLOOKUP($A308,A:AL,22,FALSE)-50))</f>
        <v>290</v>
      </c>
      <c r="X308" s="3">
        <f>IF(ISERROR(VLOOKUP($A308,'SegEnds_NonXtal_BW#'!$A:$Z,17,FALSE)+VLOOKUP($A308,A:AL,25,FALSE)-50),"-",(VLOOKUP($A308,'SegEnds_NonXtal_BW#'!$A:$Z,17,FALSE)+VLOOKUP($A308,A:AL,25,FALSE)-50))</f>
        <v>294</v>
      </c>
      <c r="Y308" s="3">
        <v>294</v>
      </c>
      <c r="Z308" s="3">
        <f t="shared" si="176"/>
        <v>296</v>
      </c>
      <c r="AA308" s="3">
        <f>IF(ISERROR(VLOOKUP($A308,'SegEnds_NonXtal_BW#'!$A:$Z,19,FALSE)+VLOOKUP($A308,A:AL,28,FALSE)-50),"-",(VLOOKUP($A308,'SegEnds_NonXtal_BW#'!$A:$Z,19,FALSE)+VLOOKUP($A308,A:AL,28,FALSE)-50))</f>
        <v>300</v>
      </c>
      <c r="AB308" s="3">
        <v>314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342</v>
      </c>
      <c r="AE308" s="3">
        <v>364</v>
      </c>
      <c r="AF308" s="3">
        <f>IF(ISERROR((VLOOKUP($A308,'SegEnds_NonXtal_BW#'!$A:$Z,22,FALSE)+VLOOKUP($A308,A:AL,31,FALSE)-50)),"-",(VLOOKUP($A308,'SegEnds_NonXtal_BW#'!$A:$Z,22,FALSE)+VLOOKUP($A308,A:AL,31,FALSE)-50))</f>
        <v>367</v>
      </c>
      <c r="AG308" s="3">
        <f>IF(ISERROR(VLOOKUP($A308,'SegEnds_NonXtal_BW#'!$A:$Z,23,FALSE)+VLOOKUP($A308,A:AL,34,FALSE)-50),"-",(VLOOKUP($A308,'SegEnds_NonXtal_BW#'!$A:$Z,23,FALSE)+VLOOKUP($A308,A:AL,34,FALSE)-50))</f>
        <v>374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167"/>
        <v>1</v>
      </c>
      <c r="AO308" s="3" t="str">
        <f>IF(ISERROR(MATCH(A308,'SegEnds_Xtal_Prot#'!B:B, 0)), "NoXtal", "Xtal")</f>
        <v>Xtal</v>
      </c>
      <c r="AP308" s="3">
        <f t="shared" si="152"/>
        <v>1</v>
      </c>
      <c r="AQ308" s="3">
        <f t="shared" si="153"/>
        <v>1</v>
      </c>
      <c r="AR308" s="3" t="str">
        <f t="shared" si="154"/>
        <v>-</v>
      </c>
      <c r="AS308" s="3" t="str">
        <f t="shared" si="155"/>
        <v>-</v>
      </c>
      <c r="AT308" s="3" t="str">
        <f t="shared" si="156"/>
        <v>-</v>
      </c>
      <c r="AU308" s="3" t="str">
        <f t="shared" si="157"/>
        <v>-</v>
      </c>
      <c r="AV308" s="3">
        <f t="shared" si="158"/>
        <v>4</v>
      </c>
      <c r="AW308" s="3">
        <f t="shared" si="159"/>
        <v>4</v>
      </c>
      <c r="AX308" s="3">
        <f t="shared" si="160"/>
        <v>7</v>
      </c>
      <c r="AY308" s="3">
        <f t="shared" si="161"/>
        <v>7</v>
      </c>
      <c r="AZ308" s="3">
        <f t="shared" si="162"/>
        <v>1</v>
      </c>
      <c r="BA308" s="3">
        <f>IF(ISERROR(LEN(VLOOKUP(A308,Seqs!A:E,2,FALSE))-AL308),"-",LEN(VLOOKUP(A308,Seqs!A:E,2,FALSE))-AL308)</f>
        <v>48</v>
      </c>
      <c r="BB308" s="16">
        <f t="shared" si="163"/>
        <v>28</v>
      </c>
      <c r="BC308" s="9" t="str">
        <f t="shared" si="164"/>
        <v>-</v>
      </c>
      <c r="BD308" s="3">
        <f t="shared" si="165"/>
        <v>28</v>
      </c>
      <c r="BE308" s="3">
        <f t="shared" si="166"/>
        <v>50</v>
      </c>
    </row>
    <row r="309" spans="1:58" s="3" customFormat="1" x14ac:dyDescent="0.2">
      <c r="A309" s="3" t="s">
        <v>408</v>
      </c>
      <c r="B309" s="3" t="str">
        <f>LOWER(VLOOKUP(A309,Xtal_Templ!A:B,2,FALSE))</f>
        <v>pth1r_human</v>
      </c>
      <c r="C309" s="3">
        <f>VLOOKUP($A309,'SegEnds_NonXtal_BW#'!$A:$Z,3,FALSE)+D309-50</f>
        <v>139</v>
      </c>
      <c r="D309" s="3">
        <v>168</v>
      </c>
      <c r="E309" s="3">
        <f>IF(ISERROR(VLOOKUP($A309,'SegEnds_NonXtal_BW#'!$A:$Z,4,FALSE)+VLOOKUP($A309,A:AL,4,FALSE)-50),"-",(VLOOKUP($A309,'SegEnds_NonXtal_BW#'!$A:$Z,4,FALSE)+VLOOKUP($A309,A:AL,4,FALSE)-50))</f>
        <v>178</v>
      </c>
      <c r="F309" s="3">
        <f t="shared" si="171"/>
        <v>179</v>
      </c>
      <c r="G309" s="3">
        <v>181</v>
      </c>
      <c r="H309" s="3">
        <f t="shared" si="177"/>
        <v>182</v>
      </c>
      <c r="I309" s="3">
        <f t="shared" si="177"/>
        <v>183</v>
      </c>
      <c r="J309" s="3">
        <v>196</v>
      </c>
      <c r="K309" s="3">
        <f>VLOOKUP($A309,'SegEnds_NonXtal_BW#'!$A:$Z,8,FALSE)+VLOOKUP($A309,A:AL,10,FALSE)-50</f>
        <v>210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224</v>
      </c>
      <c r="P309" s="3">
        <v>251</v>
      </c>
      <c r="Q309" s="3">
        <f>VLOOKUP($A309,'SegEnds_NonXtal_BW#'!$A:$Z,12,FALSE)+VLOOKUP($A309,A:AL,16,FALSE)-50</f>
        <v>257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261</v>
      </c>
      <c r="V309" s="3">
        <v>274</v>
      </c>
      <c r="W309" s="3">
        <f>IF(ISERROR(VLOOKUP($A309,'SegEnds_NonXtal_BW#'!$A:$Z,16,FALSE)+VLOOKUP($A309,A:AL,22,FALSE)-50),"-",(VLOOKUP($A309,'SegEnds_NonXtal_BW#'!$A:$Z,16,FALSE)+VLOOKUP($A309,A:AL,22,FALSE)-50))</f>
        <v>292</v>
      </c>
      <c r="X309" s="3">
        <f>IF(ISERROR(VLOOKUP($A309,'SegEnds_NonXtal_BW#'!$A:$Z,17,FALSE)+VLOOKUP($A309,A:AL,25,FALSE)-50),"-",(VLOOKUP($A309,'SegEnds_NonXtal_BW#'!$A:$Z,17,FALSE)+VLOOKUP($A309,A:AL,25,FALSE)-50))</f>
        <v>296</v>
      </c>
      <c r="Y309" s="3">
        <v>296</v>
      </c>
      <c r="Z309" s="3">
        <f t="shared" si="176"/>
        <v>298</v>
      </c>
      <c r="AA309" s="3">
        <f>IF(ISERROR(VLOOKUP($A309,'SegEnds_NonXtal_BW#'!$A:$Z,19,FALSE)+VLOOKUP($A309,A:AL,28,FALSE)-50),"-",(VLOOKUP($A309,'SegEnds_NonXtal_BW#'!$A:$Z,19,FALSE)+VLOOKUP($A309,A:AL,28,FALSE)-50))</f>
        <v>305</v>
      </c>
      <c r="AB309" s="3">
        <v>316</v>
      </c>
      <c r="AC309" s="3">
        <f>IF(ISERROR((VLOOKUP($A309,'SegEnds_NonXtal_BW#'!$A:$Z,20,FALSE)+VLOOKUP($A309,A:AL,28,FALSE)-50)),"-",(VLOOKUP($A309,'SegEnds_NonXtal_BW#'!$A:$Z,20,FALSE)+VLOOKUP($A309,A:AL,28,FALSE)-50))</f>
        <v>335</v>
      </c>
      <c r="AD309" s="3">
        <f>IF(ISERROR(VLOOKUP($A309,'SegEnds_NonXtal_BW#'!$A:$Z,21,FALSE)+VLOOKUP($A309,A:AL,31,FALSE)-50),"-",(VLOOKUP($A309,'SegEnds_NonXtal_BW#'!$A:$Z,21,FALSE)+VLOOKUP($A309,A:AL,31,FALSE)-50))</f>
        <v>343</v>
      </c>
      <c r="AE309" s="3">
        <v>368</v>
      </c>
      <c r="AF309" s="3">
        <f>IF(ISERROR((VLOOKUP($A309,'SegEnds_NonXtal_BW#'!$A:$Z,22,FALSE)+VLOOKUP($A309,A:AL,31,FALSE)-50)),"-",(VLOOKUP($A309,'SegEnds_NonXtal_BW#'!$A:$Z,22,FALSE)+VLOOKUP($A309,A:AL,31,FALSE)-50))</f>
        <v>372</v>
      </c>
      <c r="AG309" s="3">
        <f>IF(ISERROR(VLOOKUP($A309,'SegEnds_NonXtal_BW#'!$A:$Z,23,FALSE)+VLOOKUP($A309,A:AL,34,FALSE)-50),"-",(VLOOKUP($A309,'SegEnds_NonXtal_BW#'!$A:$Z,23,FALSE)+VLOOKUP($A309,A:AL,34,FALSE)-50))</f>
        <v>378</v>
      </c>
      <c r="AH309" s="3">
        <v>397</v>
      </c>
      <c r="AI309" s="3">
        <f>IF(ISERROR((VLOOKUP($A309,'SegEnds_NonXtal_BW#'!$A:$Z,24,FALSE)+VLOOKUP($A309,A:AL,34,FALSE)-50)),"-",(VLOOKUP($A309,'SegEnds_NonXtal_BW#'!$A:$Z,24,FALSE)+VLOOKUP($A309,A:AL,34,FALSE)-50))</f>
        <v>403</v>
      </c>
      <c r="AJ309" s="3">
        <f>IF(ISERROR(VLOOKUP($A309,'SegEnds_NonXtal_BW#'!$A:$Z,25,FALSE)+VLOOKUP($A309,A:AL,37,FALSE)-50),"-",(VLOOKUP($A309,'SegEnds_NonXtal_BW#'!$A:$Z,25,FALSE)+VLOOKUP($A309,A:AL,37,FALSE)-50))</f>
        <v>404</v>
      </c>
      <c r="AK309" s="3">
        <v>407</v>
      </c>
      <c r="AL309" s="3">
        <f>IF(ISERROR((VLOOKUP($A309,'SegEnds_NonXtal_BW#'!$A:$Z,26,FALSE)+VLOOKUP($A309,A:AL,37,FALSE)-50)),"-",(VLOOKUP($A309,'SegEnds_NonXtal_BW#'!$A:$Z,26,FALSE)+VLOOKUP($A309,A:AL,37,FALSE)-50))</f>
        <v>429</v>
      </c>
      <c r="AM309" s="28" t="str">
        <f>VLOOKUP(A309,Classification!A:B,2,FALSE)</f>
        <v>B1</v>
      </c>
      <c r="AN309" s="28" t="b">
        <f t="shared" si="167"/>
        <v>1</v>
      </c>
      <c r="AO309" s="3" t="str">
        <f>IF(ISERROR(MATCH(A309,'SegEnds_Xtal_Prot#'!B:B, 0)), "NoXtal", "Xtal")</f>
        <v>NoXtal</v>
      </c>
      <c r="AP309" s="3">
        <f t="shared" si="152"/>
        <v>1</v>
      </c>
      <c r="AQ309" s="3">
        <f t="shared" si="153"/>
        <v>1</v>
      </c>
      <c r="AR309" s="3" t="str">
        <f t="shared" si="154"/>
        <v>-</v>
      </c>
      <c r="AS309" s="3" t="str">
        <f t="shared" si="155"/>
        <v>-</v>
      </c>
      <c r="AT309" s="3" t="str">
        <f t="shared" si="156"/>
        <v>-</v>
      </c>
      <c r="AU309" s="3" t="str">
        <f t="shared" si="157"/>
        <v>-</v>
      </c>
      <c r="AV309" s="3">
        <f t="shared" si="158"/>
        <v>4</v>
      </c>
      <c r="AW309" s="3">
        <f t="shared" si="159"/>
        <v>7</v>
      </c>
      <c r="AX309" s="3">
        <f t="shared" si="160"/>
        <v>8</v>
      </c>
      <c r="AY309" s="3">
        <f t="shared" si="161"/>
        <v>6</v>
      </c>
      <c r="AZ309" s="3">
        <f t="shared" si="162"/>
        <v>1</v>
      </c>
      <c r="BA309" s="3">
        <f>IF(ISERROR(LEN(VLOOKUP(A309,Seqs!A:E,2,FALSE))-AL309),"-",LEN(VLOOKUP(A309,Seqs!A:E,2,FALSE))-AL309)</f>
        <v>39</v>
      </c>
      <c r="BB309" s="16">
        <f t="shared" si="163"/>
        <v>28</v>
      </c>
      <c r="BC309" s="9" t="str">
        <f t="shared" si="164"/>
        <v>-</v>
      </c>
      <c r="BD309" s="3">
        <f t="shared" si="165"/>
        <v>28</v>
      </c>
      <c r="BE309" s="3">
        <f t="shared" si="166"/>
        <v>52</v>
      </c>
    </row>
    <row r="310" spans="1:58" s="3" customFormat="1" x14ac:dyDescent="0.2">
      <c r="A310" s="3" t="s">
        <v>409</v>
      </c>
      <c r="B310" s="3" t="str">
        <f>LOWER(VLOOKUP(A310,Xtal_Templ!A:B,2,FALSE))</f>
        <v>pth1r_human</v>
      </c>
      <c r="C310" s="3">
        <f>VLOOKUP($A310,'SegEnds_NonXtal_BW#'!$A:$Z,3,FALSE)+D310-50</f>
        <v>173</v>
      </c>
      <c r="D310" s="3">
        <v>202</v>
      </c>
      <c r="E310" s="3">
        <f>IF(ISERROR(VLOOKUP($A310,'SegEnds_NonXtal_BW#'!$A:$Z,4,FALSE)+VLOOKUP($A310,A:AL,4,FALSE)-50),"-",(VLOOKUP($A310,'SegEnds_NonXtal_BW#'!$A:$Z,4,FALSE)+VLOOKUP($A310,A:AL,4,FALSE)-50))</f>
        <v>212</v>
      </c>
      <c r="F310" s="3">
        <f t="shared" si="171"/>
        <v>213</v>
      </c>
      <c r="G310" s="3">
        <v>215</v>
      </c>
      <c r="H310" s="3">
        <f t="shared" si="177"/>
        <v>216</v>
      </c>
      <c r="I310" s="3">
        <f t="shared" si="177"/>
        <v>217</v>
      </c>
      <c r="J310" s="3">
        <v>230</v>
      </c>
      <c r="K310" s="3">
        <f>VLOOKUP($A310,'SegEnds_NonXtal_BW#'!$A:$Z,8,FALSE)+VLOOKUP($A310,A:AL,10,FALSE)-50</f>
        <v>249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277</v>
      </c>
      <c r="P310" s="3">
        <v>306</v>
      </c>
      <c r="Q310" s="3">
        <f>VLOOKUP($A310,'SegEnds_NonXtal_BW#'!$A:$Z,12,FALSE)+VLOOKUP($A310,A:AL,16,FALSE)-50</f>
        <v>312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316</v>
      </c>
      <c r="V310" s="3">
        <v>329</v>
      </c>
      <c r="W310" s="3">
        <f>IF(ISERROR(VLOOKUP($A310,'SegEnds_NonXtal_BW#'!$A:$Z,16,FALSE)+VLOOKUP($A310,A:AL,22,FALSE)-50),"-",(VLOOKUP($A310,'SegEnds_NonXtal_BW#'!$A:$Z,16,FALSE)+VLOOKUP($A310,A:AL,22,FALSE)-50))</f>
        <v>347</v>
      </c>
      <c r="X310" s="3">
        <f>IF(ISERROR(VLOOKUP($A310,'SegEnds_NonXtal_BW#'!$A:$Z,17,FALSE)+VLOOKUP($A310,A:AL,25,FALSE)-50),"-",(VLOOKUP($A310,'SegEnds_NonXtal_BW#'!$A:$Z,17,FALSE)+VLOOKUP($A310,A:AL,25,FALSE)-50))</f>
        <v>351</v>
      </c>
      <c r="Y310" s="3">
        <v>351</v>
      </c>
      <c r="Z310" s="3">
        <f t="shared" si="176"/>
        <v>353</v>
      </c>
      <c r="AA310" s="3">
        <f>IF(ISERROR(VLOOKUP($A310,'SegEnds_NonXtal_BW#'!$A:$Z,19,FALSE)+VLOOKUP($A310,A:AL,28,FALSE)-50),"-",(VLOOKUP($A310,'SegEnds_NonXtal_BW#'!$A:$Z,19,FALSE)+VLOOKUP($A310,A:AL,28,FALSE)-50))</f>
        <v>359</v>
      </c>
      <c r="AB310" s="3">
        <v>370</v>
      </c>
      <c r="AC310" s="3">
        <f>IF(ISERROR((VLOOKUP($A310,'SegEnds_NonXtal_BW#'!$A:$Z,20,FALSE)+VLOOKUP($A310,A:AL,28,FALSE)-50)),"-",(VLOOKUP($A310,'SegEnds_NonXtal_BW#'!$A:$Z,20,FALSE)+VLOOKUP($A310,A:AL,28,FALSE)-50))</f>
        <v>389</v>
      </c>
      <c r="AD310" s="3">
        <f>IF(ISERROR(VLOOKUP($A310,'SegEnds_NonXtal_BW#'!$A:$Z,21,FALSE)+VLOOKUP($A310,A:AL,31,FALSE)-50),"-",(VLOOKUP($A310,'SegEnds_NonXtal_BW#'!$A:$Z,21,FALSE)+VLOOKUP($A310,A:AL,31,FALSE)-50))</f>
        <v>398</v>
      </c>
      <c r="AE310" s="3">
        <v>423</v>
      </c>
      <c r="AF310" s="3">
        <f>IF(ISERROR((VLOOKUP($A310,'SegEnds_NonXtal_BW#'!$A:$Z,22,FALSE)+VLOOKUP($A310,A:AL,31,FALSE)-50)),"-",(VLOOKUP($A310,'SegEnds_NonXtal_BW#'!$A:$Z,22,FALSE)+VLOOKUP($A310,A:AL,31,FALSE)-50))</f>
        <v>427</v>
      </c>
      <c r="AG310" s="3">
        <f>IF(ISERROR(VLOOKUP($A310,'SegEnds_NonXtal_BW#'!$A:$Z,23,FALSE)+VLOOKUP($A310,A:AL,34,FALSE)-50),"-",(VLOOKUP($A310,'SegEnds_NonXtal_BW#'!$A:$Z,23,FALSE)+VLOOKUP($A310,A:AL,34,FALSE)-50))</f>
        <v>434</v>
      </c>
      <c r="AH310" s="3">
        <v>456</v>
      </c>
      <c r="AI310" s="3">
        <f>IF(ISERROR((VLOOKUP($A310,'SegEnds_NonXtal_BW#'!$A:$Z,24,FALSE)+VLOOKUP($A310,A:AL,34,FALSE)-50)),"-",(VLOOKUP($A310,'SegEnds_NonXtal_BW#'!$A:$Z,24,FALSE)+VLOOKUP($A310,A:AL,34,FALSE)-50))</f>
        <v>462</v>
      </c>
      <c r="AJ310" s="3">
        <f>IF(ISERROR(VLOOKUP($A310,'SegEnds_NonXtal_BW#'!$A:$Z,25,FALSE)+VLOOKUP($A310,A:AL,37,FALSE)-50),"-",(VLOOKUP($A310,'SegEnds_NonXtal_BW#'!$A:$Z,25,FALSE)+VLOOKUP($A310,A:AL,37,FALSE)-50))</f>
        <v>463</v>
      </c>
      <c r="AK310" s="3">
        <v>466</v>
      </c>
      <c r="AL310" s="3">
        <f>IF(ISERROR((VLOOKUP($A310,'SegEnds_NonXtal_BW#'!$A:$Z,26,FALSE)+VLOOKUP($A310,A:AL,37,FALSE)-50)),"-",(VLOOKUP($A310,'SegEnds_NonXtal_BW#'!$A:$Z,26,FALSE)+VLOOKUP($A310,A:AL,37,FALSE)-50))</f>
        <v>488</v>
      </c>
      <c r="AM310" s="28" t="str">
        <f>VLOOKUP(A310,Classification!A:B,2,FALSE)</f>
        <v>B1</v>
      </c>
      <c r="AN310" s="28" t="b">
        <f t="shared" si="167"/>
        <v>1</v>
      </c>
      <c r="AO310" s="3" t="str">
        <f>IF(ISERROR(MATCH(A310,'SegEnds_Xtal_Prot#'!B:B, 0)), "NoXtal", "Xtal")</f>
        <v>Xtal</v>
      </c>
      <c r="AP310" s="3">
        <f t="shared" si="152"/>
        <v>1</v>
      </c>
      <c r="AQ310" s="3">
        <f t="shared" si="153"/>
        <v>1</v>
      </c>
      <c r="AR310" s="3" t="str">
        <f t="shared" si="154"/>
        <v>-</v>
      </c>
      <c r="AS310" s="3" t="str">
        <f t="shared" si="155"/>
        <v>-</v>
      </c>
      <c r="AT310" s="3" t="str">
        <f t="shared" si="156"/>
        <v>-</v>
      </c>
      <c r="AU310" s="3" t="str">
        <f t="shared" si="157"/>
        <v>-</v>
      </c>
      <c r="AV310" s="3">
        <f t="shared" si="158"/>
        <v>4</v>
      </c>
      <c r="AW310" s="3">
        <f t="shared" si="159"/>
        <v>6</v>
      </c>
      <c r="AX310" s="3">
        <f t="shared" si="160"/>
        <v>9</v>
      </c>
      <c r="AY310" s="3">
        <f t="shared" si="161"/>
        <v>7</v>
      </c>
      <c r="AZ310" s="3">
        <f t="shared" si="162"/>
        <v>1</v>
      </c>
      <c r="BA310" s="3">
        <f>IF(ISERROR(LEN(VLOOKUP(A310,Seqs!A:E,2,FALSE))-AL310),"-",LEN(VLOOKUP(A310,Seqs!A:E,2,FALSE))-AL310)</f>
        <v>105</v>
      </c>
      <c r="BB310" s="16">
        <f t="shared" si="163"/>
        <v>28</v>
      </c>
      <c r="BC310" s="9" t="str">
        <f t="shared" si="164"/>
        <v>-</v>
      </c>
      <c r="BD310" s="3">
        <f t="shared" si="165"/>
        <v>28</v>
      </c>
      <c r="BE310" s="3">
        <f t="shared" si="166"/>
        <v>53</v>
      </c>
    </row>
    <row r="311" spans="1:58" s="3" customFormat="1" x14ac:dyDescent="0.2">
      <c r="A311" s="3" t="s">
        <v>410</v>
      </c>
      <c r="B311" s="3" t="str">
        <f>LOWER(VLOOKUP(A311,Xtal_Templ!A:B,2,FALSE))</f>
        <v>pth1r_human</v>
      </c>
      <c r="C311" s="3">
        <f>VLOOKUP($A311,'SegEnds_NonXtal_BW#'!$A:$Z,3,FALSE)+D311-50</f>
        <v>130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171"/>
        <v>170</v>
      </c>
      <c r="G311" s="3">
        <v>172</v>
      </c>
      <c r="H311" s="3">
        <f t="shared" si="177"/>
        <v>173</v>
      </c>
      <c r="I311" s="3">
        <f t="shared" si="177"/>
        <v>174</v>
      </c>
      <c r="J311" s="3">
        <v>187</v>
      </c>
      <c r="K311" s="3">
        <f>VLOOKUP($A311,'SegEnds_NonXtal_BW#'!$A:$Z,8,FALSE)+VLOOKUP($A311,A:AL,10,FALSE)-50</f>
        <v>206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232</v>
      </c>
      <c r="P311" s="3">
        <v>261</v>
      </c>
      <c r="Q311" s="3">
        <f>VLOOKUP($A311,'SegEnds_NonXtal_BW#'!$A:$Z,12,FALSE)+VLOOKUP($A311,A:AL,16,FALSE)-50</f>
        <v>267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271</v>
      </c>
      <c r="V311" s="3">
        <v>284</v>
      </c>
      <c r="W311" s="3">
        <f>IF(ISERROR(VLOOKUP($A311,'SegEnds_NonXtal_BW#'!$A:$Z,16,FALSE)+VLOOKUP($A311,A:AL,22,FALSE)-50),"-",(VLOOKUP($A311,'SegEnds_NonXtal_BW#'!$A:$Z,16,FALSE)+VLOOKUP($A311,A:AL,22,FALSE)-50))</f>
        <v>302</v>
      </c>
      <c r="X311" s="3">
        <f>IF(ISERROR(VLOOKUP($A311,'SegEnds_NonXtal_BW#'!$A:$Z,17,FALSE)+VLOOKUP($A311,A:AL,25,FALSE)-50),"-",(VLOOKUP($A311,'SegEnds_NonXtal_BW#'!$A:$Z,17,FALSE)+VLOOKUP($A311,A:AL,25,FALSE)-50))</f>
        <v>306</v>
      </c>
      <c r="Y311" s="3">
        <v>306</v>
      </c>
      <c r="Z311" s="3">
        <f t="shared" si="176"/>
        <v>308</v>
      </c>
      <c r="AA311" s="3">
        <f>IF(ISERROR(VLOOKUP($A311,'SegEnds_NonXtal_BW#'!$A:$Z,19,FALSE)+VLOOKUP($A311,A:AL,28,FALSE)-50),"-",(VLOOKUP($A311,'SegEnds_NonXtal_BW#'!$A:$Z,19,FALSE)+VLOOKUP($A311,A:AL,28,FALSE)-50))</f>
        <v>314</v>
      </c>
      <c r="AB311" s="3">
        <v>325</v>
      </c>
      <c r="AC311" s="3">
        <f>IF(ISERROR((VLOOKUP($A311,'SegEnds_NonXtal_BW#'!$A:$Z,20,FALSE)+VLOOKUP($A311,A:AL,28,FALSE)-50)),"-",(VLOOKUP($A311,'SegEnds_NonXtal_BW#'!$A:$Z,20,FALSE)+VLOOKUP($A311,A:AL,28,FALSE)-50))</f>
        <v>344</v>
      </c>
      <c r="AD311" s="3">
        <f>IF(ISERROR(VLOOKUP($A311,'SegEnds_NonXtal_BW#'!$A:$Z,21,FALSE)+VLOOKUP($A311,A:AL,31,FALSE)-50),"-",(VLOOKUP($A311,'SegEnds_NonXtal_BW#'!$A:$Z,21,FALSE)+VLOOKUP($A311,A:AL,31,FALSE)-50))</f>
        <v>353</v>
      </c>
      <c r="AE311" s="3">
        <v>378</v>
      </c>
      <c r="AF311" s="3">
        <f>IF(ISERROR((VLOOKUP($A311,'SegEnds_NonXtal_BW#'!$A:$Z,22,FALSE)+VLOOKUP($A311,A:AL,31,FALSE)-50)),"-",(VLOOKUP($A311,'SegEnds_NonXtal_BW#'!$A:$Z,22,FALSE)+VLOOKUP($A311,A:AL,31,FALSE)-50))</f>
        <v>382</v>
      </c>
      <c r="AG311" s="3">
        <f>IF(ISERROR(VLOOKUP($A311,'SegEnds_NonXtal_BW#'!$A:$Z,23,FALSE)+VLOOKUP($A311,A:AL,34,FALSE)-50),"-",(VLOOKUP($A311,'SegEnds_NonXtal_BW#'!$A:$Z,23,FALSE)+VLOOKUP($A311,A:AL,34,FALSE)-50))</f>
        <v>388</v>
      </c>
      <c r="AH311" s="3">
        <v>410</v>
      </c>
      <c r="AI311" s="3">
        <f>IF(ISERROR((VLOOKUP($A311,'SegEnds_NonXtal_BW#'!$A:$Z,24,FALSE)+VLOOKUP($A311,A:AL,34,FALSE)-50)),"-",(VLOOKUP($A311,'SegEnds_NonXtal_BW#'!$A:$Z,24,FALSE)+VLOOKUP($A311,A:AL,34,FALSE)-50))</f>
        <v>416</v>
      </c>
      <c r="AJ311" s="3">
        <f>IF(ISERROR(VLOOKUP($A311,'SegEnds_NonXtal_BW#'!$A:$Z,25,FALSE)+VLOOKUP($A311,A:AL,37,FALSE)-50),"-",(VLOOKUP($A311,'SegEnds_NonXtal_BW#'!$A:$Z,25,FALSE)+VLOOKUP($A311,A:AL,37,FALSE)-50))</f>
        <v>417</v>
      </c>
      <c r="AK311" s="3">
        <v>420</v>
      </c>
      <c r="AL311" s="3">
        <f>IF(ISERROR((VLOOKUP($A311,'SegEnds_NonXtal_BW#'!$A:$Z,26,FALSE)+VLOOKUP($A311,A:AL,37,FALSE)-50)),"-",(VLOOKUP($A311,'SegEnds_NonXtal_BW#'!$A:$Z,26,FALSE)+VLOOKUP($A311,A:AL,37,FALSE)-50))</f>
        <v>442</v>
      </c>
      <c r="AM311" s="28" t="str">
        <f>VLOOKUP(A311,Classification!A:B,2,FALSE)</f>
        <v>B1</v>
      </c>
      <c r="AN311" s="28" t="b">
        <f t="shared" si="167"/>
        <v>1</v>
      </c>
      <c r="AO311" s="3" t="str">
        <f>IF(ISERROR(MATCH(A311,'SegEnds_Xtal_Prot#'!B:B, 0)), "NoXtal", "Xtal")</f>
        <v>NoXtal</v>
      </c>
      <c r="AP311" s="3">
        <f t="shared" si="152"/>
        <v>1</v>
      </c>
      <c r="AQ311" s="3">
        <f t="shared" si="153"/>
        <v>1</v>
      </c>
      <c r="AR311" s="3" t="str">
        <f t="shared" si="154"/>
        <v>-</v>
      </c>
      <c r="AS311" s="3" t="str">
        <f t="shared" si="155"/>
        <v>-</v>
      </c>
      <c r="AT311" s="3" t="str">
        <f t="shared" si="156"/>
        <v>-</v>
      </c>
      <c r="AU311" s="3" t="str">
        <f t="shared" si="157"/>
        <v>-</v>
      </c>
      <c r="AV311" s="3">
        <f t="shared" si="158"/>
        <v>4</v>
      </c>
      <c r="AW311" s="3">
        <f t="shared" si="159"/>
        <v>6</v>
      </c>
      <c r="AX311" s="3">
        <f t="shared" si="160"/>
        <v>9</v>
      </c>
      <c r="AY311" s="3">
        <f t="shared" si="161"/>
        <v>6</v>
      </c>
      <c r="AZ311" s="3">
        <f t="shared" si="162"/>
        <v>1</v>
      </c>
      <c r="BA311" s="3">
        <f>IF(ISERROR(LEN(VLOOKUP(A311,Seqs!A:E,2,FALSE))-AL311),"-",LEN(VLOOKUP(A311,Seqs!A:E,2,FALSE))-AL311)</f>
        <v>108</v>
      </c>
      <c r="BB311" s="16">
        <f t="shared" si="163"/>
        <v>28</v>
      </c>
      <c r="BC311" s="9" t="str">
        <f t="shared" si="164"/>
        <v>-</v>
      </c>
      <c r="BD311" s="3">
        <f t="shared" si="165"/>
        <v>28</v>
      </c>
      <c r="BE311" s="3">
        <f t="shared" si="166"/>
        <v>53</v>
      </c>
    </row>
    <row r="312" spans="1:58" s="3" customFormat="1" x14ac:dyDescent="0.2">
      <c r="A312" s="3" t="s">
        <v>411</v>
      </c>
      <c r="B312" s="3" t="str">
        <f>LOWER(VLOOKUP(A312,Xtal_Templ!A:B,2,FALSE))</f>
        <v>glp1r_human</v>
      </c>
      <c r="C312" s="3">
        <f>VLOOKUP($A312,'SegEnds_NonXtal_BW#'!$A:$Z,3,FALSE)+D312-50</f>
        <v>136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171"/>
        <v>168</v>
      </c>
      <c r="G312" s="3">
        <v>170</v>
      </c>
      <c r="H312" s="3">
        <f t="shared" si="177"/>
        <v>171</v>
      </c>
      <c r="I312" s="3">
        <f t="shared" si="17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213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251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176"/>
        <v>287</v>
      </c>
      <c r="AA312" s="3">
        <f>IF(ISERROR(VLOOKUP($A312,'SegEnds_NonXtal_BW#'!$A:$Z,19,FALSE)+VLOOKUP($A312,A:AL,28,FALSE)-50),"-",(VLOOKUP($A312,'SegEnds_NonXtal_BW#'!$A:$Z,19,FALSE)+VLOOKUP($A312,A:AL,28,FALSE)-50))</f>
        <v>294</v>
      </c>
      <c r="AB312" s="3">
        <v>305</v>
      </c>
      <c r="AC312" s="3">
        <f>IF(ISERROR((VLOOKUP($A312,'SegEnds_NonXtal_BW#'!$A:$Z,20,FALSE)+VLOOKUP($A312,A:AL,28,FALSE)-50)),"-",(VLOOKUP($A312,'SegEnds_NonXtal_BW#'!$A:$Z,20,FALSE)+VLOOKUP($A312,A:AL,28,FALSE)-50))</f>
        <v>324</v>
      </c>
      <c r="AD312" s="3">
        <f>IF(ISERROR(VLOOKUP($A312,'SegEnds_NonXtal_BW#'!$A:$Z,21,FALSE)+VLOOKUP($A312,A:AL,31,FALSE)-50),"-",(VLOOKUP($A312,'SegEnds_NonXtal_BW#'!$A:$Z,21,FALSE)+VLOOKUP($A312,A:AL,31,FALSE)-50))</f>
        <v>332</v>
      </c>
      <c r="AE312" s="3">
        <v>357</v>
      </c>
      <c r="AF312" s="3">
        <f>IF(ISERROR((VLOOKUP($A312,'SegEnds_NonXtal_BW#'!$A:$Z,22,FALSE)+VLOOKUP($A312,A:AL,31,FALSE)-50)),"-",(VLOOKUP($A312,'SegEnds_NonXtal_BW#'!$A:$Z,22,FALSE)+VLOOKUP($A312,A:AL,31,FALSE)-50))</f>
        <v>360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167"/>
        <v>1</v>
      </c>
      <c r="AO312" s="3" t="str">
        <f>IF(ISERROR(MATCH(A312,'SegEnds_Xtal_Prot#'!B:B, 0)), "NoXtal", "Xtal")</f>
        <v>NoXtal</v>
      </c>
      <c r="AP312" s="3">
        <f t="shared" si="152"/>
        <v>1</v>
      </c>
      <c r="AQ312" s="3">
        <f t="shared" si="153"/>
        <v>1</v>
      </c>
      <c r="AR312" s="3" t="str">
        <f t="shared" si="154"/>
        <v>-</v>
      </c>
      <c r="AS312" s="3" t="str">
        <f t="shared" si="155"/>
        <v>-</v>
      </c>
      <c r="AT312" s="3" t="str">
        <f t="shared" si="156"/>
        <v>-</v>
      </c>
      <c r="AU312" s="3" t="str">
        <f t="shared" si="157"/>
        <v>-</v>
      </c>
      <c r="AV312" s="3">
        <f t="shared" si="158"/>
        <v>4</v>
      </c>
      <c r="AW312" s="3">
        <f t="shared" si="159"/>
        <v>7</v>
      </c>
      <c r="AX312" s="3">
        <f t="shared" si="160"/>
        <v>8</v>
      </c>
      <c r="AY312" s="3">
        <f t="shared" si="161"/>
        <v>6</v>
      </c>
      <c r="AZ312" s="3">
        <f t="shared" si="162"/>
        <v>1</v>
      </c>
      <c r="BA312" s="3">
        <f>IF(ISERROR(LEN(VLOOKUP(A312,Seqs!A:E,2,FALSE))-AL312),"-",LEN(VLOOKUP(A312,Seqs!A:E,2,FALSE))-AL312)</f>
        <v>23</v>
      </c>
      <c r="BB312" s="16">
        <f t="shared" si="163"/>
        <v>28</v>
      </c>
      <c r="BC312" s="9" t="str">
        <f t="shared" si="164"/>
        <v>-</v>
      </c>
      <c r="BD312" s="3">
        <f t="shared" si="165"/>
        <v>28</v>
      </c>
      <c r="BE312" s="3">
        <f t="shared" si="166"/>
        <v>52</v>
      </c>
      <c r="BF312" s="3">
        <f>AH312-AE312</f>
        <v>28</v>
      </c>
    </row>
    <row r="313" spans="1:58" s="3" customFormat="1" x14ac:dyDescent="0.2">
      <c r="A313" s="3" t="s">
        <v>412</v>
      </c>
      <c r="B313" s="3" t="str">
        <f>LOWER(VLOOKUP(A313,Xtal_Templ!A:B,2,FALSE))</f>
        <v>pth1r_human</v>
      </c>
      <c r="C313" s="3">
        <f>VLOOKUP($A313,'SegEnds_NonXtal_BW#'!$A:$Z,3,FALSE)+D313-50</f>
        <v>128</v>
      </c>
      <c r="D313" s="3">
        <v>157</v>
      </c>
      <c r="E313" s="3">
        <f>IF(ISERROR(VLOOKUP($A313,'SegEnds_NonXtal_BW#'!$A:$Z,4,FALSE)+VLOOKUP($A313,A:AL,4,FALSE)-50),"-",(VLOOKUP($A313,'SegEnds_NonXtal_BW#'!$A:$Z,4,FALSE)+VLOOKUP($A313,A:AL,4,FALSE)-50))</f>
        <v>167</v>
      </c>
      <c r="F313" s="3">
        <f t="shared" si="171"/>
        <v>168</v>
      </c>
      <c r="G313" s="3">
        <v>170</v>
      </c>
      <c r="H313" s="3">
        <f t="shared" si="177"/>
        <v>171</v>
      </c>
      <c r="I313" s="3">
        <f t="shared" si="177"/>
        <v>172</v>
      </c>
      <c r="J313" s="3">
        <v>185</v>
      </c>
      <c r="K313" s="3">
        <f>VLOOKUP($A313,'SegEnds_NonXtal_BW#'!$A:$Z,8,FALSE)+VLOOKUP($A313,A:AL,10,FALSE)-50</f>
        <v>199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213</v>
      </c>
      <c r="P313" s="3">
        <v>240</v>
      </c>
      <c r="Q313" s="3">
        <f>VLOOKUP($A313,'SegEnds_NonXtal_BW#'!$A:$Z,12,FALSE)+VLOOKUP($A313,A:AL,16,FALSE)-50</f>
        <v>246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250</v>
      </c>
      <c r="V313" s="3">
        <v>263</v>
      </c>
      <c r="W313" s="3">
        <f>IF(ISERROR(VLOOKUP($A313,'SegEnds_NonXtal_BW#'!$A:$Z,16,FALSE)+VLOOKUP($A313,A:AL,22,FALSE)-50),"-",(VLOOKUP($A313,'SegEnds_NonXtal_BW#'!$A:$Z,16,FALSE)+VLOOKUP($A313,A:AL,22,FALSE)-50))</f>
        <v>281</v>
      </c>
      <c r="X313" s="3">
        <f>IF(ISERROR(VLOOKUP($A313,'SegEnds_NonXtal_BW#'!$A:$Z,17,FALSE)+VLOOKUP($A313,A:AL,25,FALSE)-50),"-",(VLOOKUP($A313,'SegEnds_NonXtal_BW#'!$A:$Z,17,FALSE)+VLOOKUP($A313,A:AL,25,FALSE)-50))</f>
        <v>285</v>
      </c>
      <c r="Y313" s="3">
        <v>285</v>
      </c>
      <c r="Z313" s="3">
        <f t="shared" si="176"/>
        <v>287</v>
      </c>
      <c r="AA313" s="3">
        <f>IF(ISERROR(VLOOKUP($A313,'SegEnds_NonXtal_BW#'!$A:$Z,19,FALSE)+VLOOKUP($A313,A:AL,28,FALSE)-50),"-",(VLOOKUP($A313,'SegEnds_NonXtal_BW#'!$A:$Z,19,FALSE)+VLOOKUP($A313,A:AL,28,FALSE)-50))</f>
        <v>293</v>
      </c>
      <c r="AB313" s="3">
        <v>304</v>
      </c>
      <c r="AC313" s="3">
        <f>IF(ISERROR((VLOOKUP($A313,'SegEnds_NonXtal_BW#'!$A:$Z,20,FALSE)+VLOOKUP($A313,A:AL,28,FALSE)-50)),"-",(VLOOKUP($A313,'SegEnds_NonXtal_BW#'!$A:$Z,20,FALSE)+VLOOKUP($A313,A:AL,28,FALSE)-50))</f>
        <v>323</v>
      </c>
      <c r="AD313" s="3">
        <f>IF(ISERROR(VLOOKUP($A313,'SegEnds_NonXtal_BW#'!$A:$Z,21,FALSE)+VLOOKUP($A313,A:AL,31,FALSE)-50),"-",(VLOOKUP($A313,'SegEnds_NonXtal_BW#'!$A:$Z,21,FALSE)+VLOOKUP($A313,A:AL,31,FALSE)-50))</f>
        <v>331</v>
      </c>
      <c r="AE313" s="3">
        <v>356</v>
      </c>
      <c r="AF313" s="3">
        <f>IF(ISERROR((VLOOKUP($A313,'SegEnds_NonXtal_BW#'!$A:$Z,22,FALSE)+VLOOKUP($A313,A:AL,31,FALSE)-50)),"-",(VLOOKUP($A313,'SegEnds_NonXtal_BW#'!$A:$Z,22,FALSE)+VLOOKUP($A313,A:AL,31,FALSE)-50))</f>
        <v>360</v>
      </c>
      <c r="AG313" s="3">
        <f>IF(ISERROR(VLOOKUP($A313,'SegEnds_NonXtal_BW#'!$A:$Z,23,FALSE)+VLOOKUP($A313,A:AL,34,FALSE)-50),"-",(VLOOKUP($A313,'SegEnds_NonXtal_BW#'!$A:$Z,23,FALSE)+VLOOKUP($A313,A:AL,34,FALSE)-50))</f>
        <v>366</v>
      </c>
      <c r="AH313" s="3">
        <v>385</v>
      </c>
      <c r="AI313" s="3">
        <f>IF(ISERROR((VLOOKUP($A313,'SegEnds_NonXtal_BW#'!$A:$Z,24,FALSE)+VLOOKUP($A313,A:AL,34,FALSE)-50)),"-",(VLOOKUP($A313,'SegEnds_NonXtal_BW#'!$A:$Z,24,FALSE)+VLOOKUP($A313,A:AL,34,FALSE)-50))</f>
        <v>391</v>
      </c>
      <c r="AJ313" s="3">
        <f>IF(ISERROR(VLOOKUP($A313,'SegEnds_NonXtal_BW#'!$A:$Z,25,FALSE)+VLOOKUP($A313,A:AL,37,FALSE)-50),"-",(VLOOKUP($A313,'SegEnds_NonXtal_BW#'!$A:$Z,25,FALSE)+VLOOKUP($A313,A:AL,37,FALSE)-50))</f>
        <v>392</v>
      </c>
      <c r="AK313" s="3">
        <v>395</v>
      </c>
      <c r="AL313" s="3">
        <f>IF(ISERROR((VLOOKUP($A313,'SegEnds_NonXtal_BW#'!$A:$Z,26,FALSE)+VLOOKUP($A313,A:AL,37,FALSE)-50)),"-",(VLOOKUP($A313,'SegEnds_NonXtal_BW#'!$A:$Z,26,FALSE)+VLOOKUP($A313,A:AL,37,FALSE)-50))</f>
        <v>417</v>
      </c>
      <c r="AM313" s="28" t="str">
        <f>VLOOKUP(A313,Classification!A:B,2,FALSE)</f>
        <v>B1</v>
      </c>
      <c r="AN313" s="28" t="b">
        <f t="shared" si="167"/>
        <v>1</v>
      </c>
      <c r="AO313" s="3" t="str">
        <f>IF(ISERROR(MATCH(A313,'SegEnds_Xtal_Prot#'!B:B, 0)), "NoXtal", "Xtal")</f>
        <v>NoXtal</v>
      </c>
      <c r="AP313" s="3">
        <f t="shared" si="152"/>
        <v>1</v>
      </c>
      <c r="AQ313" s="3">
        <f t="shared" si="153"/>
        <v>1</v>
      </c>
      <c r="AR313" s="3" t="str">
        <f t="shared" si="154"/>
        <v>-</v>
      </c>
      <c r="AS313" s="3" t="str">
        <f t="shared" si="155"/>
        <v>-</v>
      </c>
      <c r="AT313" s="3" t="str">
        <f t="shared" si="156"/>
        <v>-</v>
      </c>
      <c r="AU313" s="3" t="str">
        <f t="shared" si="157"/>
        <v>-</v>
      </c>
      <c r="AV313" s="3">
        <f t="shared" si="158"/>
        <v>4</v>
      </c>
      <c r="AW313" s="3">
        <f t="shared" si="159"/>
        <v>6</v>
      </c>
      <c r="AX313" s="3">
        <f t="shared" si="160"/>
        <v>8</v>
      </c>
      <c r="AY313" s="3">
        <f t="shared" si="161"/>
        <v>6</v>
      </c>
      <c r="AZ313" s="3">
        <f t="shared" si="162"/>
        <v>1</v>
      </c>
      <c r="BA313" s="3">
        <f>IF(ISERROR(LEN(VLOOKUP(A313,Seqs!A:E,2,FALSE))-AL313),"-",LEN(VLOOKUP(A313,Seqs!A:E,2,FALSE))-AL313)</f>
        <v>40</v>
      </c>
      <c r="BB313" s="16">
        <f t="shared" si="163"/>
        <v>28</v>
      </c>
      <c r="BC313" s="9" t="str">
        <f t="shared" si="164"/>
        <v>-</v>
      </c>
      <c r="BD313" s="3">
        <f t="shared" si="165"/>
        <v>28</v>
      </c>
      <c r="BE313" s="3">
        <f t="shared" si="166"/>
        <v>52</v>
      </c>
    </row>
    <row r="314" spans="1:58" s="3" customFormat="1" x14ac:dyDescent="0.2">
      <c r="A314" s="3" t="s">
        <v>413</v>
      </c>
      <c r="B314" s="3" t="str">
        <f>LOWER(VLOOKUP(A314,Xtal_Templ!A:B,2,FALSE))</f>
        <v>pth1r_human</v>
      </c>
      <c r="C314" s="3">
        <f>VLOOKUP($A314,'SegEnds_NonXtal_BW#'!$A:$Z,3,FALSE)+D314-50</f>
        <v>112</v>
      </c>
      <c r="D314" s="3">
        <v>141</v>
      </c>
      <c r="E314" s="3">
        <f>IF(ISERROR(VLOOKUP($A314,'SegEnds_NonXtal_BW#'!$A:$Z,4,FALSE)+VLOOKUP($A314,A:AL,4,FALSE)-50),"-",(VLOOKUP($A314,'SegEnds_NonXtal_BW#'!$A:$Z,4,FALSE)+VLOOKUP($A314,A:AL,4,FALSE)-50))</f>
        <v>151</v>
      </c>
      <c r="F314" s="3">
        <f t="shared" si="171"/>
        <v>152</v>
      </c>
      <c r="G314" s="3">
        <v>154</v>
      </c>
      <c r="H314" s="3">
        <f t="shared" si="177"/>
        <v>155</v>
      </c>
      <c r="I314" s="3">
        <f t="shared" si="177"/>
        <v>156</v>
      </c>
      <c r="J314" s="3">
        <v>169</v>
      </c>
      <c r="K314" s="3">
        <f>VLOOKUP($A314,'SegEnds_NonXtal_BW#'!$A:$Z,8,FALSE)+VLOOKUP($A314,A:AL,10,FALSE)-50</f>
        <v>183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200</v>
      </c>
      <c r="P314" s="3">
        <v>227</v>
      </c>
      <c r="Q314" s="3">
        <f>VLOOKUP($A314,'SegEnds_NonXtal_BW#'!$A:$Z,12,FALSE)+VLOOKUP($A314,A:AL,16,FALSE)-50</f>
        <v>233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236</v>
      </c>
      <c r="V314" s="3">
        <v>249</v>
      </c>
      <c r="W314" s="3">
        <f>IF(ISERROR(VLOOKUP($A314,'SegEnds_NonXtal_BW#'!$A:$Z,16,FALSE)+VLOOKUP($A314,A:AL,22,FALSE)-50),"-",(VLOOKUP($A314,'SegEnds_NonXtal_BW#'!$A:$Z,16,FALSE)+VLOOKUP($A314,A:AL,22,FALSE)-50))</f>
        <v>267</v>
      </c>
      <c r="X314" s="3">
        <f>IF(ISERROR(VLOOKUP($A314,'SegEnds_NonXtal_BW#'!$A:$Z,17,FALSE)+VLOOKUP($A314,A:AL,25,FALSE)-50),"-",(VLOOKUP($A314,'SegEnds_NonXtal_BW#'!$A:$Z,17,FALSE)+VLOOKUP($A314,A:AL,25,FALSE)-50))</f>
        <v>271</v>
      </c>
      <c r="Y314" s="3">
        <v>271</v>
      </c>
      <c r="Z314" s="3">
        <f t="shared" si="176"/>
        <v>273</v>
      </c>
      <c r="AA314" s="3">
        <f>IF(ISERROR(VLOOKUP($A314,'SegEnds_NonXtal_BW#'!$A:$Z,19,FALSE)+VLOOKUP($A314,A:AL,28,FALSE)-50),"-",(VLOOKUP($A314,'SegEnds_NonXtal_BW#'!$A:$Z,19,FALSE)+VLOOKUP($A314,A:AL,28,FALSE)-50))</f>
        <v>280</v>
      </c>
      <c r="AB314" s="3">
        <v>291</v>
      </c>
      <c r="AC314" s="3">
        <f>IF(ISERROR((VLOOKUP($A314,'SegEnds_NonXtal_BW#'!$A:$Z,20,FALSE)+VLOOKUP($A314,A:AL,28,FALSE)-50)),"-",(VLOOKUP($A314,'SegEnds_NonXtal_BW#'!$A:$Z,20,FALSE)+VLOOKUP($A314,A:AL,28,FALSE)-50))</f>
        <v>310</v>
      </c>
      <c r="AD314" s="3">
        <f>IF(ISERROR(VLOOKUP($A314,'SegEnds_NonXtal_BW#'!$A:$Z,21,FALSE)+VLOOKUP($A314,A:AL,31,FALSE)-50),"-",(VLOOKUP($A314,'SegEnds_NonXtal_BW#'!$A:$Z,21,FALSE)+VLOOKUP($A314,A:AL,31,FALSE)-50))</f>
        <v>318</v>
      </c>
      <c r="AE314" s="3">
        <v>343</v>
      </c>
      <c r="AF314" s="3">
        <f>IF(ISERROR((VLOOKUP($A314,'SegEnds_NonXtal_BW#'!$A:$Z,22,FALSE)+VLOOKUP($A314,A:AL,31,FALSE)-50)),"-",(VLOOKUP($A314,'SegEnds_NonXtal_BW#'!$A:$Z,22,FALSE)+VLOOKUP($A314,A:AL,31,FALSE)-50))</f>
        <v>347</v>
      </c>
      <c r="AG314" s="3">
        <f>IF(ISERROR(VLOOKUP($A314,'SegEnds_NonXtal_BW#'!$A:$Z,23,FALSE)+VLOOKUP($A314,A:AL,34,FALSE)-50),"-",(VLOOKUP($A314,'SegEnds_NonXtal_BW#'!$A:$Z,23,FALSE)+VLOOKUP($A314,A:AL,34,FALSE)-50))</f>
        <v>353</v>
      </c>
      <c r="AH314" s="3">
        <v>372</v>
      </c>
      <c r="AI314" s="3">
        <f>IF(ISERROR((VLOOKUP($A314,'SegEnds_NonXtal_BW#'!$A:$Z,24,FALSE)+VLOOKUP($A314,A:AL,34,FALSE)-50)),"-",(VLOOKUP($A314,'SegEnds_NonXtal_BW#'!$A:$Z,24,FALSE)+VLOOKUP($A314,A:AL,34,FALSE)-50))</f>
        <v>378</v>
      </c>
      <c r="AJ314" s="3">
        <f>IF(ISERROR(VLOOKUP($A314,'SegEnds_NonXtal_BW#'!$A:$Z,25,FALSE)+VLOOKUP($A314,A:AL,37,FALSE)-50),"-",(VLOOKUP($A314,'SegEnds_NonXtal_BW#'!$A:$Z,25,FALSE)+VLOOKUP($A314,A:AL,37,FALSE)-50))</f>
        <v>379</v>
      </c>
      <c r="AK314" s="3">
        <v>382</v>
      </c>
      <c r="AL314" s="3">
        <f>IF(ISERROR((VLOOKUP($A314,'SegEnds_NonXtal_BW#'!$A:$Z,26,FALSE)+VLOOKUP($A314,A:AL,37,FALSE)-50)),"-",(VLOOKUP($A314,'SegEnds_NonXtal_BW#'!$A:$Z,26,FALSE)+VLOOKUP($A314,A:AL,37,FALSE)-50))</f>
        <v>404</v>
      </c>
      <c r="AM314" s="28" t="str">
        <f>VLOOKUP(A314,Classification!A:B,2,FALSE)</f>
        <v>B1</v>
      </c>
      <c r="AN314" s="28" t="b">
        <f t="shared" si="167"/>
        <v>1</v>
      </c>
      <c r="AO314" s="3" t="str">
        <f>IF(ISERROR(MATCH(A314,'SegEnds_Xtal_Prot#'!B:B, 0)), "NoXtal", "Xtal")</f>
        <v>NoXtal</v>
      </c>
      <c r="AP314" s="3">
        <f t="shared" si="152"/>
        <v>1</v>
      </c>
      <c r="AQ314" s="3">
        <f t="shared" si="153"/>
        <v>1</v>
      </c>
      <c r="AR314" s="3" t="str">
        <f t="shared" si="154"/>
        <v>-</v>
      </c>
      <c r="AS314" s="3" t="str">
        <f t="shared" si="155"/>
        <v>-</v>
      </c>
      <c r="AT314" s="3" t="str">
        <f t="shared" si="156"/>
        <v>-</v>
      </c>
      <c r="AU314" s="3" t="str">
        <f t="shared" si="157"/>
        <v>-</v>
      </c>
      <c r="AV314" s="3">
        <f t="shared" si="158"/>
        <v>4</v>
      </c>
      <c r="AW314" s="3">
        <f t="shared" si="159"/>
        <v>7</v>
      </c>
      <c r="AX314" s="3">
        <f t="shared" si="160"/>
        <v>8</v>
      </c>
      <c r="AY314" s="3">
        <f t="shared" si="161"/>
        <v>6</v>
      </c>
      <c r="AZ314" s="3">
        <f t="shared" si="162"/>
        <v>1</v>
      </c>
      <c r="BA314" s="3">
        <f>IF(ISERROR(LEN(VLOOKUP(A314,Seqs!A:E,2,FALSE))-AL314),"-",LEN(VLOOKUP(A314,Seqs!A:E,2,FALSE))-AL314)</f>
        <v>34</v>
      </c>
      <c r="BB314" s="16">
        <f t="shared" si="163"/>
        <v>28</v>
      </c>
      <c r="BC314" s="9" t="str">
        <f t="shared" si="164"/>
        <v>-</v>
      </c>
      <c r="BD314" s="3">
        <f t="shared" si="165"/>
        <v>28</v>
      </c>
      <c r="BE314" s="3">
        <f t="shared" si="166"/>
        <v>52</v>
      </c>
    </row>
    <row r="315" spans="1:58" s="3" customFormat="1" x14ac:dyDescent="0.2">
      <c r="A315" s="3" t="s">
        <v>1177</v>
      </c>
      <c r="B315" s="3" t="str">
        <f>LOWER(VLOOKUP(A315,Xtal_Templ!A:B,2,FALSE))</f>
        <v>crfr1_human</v>
      </c>
      <c r="C315" s="3">
        <f>VLOOKUP($A315,'SegEnds_NonXtal_BW#'!$A:$Z,3,FALSE)+D315-50</f>
        <v>8</v>
      </c>
      <c r="D315" s="3">
        <v>35</v>
      </c>
      <c r="E315" s="3">
        <f>IF(ISERROR(VLOOKUP($A315,'SegEnds_NonXtal_BW#'!$A:$Z,4,FALSE)+VLOOKUP($A315,A:AL,4,FALSE)-50),"-",(VLOOKUP($A315,'SegEnds_NonXtal_BW#'!$A:$Z,4,FALSE)+VLOOKUP($A315,A:AL,4,FALSE)-50))</f>
        <v>45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48</v>
      </c>
      <c r="J315" s="3">
        <v>61</v>
      </c>
      <c r="K315" s="3">
        <f>VLOOKUP($A315,'SegEnds_NonXtal_BW#'!$A:$Z,8,FALSE)+VLOOKUP($A315,A:AL,10,FALSE)-50</f>
        <v>74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81</v>
      </c>
      <c r="P315" s="3">
        <v>108</v>
      </c>
      <c r="Q315" s="3">
        <f>VLOOKUP($A315,'SegEnds_NonXtal_BW#'!$A:$Z,12,FALSE)+VLOOKUP($A315,A:AL,16,FALSE)-50</f>
        <v>114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130</v>
      </c>
      <c r="V315" s="3">
        <v>140</v>
      </c>
      <c r="W315" s="3">
        <f>IF(ISERROR(VLOOKUP($A315,'SegEnds_NonXtal_BW#'!$A:$Z,16,FALSE)+VLOOKUP($A315,A:AL,22,FALSE)-50),"-",(VLOOKUP($A315,'SegEnds_NonXtal_BW#'!$A:$Z,16,FALSE)+VLOOKUP($A315,A:AL,22,FALSE)-50))</f>
        <v>158</v>
      </c>
      <c r="X315" s="3">
        <f>IF(ISERROR(VLOOKUP($A315,'SegEnds_NonXtal_BW#'!$A:$Z,17,FALSE)+VLOOKUP($A315,A:AL,25,FALSE)-50),"-",(VLOOKUP($A315,'SegEnds_NonXtal_BW#'!$A:$Z,17,FALSE)+VLOOKUP($A315,A:AL,25,FALSE)-50))</f>
        <v>168</v>
      </c>
      <c r="Y315" s="3">
        <v>168</v>
      </c>
      <c r="Z315" s="3">
        <f t="shared" si="176"/>
        <v>170</v>
      </c>
      <c r="AA315" s="3">
        <f>IF(ISERROR(VLOOKUP($A315,'SegEnds_NonXtal_BW#'!$A:$Z,19,FALSE)+VLOOKUP($A315,A:AL,28,FALSE)-50),"-",(VLOOKUP($A315,'SegEnds_NonXtal_BW#'!$A:$Z,19,FALSE)+VLOOKUP($A315,A:AL,28,FALSE)-50))</f>
        <v>172</v>
      </c>
      <c r="AB315" s="3">
        <v>186</v>
      </c>
      <c r="AC315" s="3">
        <f>IF(ISERROR((VLOOKUP($A315,'SegEnds_NonXtal_BW#'!$A:$Z,20,FALSE)+VLOOKUP($A315,A:AL,28,FALSE)-50)),"-",(VLOOKUP($A315,'SegEnds_NonXtal_BW#'!$A:$Z,20,FALSE)+VLOOKUP($A315,A:AL,28,FALSE)-50))</f>
        <v>205</v>
      </c>
      <c r="AD315" s="3">
        <f>IF(ISERROR(VLOOKUP($A315,'SegEnds_NonXtal_BW#'!$A:$Z,21,FALSE)+VLOOKUP($A315,A:AL,31,FALSE)-50),"-",(VLOOKUP($A315,'SegEnds_NonXtal_BW#'!$A:$Z,21,FALSE)+VLOOKUP($A315,A:AL,31,FALSE)-50))</f>
        <v>251</v>
      </c>
      <c r="AE315" s="3">
        <v>272</v>
      </c>
      <c r="AF315" s="3">
        <f>IF(ISERROR((VLOOKUP($A315,'SegEnds_NonXtal_BW#'!$A:$Z,22,FALSE)+VLOOKUP($A315,A:AL,31,FALSE)-50)),"-",(VLOOKUP($A315,'SegEnds_NonXtal_BW#'!$A:$Z,22,FALSE)+VLOOKUP($A315,A:AL,31,FALSE)-50))</f>
        <v>275</v>
      </c>
      <c r="AG315" s="3">
        <f>IF(ISERROR(VLOOKUP($A315,'SegEnds_NonXtal_BW#'!$A:$Z,23,FALSE)+VLOOKUP($A315,A:AL,34,FALSE)-50),"-",(VLOOKUP($A315,'SegEnds_NonXtal_BW#'!$A:$Z,23,FALSE)+VLOOKUP($A315,A:AL,34,FALSE)-50))</f>
        <v>282</v>
      </c>
      <c r="AH315" s="3">
        <v>303</v>
      </c>
      <c r="AI315" s="3">
        <f>IF(ISERROR((VLOOKUP($A315,'SegEnds_NonXtal_BW#'!$A:$Z,24,FALSE)+VLOOKUP($A315,A:AL,34,FALSE)-50)),"-",(VLOOKUP($A315,'SegEnds_NonXtal_BW#'!$A:$Z,24,FALSE)+VLOOKUP($A315,A:AL,34,FALSE)-50))</f>
        <v>309</v>
      </c>
      <c r="AJ315" s="3">
        <f>IF(ISERROR(VLOOKUP($A315,'SegEnds_NonXtal_BW#'!$A:$Z,25,FALSE)+VLOOKUP($A315,A:AL,37,FALSE)-50),"-",(VLOOKUP($A315,'SegEnds_NonXtal_BW#'!$A:$Z,25,FALSE)+VLOOKUP($A315,A:AL,37,FALSE)-50))</f>
        <v>310</v>
      </c>
      <c r="AK315" s="3">
        <v>313</v>
      </c>
      <c r="AL315" s="3">
        <f>IF(ISERROR((VLOOKUP($A315,'SegEnds_NonXtal_BW#'!$A:$Z,26,FALSE)+VLOOKUP($A315,A:AL,37,FALSE)-50)),"-",(VLOOKUP($A315,'SegEnds_NonXtal_BW#'!$A:$Z,26,FALSE)+VLOOKUP($A315,A:AL,37,FALSE)-50))</f>
        <v>326</v>
      </c>
      <c r="AM315" s="28" t="str">
        <f>VLOOKUP(A315,Classification!A:B,2,FALSE)</f>
        <v>B2</v>
      </c>
      <c r="AN315" s="28" t="b">
        <f t="shared" si="167"/>
        <v>1</v>
      </c>
      <c r="AO315" s="3" t="str">
        <f>IF(ISERROR(MATCH(A315,'SegEnds_Xtal_Prot#'!B:B, 0)), "NoXtal", "Xtal")</f>
        <v>NoXtal</v>
      </c>
      <c r="AP315" s="3" t="str">
        <f t="shared" si="152"/>
        <v>-</v>
      </c>
      <c r="AQ315" s="3" t="str">
        <f t="shared" si="153"/>
        <v>-</v>
      </c>
      <c r="AR315" s="3" t="str">
        <f t="shared" si="154"/>
        <v>-</v>
      </c>
      <c r="AS315" s="3" t="str">
        <f t="shared" si="155"/>
        <v>-</v>
      </c>
      <c r="AT315" s="3" t="str">
        <f t="shared" si="156"/>
        <v>-</v>
      </c>
      <c r="AU315" s="3" t="str">
        <f t="shared" si="157"/>
        <v>-</v>
      </c>
      <c r="AV315" s="3">
        <f t="shared" si="158"/>
        <v>10</v>
      </c>
      <c r="AW315" s="3">
        <f t="shared" si="159"/>
        <v>2</v>
      </c>
      <c r="AX315" s="3">
        <f t="shared" si="160"/>
        <v>46</v>
      </c>
      <c r="AY315" s="3">
        <f t="shared" si="161"/>
        <v>7</v>
      </c>
      <c r="AZ315" s="3">
        <f t="shared" si="162"/>
        <v>1</v>
      </c>
      <c r="BA315" s="3">
        <f>IF(ISERROR(LEN(VLOOKUP(A315,Seqs!A:E,2,FALSE))-AL315),"-",LEN(VLOOKUP(A315,Seqs!A:E,2,FALSE))-AL315)</f>
        <v>234</v>
      </c>
      <c r="BB315" s="16">
        <f t="shared" si="163"/>
        <v>26</v>
      </c>
      <c r="BC315" s="9" t="str">
        <f t="shared" si="164"/>
        <v>-</v>
      </c>
      <c r="BD315" s="3">
        <f t="shared" si="165"/>
        <v>26</v>
      </c>
      <c r="BE315" s="3">
        <f t="shared" si="166"/>
        <v>86</v>
      </c>
    </row>
    <row r="316" spans="1:58" s="3" customFormat="1" x14ac:dyDescent="0.2">
      <c r="A316" s="3" t="s">
        <v>1178</v>
      </c>
      <c r="B316" s="3" t="str">
        <f>LOWER(VLOOKUP(A316,Xtal_Templ!A:B,2,FALSE))</f>
        <v>crfr1_human</v>
      </c>
      <c r="C316" s="3">
        <f>VLOOKUP($A316,'SegEnds_NonXtal_BW#'!$A:$Z,3,FALSE)+D316-50</f>
        <v>760</v>
      </c>
      <c r="D316" s="3">
        <v>787</v>
      </c>
      <c r="E316" s="3">
        <f>IF(ISERROR(VLOOKUP($A316,'SegEnds_NonXtal_BW#'!$A:$Z,4,FALSE)+VLOOKUP($A316,A:AL,4,FALSE)-50),"-",(VLOOKUP($A316,'SegEnds_NonXtal_BW#'!$A:$Z,4,FALSE)+VLOOKUP($A316,A:AL,4,FALSE)-50))</f>
        <v>797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800</v>
      </c>
      <c r="J316" s="3">
        <v>813</v>
      </c>
      <c r="K316" s="3">
        <f>VLOOKUP($A316,'SegEnds_NonXtal_BW#'!$A:$Z,8,FALSE)+VLOOKUP($A316,A:AL,10,FALSE)-50</f>
        <v>826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833</v>
      </c>
      <c r="P316" s="3">
        <v>860</v>
      </c>
      <c r="Q316" s="3">
        <f>VLOOKUP($A316,'SegEnds_NonXtal_BW#'!$A:$Z,12,FALSE)+VLOOKUP($A316,A:AL,16,FALSE)-50</f>
        <v>866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882</v>
      </c>
      <c r="V316" s="3">
        <v>892</v>
      </c>
      <c r="W316" s="3">
        <f>IF(ISERROR(VLOOKUP($A316,'SegEnds_NonXtal_BW#'!$A:$Z,16,FALSE)+VLOOKUP($A316,A:AL,22,FALSE)-50),"-",(VLOOKUP($A316,'SegEnds_NonXtal_BW#'!$A:$Z,16,FALSE)+VLOOKUP($A316,A:AL,22,FALSE)-50))</f>
        <v>910</v>
      </c>
      <c r="X316" s="3">
        <f>IF(ISERROR(VLOOKUP($A316,'SegEnds_NonXtal_BW#'!$A:$Z,17,FALSE)+VLOOKUP($A316,A:AL,25,FALSE)-50),"-",(VLOOKUP($A316,'SegEnds_NonXtal_BW#'!$A:$Z,17,FALSE)+VLOOKUP($A316,A:AL,25,FALSE)-50))</f>
        <v>917</v>
      </c>
      <c r="Y316" s="3">
        <v>917</v>
      </c>
      <c r="Z316" s="3">
        <f t="shared" si="176"/>
        <v>919</v>
      </c>
      <c r="AA316" s="3">
        <f>IF(ISERROR(VLOOKUP($A316,'SegEnds_NonXtal_BW#'!$A:$Z,19,FALSE)+VLOOKUP($A316,A:AL,28,FALSE)-50),"-",(VLOOKUP($A316,'SegEnds_NonXtal_BW#'!$A:$Z,19,FALSE)+VLOOKUP($A316,A:AL,28,FALSE)-50))</f>
        <v>921</v>
      </c>
      <c r="AB316" s="3">
        <v>935</v>
      </c>
      <c r="AC316" s="3">
        <f>IF(ISERROR((VLOOKUP($A316,'SegEnds_NonXtal_BW#'!$A:$Z,20,FALSE)+VLOOKUP($A316,A:AL,28,FALSE)-50)),"-",(VLOOKUP($A316,'SegEnds_NonXtal_BW#'!$A:$Z,20,FALSE)+VLOOKUP($A316,A:AL,28,FALSE)-50))</f>
        <v>954</v>
      </c>
      <c r="AD316" s="3">
        <f>IF(ISERROR(VLOOKUP($A316,'SegEnds_NonXtal_BW#'!$A:$Z,21,FALSE)+VLOOKUP($A316,A:AL,31,FALSE)-50),"-",(VLOOKUP($A316,'SegEnds_NonXtal_BW#'!$A:$Z,21,FALSE)+VLOOKUP($A316,A:AL,31,FALSE)-50))</f>
        <v>1014</v>
      </c>
      <c r="AE316" s="3">
        <v>1035</v>
      </c>
      <c r="AF316" s="3">
        <f>IF(ISERROR((VLOOKUP($A316,'SegEnds_NonXtal_BW#'!$A:$Z,22,FALSE)+VLOOKUP($A316,A:AL,31,FALSE)-50)),"-",(VLOOKUP($A316,'SegEnds_NonXtal_BW#'!$A:$Z,22,FALSE)+VLOOKUP($A316,A:AL,31,FALSE)-50))</f>
        <v>1038</v>
      </c>
      <c r="AG316" s="3">
        <f>IF(ISERROR(VLOOKUP($A316,'SegEnds_NonXtal_BW#'!$A:$Z,23,FALSE)+VLOOKUP($A316,A:AL,34,FALSE)-50),"-",(VLOOKUP($A316,'SegEnds_NonXtal_BW#'!$A:$Z,23,FALSE)+VLOOKUP($A316,A:AL,34,FALSE)-50))</f>
        <v>1045</v>
      </c>
      <c r="AH316" s="3">
        <v>1066</v>
      </c>
      <c r="AI316" s="3">
        <f>IF(ISERROR((VLOOKUP($A316,'SegEnds_NonXtal_BW#'!$A:$Z,24,FALSE)+VLOOKUP($A316,A:AL,34,FALSE)-50)),"-",(VLOOKUP($A316,'SegEnds_NonXtal_BW#'!$A:$Z,24,FALSE)+VLOOKUP($A316,A:AL,34,FALSE)-50))</f>
        <v>1072</v>
      </c>
      <c r="AJ316" s="3">
        <f>IF(ISERROR(VLOOKUP($A316,'SegEnds_NonXtal_BW#'!$A:$Z,25,FALSE)+VLOOKUP($A316,A:AL,37,FALSE)-50),"-",(VLOOKUP($A316,'SegEnds_NonXtal_BW#'!$A:$Z,25,FALSE)+VLOOKUP($A316,A:AL,37,FALSE)-50))</f>
        <v>1073</v>
      </c>
      <c r="AK316" s="3">
        <v>1076</v>
      </c>
      <c r="AL316" s="3">
        <f>IF(ISERROR((VLOOKUP($A316,'SegEnds_NonXtal_BW#'!$A:$Z,26,FALSE)+VLOOKUP($A316,A:AL,37,FALSE)-50)),"-",(VLOOKUP($A316,'SegEnds_NonXtal_BW#'!$A:$Z,26,FALSE)+VLOOKUP($A316,A:AL,37,FALSE)-50))</f>
        <v>1089</v>
      </c>
      <c r="AM316" s="28" t="str">
        <f>VLOOKUP(A316,Classification!A:B,2,FALSE)</f>
        <v>B2</v>
      </c>
      <c r="AN316" s="28" t="b">
        <f t="shared" si="167"/>
        <v>1</v>
      </c>
      <c r="AO316" s="3" t="str">
        <f>IF(ISERROR(MATCH(A316,'SegEnds_Xtal_Prot#'!B:B, 0)), "NoXtal", "Xtal")</f>
        <v>NoXtal</v>
      </c>
      <c r="AP316" s="3" t="str">
        <f t="shared" si="152"/>
        <v>-</v>
      </c>
      <c r="AQ316" s="3" t="str">
        <f t="shared" si="153"/>
        <v>-</v>
      </c>
      <c r="AR316" s="3" t="str">
        <f t="shared" si="154"/>
        <v>-</v>
      </c>
      <c r="AS316" s="3" t="str">
        <f t="shared" si="155"/>
        <v>-</v>
      </c>
      <c r="AT316" s="3" t="str">
        <f t="shared" si="156"/>
        <v>-</v>
      </c>
      <c r="AU316" s="3" t="str">
        <f t="shared" si="157"/>
        <v>-</v>
      </c>
      <c r="AV316" s="3">
        <f t="shared" si="158"/>
        <v>7</v>
      </c>
      <c r="AW316" s="3">
        <f t="shared" si="159"/>
        <v>2</v>
      </c>
      <c r="AX316" s="3">
        <f t="shared" si="160"/>
        <v>60</v>
      </c>
      <c r="AY316" s="3">
        <f t="shared" si="161"/>
        <v>7</v>
      </c>
      <c r="AZ316" s="3">
        <f t="shared" si="162"/>
        <v>1</v>
      </c>
      <c r="BA316" s="3">
        <f>IF(ISERROR(LEN(VLOOKUP(A316,Seqs!A:E,2,FALSE))-AL316),"-",LEN(VLOOKUP(A316,Seqs!A:E,2,FALSE))-AL316)</f>
        <v>249</v>
      </c>
      <c r="BB316" s="16">
        <f t="shared" si="163"/>
        <v>26</v>
      </c>
      <c r="BC316" s="9" t="str">
        <f t="shared" si="164"/>
        <v>-</v>
      </c>
      <c r="BD316" s="3">
        <f t="shared" si="165"/>
        <v>26</v>
      </c>
      <c r="BE316" s="3">
        <f t="shared" si="166"/>
        <v>100</v>
      </c>
    </row>
    <row r="317" spans="1:58" s="3" customFormat="1" x14ac:dyDescent="0.2">
      <c r="A317" s="3" t="s">
        <v>1179</v>
      </c>
      <c r="B317" s="3" t="str">
        <f>LOWER(VLOOKUP(A317,Xtal_Templ!A:B,2,FALSE))</f>
        <v>crfr1_human</v>
      </c>
      <c r="C317" s="3">
        <f>VLOOKUP($A317,'SegEnds_NonXtal_BW#'!$A:$Z,3,FALSE)+D317-50</f>
        <v>750</v>
      </c>
      <c r="D317" s="3">
        <v>777</v>
      </c>
      <c r="E317" s="3">
        <f>IF(ISERROR(VLOOKUP($A317,'SegEnds_NonXtal_BW#'!$A:$Z,4,FALSE)+VLOOKUP($A317,A:AL,4,FALSE)-50),"-",(VLOOKUP($A317,'SegEnds_NonXtal_BW#'!$A:$Z,4,FALSE)+VLOOKUP($A317,A:AL,4,FALSE)-50))</f>
        <v>787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790</v>
      </c>
      <c r="J317" s="3">
        <v>803</v>
      </c>
      <c r="K317" s="3">
        <f>VLOOKUP($A317,'SegEnds_NonXtal_BW#'!$A:$Z,8,FALSE)+VLOOKUP($A317,A:AL,10,FALSE)-50</f>
        <v>816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823</v>
      </c>
      <c r="P317" s="3">
        <v>850</v>
      </c>
      <c r="Q317" s="3">
        <f>VLOOKUP($A317,'SegEnds_NonXtal_BW#'!$A:$Z,12,FALSE)+VLOOKUP($A317,A:AL,16,FALSE)-50</f>
        <v>856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872</v>
      </c>
      <c r="V317" s="3">
        <v>882</v>
      </c>
      <c r="W317" s="3">
        <f>IF(ISERROR(VLOOKUP($A317,'SegEnds_NonXtal_BW#'!$A:$Z,16,FALSE)+VLOOKUP($A317,A:AL,22,FALSE)-50),"-",(VLOOKUP($A317,'SegEnds_NonXtal_BW#'!$A:$Z,16,FALSE)+VLOOKUP($A317,A:AL,22,FALSE)-50))</f>
        <v>900</v>
      </c>
      <c r="X317" s="3">
        <f>IF(ISERROR(VLOOKUP($A317,'SegEnds_NonXtal_BW#'!$A:$Z,17,FALSE)+VLOOKUP($A317,A:AL,25,FALSE)-50),"-",(VLOOKUP($A317,'SegEnds_NonXtal_BW#'!$A:$Z,17,FALSE)+VLOOKUP($A317,A:AL,25,FALSE)-50))</f>
        <v>909</v>
      </c>
      <c r="Y317" s="3">
        <v>909</v>
      </c>
      <c r="Z317" s="3">
        <f t="shared" si="176"/>
        <v>911</v>
      </c>
      <c r="AA317" s="3">
        <f>IF(ISERROR(VLOOKUP($A317,'SegEnds_NonXtal_BW#'!$A:$Z,19,FALSE)+VLOOKUP($A317,A:AL,28,FALSE)-50),"-",(VLOOKUP($A317,'SegEnds_NonXtal_BW#'!$A:$Z,19,FALSE)+VLOOKUP($A317,A:AL,28,FALSE)-50))</f>
        <v>913</v>
      </c>
      <c r="AB317" s="3">
        <v>927</v>
      </c>
      <c r="AC317" s="3">
        <f>IF(ISERROR((VLOOKUP($A317,'SegEnds_NonXtal_BW#'!$A:$Z,20,FALSE)+VLOOKUP($A317,A:AL,28,FALSE)-50)),"-",(VLOOKUP($A317,'SegEnds_NonXtal_BW#'!$A:$Z,20,FALSE)+VLOOKUP($A317,A:AL,28,FALSE)-50))</f>
        <v>946</v>
      </c>
      <c r="AD317" s="3">
        <f>IF(ISERROR(VLOOKUP($A317,'SegEnds_NonXtal_BW#'!$A:$Z,21,FALSE)+VLOOKUP($A317,A:AL,31,FALSE)-50),"-",(VLOOKUP($A317,'SegEnds_NonXtal_BW#'!$A:$Z,21,FALSE)+VLOOKUP($A317,A:AL,31,FALSE)-50))</f>
        <v>991</v>
      </c>
      <c r="AE317" s="3">
        <v>1012</v>
      </c>
      <c r="AF317" s="3">
        <f>IF(ISERROR((VLOOKUP($A317,'SegEnds_NonXtal_BW#'!$A:$Z,22,FALSE)+VLOOKUP($A317,A:AL,31,FALSE)-50)),"-",(VLOOKUP($A317,'SegEnds_NonXtal_BW#'!$A:$Z,22,FALSE)+VLOOKUP($A317,A:AL,31,FALSE)-50))</f>
        <v>1015</v>
      </c>
      <c r="AG317" s="3">
        <f>IF(ISERROR(VLOOKUP($A317,'SegEnds_NonXtal_BW#'!$A:$Z,23,FALSE)+VLOOKUP($A317,A:AL,34,FALSE)-50),"-",(VLOOKUP($A317,'SegEnds_NonXtal_BW#'!$A:$Z,23,FALSE)+VLOOKUP($A317,A:AL,34,FALSE)-50))</f>
        <v>1022</v>
      </c>
      <c r="AH317" s="3">
        <v>1043</v>
      </c>
      <c r="AI317" s="3">
        <f>IF(ISERROR((VLOOKUP($A317,'SegEnds_NonXtal_BW#'!$A:$Z,24,FALSE)+VLOOKUP($A317,A:AL,34,FALSE)-50)),"-",(VLOOKUP($A317,'SegEnds_NonXtal_BW#'!$A:$Z,24,FALSE)+VLOOKUP($A317,A:AL,34,FALSE)-50))</f>
        <v>1049</v>
      </c>
      <c r="AJ317" s="3">
        <f>IF(ISERROR(VLOOKUP($A317,'SegEnds_NonXtal_BW#'!$A:$Z,25,FALSE)+VLOOKUP($A317,A:AL,37,FALSE)-50),"-",(VLOOKUP($A317,'SegEnds_NonXtal_BW#'!$A:$Z,25,FALSE)+VLOOKUP($A317,A:AL,37,FALSE)-50))</f>
        <v>1050</v>
      </c>
      <c r="AK317" s="3">
        <v>1053</v>
      </c>
      <c r="AL317" s="3">
        <f>IF(ISERROR((VLOOKUP($A317,'SegEnds_NonXtal_BW#'!$A:$Z,26,FALSE)+VLOOKUP($A317,A:AL,37,FALSE)-50)),"-",(VLOOKUP($A317,'SegEnds_NonXtal_BW#'!$A:$Z,26,FALSE)+VLOOKUP($A317,A:AL,37,FALSE)-50))</f>
        <v>1066</v>
      </c>
      <c r="AM317" s="28" t="str">
        <f>VLOOKUP(A317,Classification!A:B,2,FALSE)</f>
        <v>B2</v>
      </c>
      <c r="AN317" s="28" t="b">
        <f t="shared" si="167"/>
        <v>1</v>
      </c>
      <c r="AO317" s="3" t="str">
        <f>IF(ISERROR(MATCH(A317,'SegEnds_Xtal_Prot#'!B:B, 0)), "NoXtal", "Xtal")</f>
        <v>NoXtal</v>
      </c>
      <c r="AP317" s="3" t="str">
        <f t="shared" si="152"/>
        <v>-</v>
      </c>
      <c r="AQ317" s="3" t="str">
        <f t="shared" si="153"/>
        <v>-</v>
      </c>
      <c r="AR317" s="3" t="str">
        <f t="shared" si="154"/>
        <v>-</v>
      </c>
      <c r="AS317" s="3" t="str">
        <f t="shared" si="155"/>
        <v>-</v>
      </c>
      <c r="AT317" s="3" t="str">
        <f t="shared" si="156"/>
        <v>-</v>
      </c>
      <c r="AU317" s="3" t="str">
        <f t="shared" si="157"/>
        <v>-</v>
      </c>
      <c r="AV317" s="3">
        <f t="shared" si="158"/>
        <v>9</v>
      </c>
      <c r="AW317" s="3">
        <f t="shared" si="159"/>
        <v>2</v>
      </c>
      <c r="AX317" s="3">
        <f t="shared" si="160"/>
        <v>45</v>
      </c>
      <c r="AY317" s="3">
        <f t="shared" si="161"/>
        <v>7</v>
      </c>
      <c r="AZ317" s="3">
        <f t="shared" si="162"/>
        <v>1</v>
      </c>
      <c r="BA317" s="3">
        <f>IF(ISERROR(LEN(VLOOKUP(A317,Seqs!A:E,2,FALSE))-AL317),"-",LEN(VLOOKUP(A317,Seqs!A:E,2,FALSE))-AL317)</f>
        <v>255</v>
      </c>
      <c r="BB317" s="16">
        <f t="shared" si="163"/>
        <v>26</v>
      </c>
      <c r="BC317" s="9" t="str">
        <f t="shared" si="164"/>
        <v>-</v>
      </c>
      <c r="BD317" s="3">
        <f t="shared" si="165"/>
        <v>26</v>
      </c>
      <c r="BE317" s="3">
        <f t="shared" si="166"/>
        <v>85</v>
      </c>
    </row>
    <row r="318" spans="1:58" s="3" customFormat="1" x14ac:dyDescent="0.2">
      <c r="A318" s="3" t="s">
        <v>1180</v>
      </c>
      <c r="B318" s="3" t="str">
        <f>LOWER(VLOOKUP(A318,Xtal_Templ!A:B,2,FALSE))</f>
        <v>crfr1_human</v>
      </c>
      <c r="C318" s="3">
        <f>VLOOKUP($A318,'SegEnds_NonXtal_BW#'!$A:$Z,3,FALSE)+D318-50</f>
        <v>920</v>
      </c>
      <c r="D318" s="3">
        <v>947</v>
      </c>
      <c r="E318" s="3">
        <f>IF(ISERROR(VLOOKUP($A318,'SegEnds_NonXtal_BW#'!$A:$Z,4,FALSE)+VLOOKUP($A318,A:AL,4,FALSE)-50),"-",(VLOOKUP($A318,'SegEnds_NonXtal_BW#'!$A:$Z,4,FALSE)+VLOOKUP($A318,A:AL,4,FALSE)-50))</f>
        <v>957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963</v>
      </c>
      <c r="J318" s="3">
        <v>976</v>
      </c>
      <c r="K318" s="3">
        <f>VLOOKUP($A318,'SegEnds_NonXtal_BW#'!$A:$Z,8,FALSE)+VLOOKUP($A318,A:AL,10,FALSE)-50</f>
        <v>989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994</v>
      </c>
      <c r="P318" s="3">
        <v>1021</v>
      </c>
      <c r="Q318" s="3">
        <f>VLOOKUP($A318,'SegEnds_NonXtal_BW#'!$A:$Z,12,FALSE)+VLOOKUP($A318,A:AL,16,FALSE)-50</f>
        <v>1027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1033</v>
      </c>
      <c r="V318" s="3">
        <v>1043</v>
      </c>
      <c r="W318" s="3">
        <f>IF(ISERROR(VLOOKUP($A318,'SegEnds_NonXtal_BW#'!$A:$Z,16,FALSE)+VLOOKUP($A318,A:AL,22,FALSE)-50),"-",(VLOOKUP($A318,'SegEnds_NonXtal_BW#'!$A:$Z,16,FALSE)+VLOOKUP($A318,A:AL,22,FALSE)-50))</f>
        <v>1061</v>
      </c>
      <c r="X318" s="3">
        <f>IF(ISERROR(VLOOKUP($A318,'SegEnds_NonXtal_BW#'!$A:$Z,17,FALSE)+VLOOKUP($A318,A:AL,25,FALSE)-50),"-",(VLOOKUP($A318,'SegEnds_NonXtal_BW#'!$A:$Z,17,FALSE)+VLOOKUP($A318,A:AL,25,FALSE)-50))</f>
        <v>1068</v>
      </c>
      <c r="Y318" s="3">
        <v>1068</v>
      </c>
      <c r="Z318" s="3">
        <f t="shared" si="176"/>
        <v>1070</v>
      </c>
      <c r="AA318" s="3">
        <f>IF(ISERROR(VLOOKUP($A318,'SegEnds_NonXtal_BW#'!$A:$Z,19,FALSE)+VLOOKUP($A318,A:AL,28,FALSE)-50),"-",(VLOOKUP($A318,'SegEnds_NonXtal_BW#'!$A:$Z,19,FALSE)+VLOOKUP($A318,A:AL,28,FALSE)-50))</f>
        <v>1073</v>
      </c>
      <c r="AB318" s="3">
        <v>1087</v>
      </c>
      <c r="AC318" s="3">
        <f>IF(ISERROR((VLOOKUP($A318,'SegEnds_NonXtal_BW#'!$A:$Z,20,FALSE)+VLOOKUP($A318,A:AL,28,FALSE)-50)),"-",(VLOOKUP($A318,'SegEnds_NonXtal_BW#'!$A:$Z,20,FALSE)+VLOOKUP($A318,A:AL,28,FALSE)-50))</f>
        <v>1106</v>
      </c>
      <c r="AD318" s="3">
        <f>IF(ISERROR(VLOOKUP($A318,'SegEnds_NonXtal_BW#'!$A:$Z,21,FALSE)+VLOOKUP($A318,A:AL,31,FALSE)-50),"-",(VLOOKUP($A318,'SegEnds_NonXtal_BW#'!$A:$Z,21,FALSE)+VLOOKUP($A318,A:AL,31,FALSE)-50))</f>
        <v>1149</v>
      </c>
      <c r="AE318" s="3">
        <v>1170</v>
      </c>
      <c r="AF318" s="3">
        <f>IF(ISERROR((VLOOKUP($A318,'SegEnds_NonXtal_BW#'!$A:$Z,22,FALSE)+VLOOKUP($A318,A:AL,31,FALSE)-50)),"-",(VLOOKUP($A318,'SegEnds_NonXtal_BW#'!$A:$Z,22,FALSE)+VLOOKUP($A318,A:AL,31,FALSE)-50))</f>
        <v>1173</v>
      </c>
      <c r="AG318" s="3">
        <f>IF(ISERROR(VLOOKUP($A318,'SegEnds_NonXtal_BW#'!$A:$Z,23,FALSE)+VLOOKUP($A318,A:AL,34,FALSE)-50),"-",(VLOOKUP($A318,'SegEnds_NonXtal_BW#'!$A:$Z,23,FALSE)+VLOOKUP($A318,A:AL,34,FALSE)-50))</f>
        <v>1180</v>
      </c>
      <c r="AH318" s="3">
        <v>1199</v>
      </c>
      <c r="AI318" s="3">
        <f>IF(ISERROR((VLOOKUP($A318,'SegEnds_NonXtal_BW#'!$A:$Z,24,FALSE)+VLOOKUP($A318,A:AL,34,FALSE)-50)),"-",(VLOOKUP($A318,'SegEnds_NonXtal_BW#'!$A:$Z,24,FALSE)+VLOOKUP($A318,A:AL,34,FALSE)-50))</f>
        <v>1205</v>
      </c>
      <c r="AJ318" s="3">
        <f>IF(ISERROR(VLOOKUP($A318,'SegEnds_NonXtal_BW#'!$A:$Z,25,FALSE)+VLOOKUP($A318,A:AL,37,FALSE)-50),"-",(VLOOKUP($A318,'SegEnds_NonXtal_BW#'!$A:$Z,25,FALSE)+VLOOKUP($A318,A:AL,37,FALSE)-50))</f>
        <v>1206</v>
      </c>
      <c r="AK318" s="3">
        <v>1209</v>
      </c>
      <c r="AL318" s="3">
        <f>IF(ISERROR((VLOOKUP($A318,'SegEnds_NonXtal_BW#'!$A:$Z,26,FALSE)+VLOOKUP($A318,A:AL,37,FALSE)-50)),"-",(VLOOKUP($A318,'SegEnds_NonXtal_BW#'!$A:$Z,26,FALSE)+VLOOKUP($A318,A:AL,37,FALSE)-50))</f>
        <v>1222</v>
      </c>
      <c r="AM318" s="28" t="str">
        <f>VLOOKUP(A318,Classification!A:B,2,FALSE)</f>
        <v>B2</v>
      </c>
      <c r="AN318" s="28" t="b">
        <f t="shared" si="167"/>
        <v>1</v>
      </c>
      <c r="AO318" s="3" t="str">
        <f>IF(ISERROR(MATCH(A318,'SegEnds_Xtal_Prot#'!B:B, 0)), "NoXtal", "Xtal")</f>
        <v>NoXtal</v>
      </c>
      <c r="AP318" s="3" t="str">
        <f t="shared" si="152"/>
        <v>-</v>
      </c>
      <c r="AQ318" s="3" t="str">
        <f t="shared" si="153"/>
        <v>-</v>
      </c>
      <c r="AR318" s="3" t="str">
        <f t="shared" si="154"/>
        <v>-</v>
      </c>
      <c r="AS318" s="3" t="str">
        <f t="shared" si="155"/>
        <v>-</v>
      </c>
      <c r="AT318" s="3" t="str">
        <f t="shared" si="156"/>
        <v>-</v>
      </c>
      <c r="AU318" s="3" t="str">
        <f t="shared" si="157"/>
        <v>-</v>
      </c>
      <c r="AV318" s="3">
        <f t="shared" si="158"/>
        <v>7</v>
      </c>
      <c r="AW318" s="3">
        <f t="shared" si="159"/>
        <v>3</v>
      </c>
      <c r="AX318" s="3">
        <f t="shared" si="160"/>
        <v>43</v>
      </c>
      <c r="AY318" s="3">
        <f t="shared" si="161"/>
        <v>7</v>
      </c>
      <c r="AZ318" s="3">
        <f t="shared" si="162"/>
        <v>1</v>
      </c>
      <c r="BA318" s="3">
        <f>IF(ISERROR(LEN(VLOOKUP(A318,Seqs!A:E,2,FALSE))-AL318),"-",LEN(VLOOKUP(A318,Seqs!A:E,2,FALSE))-AL318)</f>
        <v>363</v>
      </c>
      <c r="BB318" s="16">
        <f t="shared" si="163"/>
        <v>29</v>
      </c>
      <c r="BC318" s="9" t="str">
        <f t="shared" si="164"/>
        <v>-</v>
      </c>
      <c r="BD318" s="3">
        <f t="shared" si="165"/>
        <v>29</v>
      </c>
      <c r="BE318" s="3">
        <f t="shared" si="166"/>
        <v>83</v>
      </c>
    </row>
    <row r="319" spans="1:58" s="3" customFormat="1" x14ac:dyDescent="0.2">
      <c r="A319" s="3" t="s">
        <v>1181</v>
      </c>
      <c r="B319" s="3" t="str">
        <f>LOWER(VLOOKUP(A319,Xtal_Templ!A:B,2,FALSE))</f>
        <v>crfr1_human</v>
      </c>
      <c r="C319" s="3">
        <f>VLOOKUP($A319,'SegEnds_NonXtal_BW#'!$A:$Z,3,FALSE)+D319-50</f>
        <v>865</v>
      </c>
      <c r="D319" s="3">
        <v>892</v>
      </c>
      <c r="E319" s="3">
        <f>IF(ISERROR(VLOOKUP($A319,'SegEnds_NonXtal_BW#'!$A:$Z,4,FALSE)+VLOOKUP($A319,A:AL,4,FALSE)-50),"-",(VLOOKUP($A319,'SegEnds_NonXtal_BW#'!$A:$Z,4,FALSE)+VLOOKUP($A319,A:AL,4,FALSE)-50))</f>
        <v>902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908</v>
      </c>
      <c r="J319" s="3">
        <v>921</v>
      </c>
      <c r="K319" s="3">
        <f>VLOOKUP($A319,'SegEnds_NonXtal_BW#'!$A:$Z,8,FALSE)+VLOOKUP($A319,A:AL,10,FALSE)-50</f>
        <v>934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939</v>
      </c>
      <c r="P319" s="3">
        <v>966</v>
      </c>
      <c r="Q319" s="3">
        <f>VLOOKUP($A319,'SegEnds_NonXtal_BW#'!$A:$Z,12,FALSE)+VLOOKUP($A319,A:AL,16,FALSE)-50</f>
        <v>972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978</v>
      </c>
      <c r="V319" s="3">
        <v>988</v>
      </c>
      <c r="W319" s="3">
        <f>IF(ISERROR(VLOOKUP($A319,'SegEnds_NonXtal_BW#'!$A:$Z,16,FALSE)+VLOOKUP($A319,A:AL,22,FALSE)-50),"-",(VLOOKUP($A319,'SegEnds_NonXtal_BW#'!$A:$Z,16,FALSE)+VLOOKUP($A319,A:AL,22,FALSE)-50))</f>
        <v>1006</v>
      </c>
      <c r="X319" s="3">
        <f>IF(ISERROR(VLOOKUP($A319,'SegEnds_NonXtal_BW#'!$A:$Z,17,FALSE)+VLOOKUP($A319,A:AL,25,FALSE)-50),"-",(VLOOKUP($A319,'SegEnds_NonXtal_BW#'!$A:$Z,17,FALSE)+VLOOKUP($A319,A:AL,25,FALSE)-50))</f>
        <v>1013</v>
      </c>
      <c r="Y319" s="3">
        <v>1013</v>
      </c>
      <c r="Z319" s="3">
        <f t="shared" si="176"/>
        <v>1015</v>
      </c>
      <c r="AA319" s="3">
        <f>IF(ISERROR(VLOOKUP($A319,'SegEnds_NonXtal_BW#'!$A:$Z,19,FALSE)+VLOOKUP($A319,A:AL,28,FALSE)-50),"-",(VLOOKUP($A319,'SegEnds_NonXtal_BW#'!$A:$Z,19,FALSE)+VLOOKUP($A319,A:AL,28,FALSE)-50))</f>
        <v>1018</v>
      </c>
      <c r="AB319" s="3">
        <v>1032</v>
      </c>
      <c r="AC319" s="3">
        <f>IF(ISERROR((VLOOKUP($A319,'SegEnds_NonXtal_BW#'!$A:$Z,20,FALSE)+VLOOKUP($A319,A:AL,28,FALSE)-50)),"-",(VLOOKUP($A319,'SegEnds_NonXtal_BW#'!$A:$Z,20,FALSE)+VLOOKUP($A319,A:AL,28,FALSE)-50))</f>
        <v>1051</v>
      </c>
      <c r="AD319" s="3">
        <f>IF(ISERROR(VLOOKUP($A319,'SegEnds_NonXtal_BW#'!$A:$Z,21,FALSE)+VLOOKUP($A319,A:AL,31,FALSE)-50),"-",(VLOOKUP($A319,'SegEnds_NonXtal_BW#'!$A:$Z,21,FALSE)+VLOOKUP($A319,A:AL,31,FALSE)-50))</f>
        <v>1094</v>
      </c>
      <c r="AE319" s="3">
        <v>1115</v>
      </c>
      <c r="AF319" s="3">
        <f>IF(ISERROR((VLOOKUP($A319,'SegEnds_NonXtal_BW#'!$A:$Z,22,FALSE)+VLOOKUP($A319,A:AL,31,FALSE)-50)),"-",(VLOOKUP($A319,'SegEnds_NonXtal_BW#'!$A:$Z,22,FALSE)+VLOOKUP($A319,A:AL,31,FALSE)-50))</f>
        <v>1118</v>
      </c>
      <c r="AG319" s="3">
        <f>IF(ISERROR(VLOOKUP($A319,'SegEnds_NonXtal_BW#'!$A:$Z,23,FALSE)+VLOOKUP($A319,A:AL,34,FALSE)-50),"-",(VLOOKUP($A319,'SegEnds_NonXtal_BW#'!$A:$Z,23,FALSE)+VLOOKUP($A319,A:AL,34,FALSE)-50))</f>
        <v>1125</v>
      </c>
      <c r="AH319" s="3">
        <v>1144</v>
      </c>
      <c r="AI319" s="3">
        <f>IF(ISERROR((VLOOKUP($A319,'SegEnds_NonXtal_BW#'!$A:$Z,24,FALSE)+VLOOKUP($A319,A:AL,34,FALSE)-50)),"-",(VLOOKUP($A319,'SegEnds_NonXtal_BW#'!$A:$Z,24,FALSE)+VLOOKUP($A319,A:AL,34,FALSE)-50))</f>
        <v>1150</v>
      </c>
      <c r="AJ319" s="3">
        <f>IF(ISERROR(VLOOKUP($A319,'SegEnds_NonXtal_BW#'!$A:$Z,25,FALSE)+VLOOKUP($A319,A:AL,37,FALSE)-50),"-",(VLOOKUP($A319,'SegEnds_NonXtal_BW#'!$A:$Z,25,FALSE)+VLOOKUP($A319,A:AL,37,FALSE)-50))</f>
        <v>1151</v>
      </c>
      <c r="AK319" s="3">
        <v>1154</v>
      </c>
      <c r="AL319" s="3">
        <f>IF(ISERROR((VLOOKUP($A319,'SegEnds_NonXtal_BW#'!$A:$Z,26,FALSE)+VLOOKUP($A319,A:AL,37,FALSE)-50)),"-",(VLOOKUP($A319,'SegEnds_NonXtal_BW#'!$A:$Z,26,FALSE)+VLOOKUP($A319,A:AL,37,FALSE)-50))</f>
        <v>1167</v>
      </c>
      <c r="AM319" s="28" t="str">
        <f>VLOOKUP(A319,Classification!A:B,2,FALSE)</f>
        <v>B2</v>
      </c>
      <c r="AN319" s="28" t="b">
        <f t="shared" si="167"/>
        <v>1</v>
      </c>
      <c r="AO319" s="3" t="str">
        <f>IF(ISERROR(MATCH(A319,'SegEnds_Xtal_Prot#'!B:B, 0)), "NoXtal", "Xtal")</f>
        <v>NoXtal</v>
      </c>
      <c r="AP319" s="3" t="str">
        <f t="shared" si="152"/>
        <v>-</v>
      </c>
      <c r="AQ319" s="3" t="str">
        <f t="shared" si="153"/>
        <v>-</v>
      </c>
      <c r="AR319" s="3" t="str">
        <f t="shared" si="154"/>
        <v>-</v>
      </c>
      <c r="AS319" s="3" t="str">
        <f t="shared" si="155"/>
        <v>-</v>
      </c>
      <c r="AT319" s="3" t="str">
        <f t="shared" si="156"/>
        <v>-</v>
      </c>
      <c r="AU319" s="3" t="str">
        <f t="shared" si="157"/>
        <v>-</v>
      </c>
      <c r="AV319" s="3">
        <f t="shared" si="158"/>
        <v>7</v>
      </c>
      <c r="AW319" s="3">
        <f t="shared" si="159"/>
        <v>3</v>
      </c>
      <c r="AX319" s="3">
        <f t="shared" si="160"/>
        <v>43</v>
      </c>
      <c r="AY319" s="3">
        <f t="shared" si="161"/>
        <v>7</v>
      </c>
      <c r="AZ319" s="3">
        <f t="shared" si="162"/>
        <v>1</v>
      </c>
      <c r="BA319" s="3">
        <f>IF(ISERROR(LEN(VLOOKUP(A319,Seqs!A:E,2,FALSE))-AL319),"-",LEN(VLOOKUP(A319,Seqs!A:E,2,FALSE))-AL319)</f>
        <v>355</v>
      </c>
      <c r="BB319" s="16">
        <f t="shared" si="163"/>
        <v>29</v>
      </c>
      <c r="BC319" s="9" t="str">
        <f t="shared" si="164"/>
        <v>-</v>
      </c>
      <c r="BD319" s="3">
        <f t="shared" si="165"/>
        <v>29</v>
      </c>
      <c r="BE319" s="3">
        <f t="shared" si="166"/>
        <v>83</v>
      </c>
    </row>
    <row r="320" spans="1:58" s="3" customFormat="1" x14ac:dyDescent="0.2">
      <c r="A320" s="3" t="s">
        <v>1182</v>
      </c>
      <c r="B320" s="3" t="str">
        <f>LOWER(VLOOKUP(A320,Xtal_Templ!A:B,2,FALSE))</f>
        <v>crfr1_human</v>
      </c>
      <c r="C320" s="3">
        <f>VLOOKUP($A320,'SegEnds_NonXtal_BW#'!$A:$Z,3,FALSE)+D320-50</f>
        <v>554</v>
      </c>
      <c r="D320" s="3">
        <v>581</v>
      </c>
      <c r="E320" s="3">
        <f>IF(ISERROR(VLOOKUP($A320,'SegEnds_NonXtal_BW#'!$A:$Z,4,FALSE)+VLOOKUP($A320,A:AL,4,FALSE)-50),"-",(VLOOKUP($A320,'SegEnds_NonXtal_BW#'!$A:$Z,4,FALSE)+VLOOKUP($A320,A:AL,4,FALSE)-50))</f>
        <v>591</v>
      </c>
      <c r="F320" s="3">
        <f>G320-2</f>
        <v>592</v>
      </c>
      <c r="G320" s="3">
        <v>594</v>
      </c>
      <c r="H320" s="3">
        <f>G320+1</f>
        <v>595</v>
      </c>
      <c r="I320" s="3">
        <f>H320+1</f>
        <v>596</v>
      </c>
      <c r="J320" s="3">
        <v>612</v>
      </c>
      <c r="K320" s="3">
        <f>VLOOKUP($A320,'SegEnds_NonXtal_BW#'!$A:$Z,8,FALSE)+VLOOKUP($A320,A:AL,10,FALSE)-50</f>
        <v>625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630</v>
      </c>
      <c r="P320" s="3">
        <v>657</v>
      </c>
      <c r="Q320" s="3">
        <f>VLOOKUP($A320,'SegEnds_NonXtal_BW#'!$A:$Z,12,FALSE)+VLOOKUP($A320,A:AL,16,FALSE)-50</f>
        <v>663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670</v>
      </c>
      <c r="V320" s="3">
        <v>680</v>
      </c>
      <c r="W320" s="3">
        <f>IF(ISERROR(VLOOKUP($A320,'SegEnds_NonXtal_BW#'!$A:$Z,16,FALSE)+VLOOKUP($A320,A:AL,22,FALSE)-50),"-",(VLOOKUP($A320,'SegEnds_NonXtal_BW#'!$A:$Z,16,FALSE)+VLOOKUP($A320,A:AL,22,FALSE)-50))</f>
        <v>698</v>
      </c>
      <c r="X320" s="3">
        <f>IF(ISERROR(VLOOKUP($A320,'SegEnds_NonXtal_BW#'!$A:$Z,17,FALSE)+VLOOKUP($A320,A:AL,25,FALSE)-50),"-",(VLOOKUP($A320,'SegEnds_NonXtal_BW#'!$A:$Z,17,FALSE)+VLOOKUP($A320,A:AL,25,FALSE)-50))</f>
        <v>704</v>
      </c>
      <c r="Y320" s="3">
        <v>704</v>
      </c>
      <c r="Z320" s="3">
        <f t="shared" si="176"/>
        <v>706</v>
      </c>
      <c r="AA320" s="3">
        <f>IF(ISERROR(VLOOKUP($A320,'SegEnds_NonXtal_BW#'!$A:$Z,19,FALSE)+VLOOKUP($A320,A:AL,28,FALSE)-50),"-",(VLOOKUP($A320,'SegEnds_NonXtal_BW#'!$A:$Z,19,FALSE)+VLOOKUP($A320,A:AL,28,FALSE)-50))</f>
        <v>709</v>
      </c>
      <c r="AB320" s="3">
        <v>723</v>
      </c>
      <c r="AC320" s="3">
        <f>IF(ISERROR((VLOOKUP($A320,'SegEnds_NonXtal_BW#'!$A:$Z,20,FALSE)+VLOOKUP($A320,A:AL,28,FALSE)-50)),"-",(VLOOKUP($A320,'SegEnds_NonXtal_BW#'!$A:$Z,20,FALSE)+VLOOKUP($A320,A:AL,28,FALSE)-50))</f>
        <v>742</v>
      </c>
      <c r="AD320" s="3">
        <f>IF(ISERROR(VLOOKUP($A320,'SegEnds_NonXtal_BW#'!$A:$Z,21,FALSE)+VLOOKUP($A320,A:AL,31,FALSE)-50),"-",(VLOOKUP($A320,'SegEnds_NonXtal_BW#'!$A:$Z,21,FALSE)+VLOOKUP($A320,A:AL,31,FALSE)-50))</f>
        <v>754</v>
      </c>
      <c r="AE320" s="3">
        <v>775</v>
      </c>
      <c r="AF320" s="3">
        <f>IF(ISERROR((VLOOKUP($A320,'SegEnds_NonXtal_BW#'!$A:$Z,22,FALSE)+VLOOKUP($A320,A:AL,31,FALSE)-50)),"-",(VLOOKUP($A320,'SegEnds_NonXtal_BW#'!$A:$Z,22,FALSE)+VLOOKUP($A320,A:AL,31,FALSE)-50))</f>
        <v>778</v>
      </c>
      <c r="AG320" s="3">
        <f>IF(ISERROR(VLOOKUP($A320,'SegEnds_NonXtal_BW#'!$A:$Z,23,FALSE)+VLOOKUP($A320,A:AL,34,FALSE)-50),"-",(VLOOKUP($A320,'SegEnds_NonXtal_BW#'!$A:$Z,23,FALSE)+VLOOKUP($A320,A:AL,34,FALSE)-50))</f>
        <v>784</v>
      </c>
      <c r="AH320" s="3">
        <v>803</v>
      </c>
      <c r="AI320" s="3">
        <f>IF(ISERROR((VLOOKUP($A320,'SegEnds_NonXtal_BW#'!$A:$Z,24,FALSE)+VLOOKUP($A320,A:AL,34,FALSE)-50)),"-",(VLOOKUP($A320,'SegEnds_NonXtal_BW#'!$A:$Z,24,FALSE)+VLOOKUP($A320,A:AL,34,FALSE)-50))</f>
        <v>809</v>
      </c>
      <c r="AJ320" s="3">
        <f>IF(ISERROR(VLOOKUP($A320,'SegEnds_NonXtal_BW#'!$A:$Z,25,FALSE)+VLOOKUP($A320,A:AL,37,FALSE)-50),"-",(VLOOKUP($A320,'SegEnds_NonXtal_BW#'!$A:$Z,25,FALSE)+VLOOKUP($A320,A:AL,37,FALSE)-50))</f>
        <v>810</v>
      </c>
      <c r="AK320" s="3">
        <v>813</v>
      </c>
      <c r="AL320" s="3">
        <f>IF(ISERROR((VLOOKUP($A320,'SegEnds_NonXtal_BW#'!$A:$Z,26,FALSE)+VLOOKUP($A320,A:AL,37,FALSE)-50)),"-",(VLOOKUP($A320,'SegEnds_NonXtal_BW#'!$A:$Z,26,FALSE)+VLOOKUP($A320,A:AL,37,FALSE)-50))</f>
        <v>826</v>
      </c>
      <c r="AM320" s="28" t="str">
        <f>VLOOKUP(A320,Classification!A:B,2,FALSE)</f>
        <v>B2</v>
      </c>
      <c r="AN320" s="28" t="b">
        <f t="shared" si="167"/>
        <v>1</v>
      </c>
      <c r="AO320" s="3" t="str">
        <f>IF(ISERROR(MATCH(A320,'SegEnds_Xtal_Prot#'!B:B, 0)), "NoXtal", "Xtal")</f>
        <v>NoXtal</v>
      </c>
      <c r="AP320" s="3">
        <f t="shared" si="152"/>
        <v>1</v>
      </c>
      <c r="AQ320" s="3">
        <f t="shared" si="153"/>
        <v>1</v>
      </c>
      <c r="AR320" s="3" t="str">
        <f t="shared" si="154"/>
        <v>-</v>
      </c>
      <c r="AS320" s="3" t="str">
        <f t="shared" si="155"/>
        <v>-</v>
      </c>
      <c r="AT320" s="3" t="str">
        <f t="shared" si="156"/>
        <v>-</v>
      </c>
      <c r="AU320" s="3" t="str">
        <f t="shared" si="157"/>
        <v>-</v>
      </c>
      <c r="AV320" s="3">
        <f t="shared" si="158"/>
        <v>6</v>
      </c>
      <c r="AW320" s="3">
        <f t="shared" si="159"/>
        <v>3</v>
      </c>
      <c r="AX320" s="3">
        <f t="shared" si="160"/>
        <v>12</v>
      </c>
      <c r="AY320" s="3">
        <f t="shared" si="161"/>
        <v>6</v>
      </c>
      <c r="AZ320" s="3">
        <f t="shared" si="162"/>
        <v>1</v>
      </c>
      <c r="BA320" s="3">
        <f>IF(ISERROR(LEN(VLOOKUP(A320,Seqs!A:E,2,FALSE))-AL320),"-",LEN(VLOOKUP(A320,Seqs!A:E,2,FALSE))-AL320)</f>
        <v>48</v>
      </c>
      <c r="BB320" s="16">
        <f t="shared" si="163"/>
        <v>31</v>
      </c>
      <c r="BC320" s="9" t="str">
        <f t="shared" si="164"/>
        <v>-</v>
      </c>
      <c r="BD320" s="3">
        <f t="shared" si="165"/>
        <v>31</v>
      </c>
      <c r="BE320" s="3">
        <f t="shared" si="166"/>
        <v>52</v>
      </c>
    </row>
    <row r="321" spans="1:59" s="3" customFormat="1" x14ac:dyDescent="0.2">
      <c r="A321" s="3" t="s">
        <v>1183</v>
      </c>
      <c r="B321" s="3" t="str">
        <f>LOWER(VLOOKUP(A321,Xtal_Templ!A:B,2,FALSE))</f>
        <v>glp1r_human</v>
      </c>
      <c r="C321" s="3">
        <f>VLOOKUP($A321,'SegEnds_NonXtal_BW#'!$A:$Z,3,FALSE)+D321-50</f>
        <v>646</v>
      </c>
      <c r="D321" s="3">
        <v>673</v>
      </c>
      <c r="E321" s="3">
        <f>IF(ISERROR(VLOOKUP($A321,'SegEnds_NonXtal_BW#'!$A:$Z,4,FALSE)+VLOOKUP($A321,A:AL,4,FALSE)-50),"-",(VLOOKUP($A321,'SegEnds_NonXtal_BW#'!$A:$Z,4,FALSE)+VLOOKUP($A321,A:AL,4,FALSE)-50))</f>
        <v>683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688</v>
      </c>
      <c r="J321" s="3">
        <v>701</v>
      </c>
      <c r="K321" s="3">
        <f>VLOOKUP($A321,'SegEnds_NonXtal_BW#'!$A:$Z,8,FALSE)+VLOOKUP($A321,A:AL,10,FALSE)-50</f>
        <v>714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719</v>
      </c>
      <c r="P321" s="3">
        <v>746</v>
      </c>
      <c r="Q321" s="3">
        <f>VLOOKUP($A321,'SegEnds_NonXtal_BW#'!$A:$Z,12,FALSE)+VLOOKUP($A321,A:AL,16,FALSE)-50</f>
        <v>752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757</v>
      </c>
      <c r="V321" s="3">
        <v>769</v>
      </c>
      <c r="W321" s="3">
        <f>IF(ISERROR(VLOOKUP($A321,'SegEnds_NonXtal_BW#'!$A:$Z,16,FALSE)+VLOOKUP($A321,A:AL,22,FALSE)-50),"-",(VLOOKUP($A321,'SegEnds_NonXtal_BW#'!$A:$Z,16,FALSE)+VLOOKUP($A321,A:AL,22,FALSE)-50))</f>
        <v>787</v>
      </c>
      <c r="X321" s="3">
        <f>IF(ISERROR(VLOOKUP($A321,'SegEnds_NonXtal_BW#'!$A:$Z,17,FALSE)+VLOOKUP($A321,A:AL,25,FALSE)-50),"-",(VLOOKUP($A321,'SegEnds_NonXtal_BW#'!$A:$Z,17,FALSE)+VLOOKUP($A321,A:AL,25,FALSE)-50))</f>
        <v>793</v>
      </c>
      <c r="Y321" s="3">
        <v>793</v>
      </c>
      <c r="Z321" s="3">
        <f t="shared" si="176"/>
        <v>795</v>
      </c>
      <c r="AA321" s="3">
        <f>IF(ISERROR(VLOOKUP($A321,'SegEnds_NonXtal_BW#'!$A:$Z,19,FALSE)+VLOOKUP($A321,A:AL,28,FALSE)-50),"-",(VLOOKUP($A321,'SegEnds_NonXtal_BW#'!$A:$Z,19,FALSE)+VLOOKUP($A321,A:AL,28,FALSE)-50))</f>
        <v>798</v>
      </c>
      <c r="AB321" s="3">
        <v>812</v>
      </c>
      <c r="AC321" s="3">
        <f>IF(ISERROR((VLOOKUP($A321,'SegEnds_NonXtal_BW#'!$A:$Z,20,FALSE)+VLOOKUP($A321,A:AL,28,FALSE)-50)),"-",(VLOOKUP($A321,'SegEnds_NonXtal_BW#'!$A:$Z,20,FALSE)+VLOOKUP($A321,A:AL,28,FALSE)-50))</f>
        <v>831</v>
      </c>
      <c r="AD321" s="3">
        <f>IF(ISERROR(VLOOKUP($A321,'SegEnds_NonXtal_BW#'!$A:$Z,21,FALSE)+VLOOKUP($A321,A:AL,31,FALSE)-50),"-",(VLOOKUP($A321,'SegEnds_NonXtal_BW#'!$A:$Z,21,FALSE)+VLOOKUP($A321,A:AL,31,FALSE)-50))</f>
        <v>857</v>
      </c>
      <c r="AE321" s="3">
        <v>878</v>
      </c>
      <c r="AF321" s="3">
        <f>IF(ISERROR((VLOOKUP($A321,'SegEnds_NonXtal_BW#'!$A:$Z,22,FALSE)+VLOOKUP($A321,A:AL,31,FALSE)-50)),"-",(VLOOKUP($A321,'SegEnds_NonXtal_BW#'!$A:$Z,22,FALSE)+VLOOKUP($A321,A:AL,31,FALSE)-50))</f>
        <v>878</v>
      </c>
      <c r="AG321" s="3">
        <f>IF(ISERROR(VLOOKUP($A321,'SegEnds_NonXtal_BW#'!$A:$Z,23,FALSE)+VLOOKUP($A321,A:AL,34,FALSE)-50),"-",(VLOOKUP($A321,'SegEnds_NonXtal_BW#'!$A:$Z,23,FALSE)+VLOOKUP($A321,A:AL,34,FALSE)-50))</f>
        <v>881</v>
      </c>
      <c r="AH321" s="3">
        <v>898</v>
      </c>
      <c r="AI321" s="3">
        <f>IF(ISERROR((VLOOKUP($A321,'SegEnds_NonXtal_BW#'!$A:$Z,24,FALSE)+VLOOKUP($A321,A:AL,34,FALSE)-50)),"-",(VLOOKUP($A321,'SegEnds_NonXtal_BW#'!$A:$Z,24,FALSE)+VLOOKUP($A321,A:AL,34,FALSE)-50))</f>
        <v>904</v>
      </c>
      <c r="AJ321" s="3">
        <f>IF(ISERROR(VLOOKUP($A321,'SegEnds_NonXtal_BW#'!$A:$Z,25,FALSE)+VLOOKUP($A321,A:AL,37,FALSE)-50),"-",(VLOOKUP($A321,'SegEnds_NonXtal_BW#'!$A:$Z,25,FALSE)+VLOOKUP($A321,A:AL,37,FALSE)-50))</f>
        <v>905</v>
      </c>
      <c r="AK321" s="3">
        <v>908</v>
      </c>
      <c r="AL321" s="3">
        <f>IF(ISERROR((VLOOKUP($A321,'SegEnds_NonXtal_BW#'!$A:$Z,26,FALSE)+VLOOKUP($A321,A:AL,37,FALSE)-50)),"-",(VLOOKUP($A321,'SegEnds_NonXtal_BW#'!$A:$Z,26,FALSE)+VLOOKUP($A321,A:AL,37,FALSE)-50))</f>
        <v>921</v>
      </c>
      <c r="AM321" s="28" t="str">
        <f>VLOOKUP(A321,Classification!A:B,2,FALSE)</f>
        <v>B2</v>
      </c>
      <c r="AN321" s="28" t="b">
        <f t="shared" si="167"/>
        <v>1</v>
      </c>
      <c r="AO321" s="3" t="str">
        <f>IF(ISERROR(MATCH(A321,'SegEnds_Xtal_Prot#'!B:B, 0)), "NoXtal", "Xtal")</f>
        <v>NoXtal</v>
      </c>
      <c r="AP321" s="3" t="str">
        <f t="shared" si="152"/>
        <v>-</v>
      </c>
      <c r="AQ321" s="3" t="str">
        <f t="shared" si="153"/>
        <v>-</v>
      </c>
      <c r="AR321" s="3" t="str">
        <f t="shared" si="154"/>
        <v>-</v>
      </c>
      <c r="AS321" s="3" t="str">
        <f t="shared" si="155"/>
        <v>-</v>
      </c>
      <c r="AT321" s="3" t="str">
        <f t="shared" si="156"/>
        <v>-</v>
      </c>
      <c r="AU321" s="3" t="str">
        <f t="shared" si="157"/>
        <v>-</v>
      </c>
      <c r="AV321" s="3">
        <f t="shared" si="158"/>
        <v>6</v>
      </c>
      <c r="AW321" s="3">
        <f t="shared" si="159"/>
        <v>3</v>
      </c>
      <c r="AX321" s="3">
        <f t="shared" si="160"/>
        <v>26</v>
      </c>
      <c r="AY321" s="3">
        <f t="shared" si="161"/>
        <v>3</v>
      </c>
      <c r="AZ321" s="3">
        <f t="shared" si="162"/>
        <v>1</v>
      </c>
      <c r="BA321" s="3">
        <f>IF(ISERROR(LEN(VLOOKUP(A321,Seqs!A:E,2,FALSE))-AL321),"-",LEN(VLOOKUP(A321,Seqs!A:E,2,FALSE))-AL321)</f>
        <v>42</v>
      </c>
      <c r="BB321" s="16">
        <f t="shared" si="163"/>
        <v>28</v>
      </c>
      <c r="BC321" s="9" t="str">
        <f t="shared" si="164"/>
        <v>-</v>
      </c>
      <c r="BD321" s="3">
        <f t="shared" si="165"/>
        <v>28</v>
      </c>
      <c r="BE321" s="3">
        <f t="shared" si="166"/>
        <v>66</v>
      </c>
    </row>
    <row r="322" spans="1:59" s="3" customFormat="1" x14ac:dyDescent="0.2">
      <c r="A322" s="3" t="s">
        <v>1184</v>
      </c>
      <c r="B322" s="3" t="str">
        <f>LOWER(VLOOKUP(A322,Xtal_Templ!A:B,2,FALSE))</f>
        <v>pth1r_human</v>
      </c>
      <c r="C322" s="3">
        <f>VLOOKUP($A322,'SegEnds_NonXtal_BW#'!$A:$Z,3,FALSE)+D322-50</f>
        <v>590</v>
      </c>
      <c r="D322" s="3">
        <v>617</v>
      </c>
      <c r="E322" s="3">
        <f>IF(ISERROR(VLOOKUP($A322,'SegEnds_NonXtal_BW#'!$A:$Z,4,FALSE)+VLOOKUP($A322,A:AL,4,FALSE)-50),"-",(VLOOKUP($A322,'SegEnds_NonXtal_BW#'!$A:$Z,4,FALSE)+VLOOKUP($A322,A:AL,4,FALSE)-50))</f>
        <v>627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632</v>
      </c>
      <c r="J322" s="3">
        <v>645</v>
      </c>
      <c r="K322" s="3">
        <f>VLOOKUP($A322,'SegEnds_NonXtal_BW#'!$A:$Z,8,FALSE)+VLOOKUP($A322,A:AL,10,FALSE)-50</f>
        <v>658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663</v>
      </c>
      <c r="P322" s="3">
        <v>690</v>
      </c>
      <c r="Q322" s="3">
        <f>VLOOKUP($A322,'SegEnds_NonXtal_BW#'!$A:$Z,12,FALSE)+VLOOKUP($A322,A:AL,16,FALSE)-50</f>
        <v>696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705</v>
      </c>
      <c r="V322" s="3">
        <v>718</v>
      </c>
      <c r="W322" s="3">
        <f>IF(ISERROR(VLOOKUP($A322,'SegEnds_NonXtal_BW#'!$A:$Z,16,FALSE)+VLOOKUP($A322,A:AL,22,FALSE)-50),"-",(VLOOKUP($A322,'SegEnds_NonXtal_BW#'!$A:$Z,16,FALSE)+VLOOKUP($A322,A:AL,22,FALSE)-50))</f>
        <v>736</v>
      </c>
      <c r="X322" s="3">
        <f>IF(ISERROR(VLOOKUP($A322,'SegEnds_NonXtal_BW#'!$A:$Z,17,FALSE)+VLOOKUP($A322,A:AL,25,FALSE)-50),"-",(VLOOKUP($A322,'SegEnds_NonXtal_BW#'!$A:$Z,17,FALSE)+VLOOKUP($A322,A:AL,25,FALSE)-50))</f>
        <v>742</v>
      </c>
      <c r="Y322" s="3">
        <v>742</v>
      </c>
      <c r="Z322" s="3">
        <f t="shared" si="176"/>
        <v>744</v>
      </c>
      <c r="AA322" s="3">
        <f>IF(ISERROR(VLOOKUP($A322,'SegEnds_NonXtal_BW#'!$A:$Z,19,FALSE)+VLOOKUP($A322,A:AL,28,FALSE)-50),"-",(VLOOKUP($A322,'SegEnds_NonXtal_BW#'!$A:$Z,19,FALSE)+VLOOKUP($A322,A:AL,28,FALSE)-50))</f>
        <v>747</v>
      </c>
      <c r="AB322" s="3">
        <v>761</v>
      </c>
      <c r="AC322" s="3">
        <f>IF(ISERROR((VLOOKUP($A322,'SegEnds_NonXtal_BW#'!$A:$Z,20,FALSE)+VLOOKUP($A322,A:AL,28,FALSE)-50)),"-",(VLOOKUP($A322,'SegEnds_NonXtal_BW#'!$A:$Z,20,FALSE)+VLOOKUP($A322,A:AL,28,FALSE)-50))</f>
        <v>780</v>
      </c>
      <c r="AD322" s="3">
        <f>IF(ISERROR(VLOOKUP($A322,'SegEnds_NonXtal_BW#'!$A:$Z,21,FALSE)+VLOOKUP($A322,A:AL,31,FALSE)-50),"-",(VLOOKUP($A322,'SegEnds_NonXtal_BW#'!$A:$Z,21,FALSE)+VLOOKUP($A322,A:AL,31,FALSE)-50))</f>
        <v>792</v>
      </c>
      <c r="AE322" s="3">
        <v>813</v>
      </c>
      <c r="AF322" s="3">
        <f>IF(ISERROR((VLOOKUP($A322,'SegEnds_NonXtal_BW#'!$A:$Z,22,FALSE)+VLOOKUP($A322,A:AL,31,FALSE)-50)),"-",(VLOOKUP($A322,'SegEnds_NonXtal_BW#'!$A:$Z,22,FALSE)+VLOOKUP($A322,A:AL,31,FALSE)-50))</f>
        <v>817</v>
      </c>
      <c r="AG322" s="3">
        <f>IF(ISERROR(VLOOKUP($A322,'SegEnds_NonXtal_BW#'!$A:$Z,23,FALSE)+VLOOKUP($A322,A:AL,34,FALSE)-50),"-",(VLOOKUP($A322,'SegEnds_NonXtal_BW#'!$A:$Z,23,FALSE)+VLOOKUP($A322,A:AL,34,FALSE)-50))</f>
        <v>822</v>
      </c>
      <c r="AH322" s="3">
        <v>841</v>
      </c>
      <c r="AI322" s="3">
        <f>IF(ISERROR((VLOOKUP($A322,'SegEnds_NonXtal_BW#'!$A:$Z,24,FALSE)+VLOOKUP($A322,A:AL,34,FALSE)-50)),"-",(VLOOKUP($A322,'SegEnds_NonXtal_BW#'!$A:$Z,24,FALSE)+VLOOKUP($A322,A:AL,34,FALSE)-50))</f>
        <v>847</v>
      </c>
      <c r="AJ322" s="3">
        <f>IF(ISERROR(VLOOKUP($A322,'SegEnds_NonXtal_BW#'!$A:$Z,25,FALSE)+VLOOKUP($A322,A:AL,37,FALSE)-50),"-",(VLOOKUP($A322,'SegEnds_NonXtal_BW#'!$A:$Z,25,FALSE)+VLOOKUP($A322,A:AL,37,FALSE)-50))</f>
        <v>848</v>
      </c>
      <c r="AK322" s="3">
        <v>851</v>
      </c>
      <c r="AL322" s="3">
        <f>IF(ISERROR((VLOOKUP($A322,'SegEnds_NonXtal_BW#'!$A:$Z,26,FALSE)+VLOOKUP($A322,A:AL,37,FALSE)-50)),"-",(VLOOKUP($A322,'SegEnds_NonXtal_BW#'!$A:$Z,26,FALSE)+VLOOKUP($A322,A:AL,37,FALSE)-50))</f>
        <v>864</v>
      </c>
      <c r="AM322" s="28" t="str">
        <f>VLOOKUP(A322,Classification!A:B,2,FALSE)</f>
        <v>B2</v>
      </c>
      <c r="AN322" s="28" t="b">
        <f t="shared" si="167"/>
        <v>1</v>
      </c>
      <c r="AO322" s="3" t="str">
        <f>IF(ISERROR(MATCH(A322,'SegEnds_Xtal_Prot#'!B:B, 0)), "NoXtal", "Xtal")</f>
        <v>NoXtal</v>
      </c>
      <c r="AP322" s="3" t="str">
        <f t="shared" si="152"/>
        <v>-</v>
      </c>
      <c r="AQ322" s="3" t="str">
        <f t="shared" si="153"/>
        <v>-</v>
      </c>
      <c r="AR322" s="3" t="str">
        <f t="shared" si="154"/>
        <v>-</v>
      </c>
      <c r="AS322" s="3" t="str">
        <f t="shared" si="155"/>
        <v>-</v>
      </c>
      <c r="AT322" s="3" t="str">
        <f t="shared" si="156"/>
        <v>-</v>
      </c>
      <c r="AU322" s="3" t="str">
        <f t="shared" si="157"/>
        <v>-</v>
      </c>
      <c r="AV322" s="3">
        <f t="shared" si="158"/>
        <v>6</v>
      </c>
      <c r="AW322" s="3">
        <f t="shared" si="159"/>
        <v>3</v>
      </c>
      <c r="AX322" s="3">
        <f t="shared" si="160"/>
        <v>12</v>
      </c>
      <c r="AY322" s="3">
        <f t="shared" si="161"/>
        <v>5</v>
      </c>
      <c r="AZ322" s="3">
        <f t="shared" si="162"/>
        <v>1</v>
      </c>
      <c r="BA322" s="3">
        <f>IF(ISERROR(LEN(VLOOKUP(A322,Seqs!A:E,2,FALSE))-AL322),"-",LEN(VLOOKUP(A322,Seqs!A:E,2,FALSE))-AL322)</f>
        <v>22</v>
      </c>
      <c r="BB322" s="16">
        <f t="shared" si="163"/>
        <v>28</v>
      </c>
      <c r="BC322" s="9" t="str">
        <f t="shared" si="164"/>
        <v>-</v>
      </c>
      <c r="BD322" s="3">
        <f t="shared" si="165"/>
        <v>28</v>
      </c>
      <c r="BE322" s="3">
        <f t="shared" si="166"/>
        <v>52</v>
      </c>
      <c r="BF322" s="3">
        <f>AH322-AE322</f>
        <v>28</v>
      </c>
    </row>
    <row r="323" spans="1:59" s="3" customFormat="1" x14ac:dyDescent="0.2">
      <c r="A323" s="3" t="s">
        <v>1185</v>
      </c>
      <c r="B323" s="3" t="str">
        <f>LOWER(VLOOKUP(A323,Xtal_Templ!A:B,2,FALSE))</f>
        <v>glp1r_human</v>
      </c>
      <c r="C323" s="3">
        <f>VLOOKUP($A323,'SegEnds_NonXtal_BW#'!$A:$Z,3,FALSE)+D323-50</f>
        <v>524</v>
      </c>
      <c r="D323" s="3">
        <v>551</v>
      </c>
      <c r="E323" s="3">
        <f>IF(ISERROR(VLOOKUP($A323,'SegEnds_NonXtal_BW#'!$A:$Z,4,FALSE)+VLOOKUP($A323,A:AL,4,FALSE)-50),"-",(VLOOKUP($A323,'SegEnds_NonXtal_BW#'!$A:$Z,4,FALSE)+VLOOKUP($A323,A:AL,4,FALSE)-50))</f>
        <v>561</v>
      </c>
      <c r="F323" s="3">
        <f>G323-2</f>
        <v>562</v>
      </c>
      <c r="G323" s="3">
        <v>564</v>
      </c>
      <c r="H323" s="3">
        <f t="shared" ref="H323:I325" si="178">G323+1</f>
        <v>565</v>
      </c>
      <c r="I323" s="3">
        <f t="shared" si="178"/>
        <v>566</v>
      </c>
      <c r="J323" s="3">
        <v>579</v>
      </c>
      <c r="K323" s="3">
        <f>VLOOKUP($A323,'SegEnds_NonXtal_BW#'!$A:$Z,8,FALSE)+VLOOKUP($A323,A:AL,10,FALSE)-50</f>
        <v>592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597</v>
      </c>
      <c r="P323" s="3">
        <v>624</v>
      </c>
      <c r="Q323" s="3">
        <f>VLOOKUP($A323,'SegEnds_NonXtal_BW#'!$A:$Z,12,FALSE)+VLOOKUP($A323,A:AL,16,FALSE)-50</f>
        <v>630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640</v>
      </c>
      <c r="V323" s="3">
        <v>652</v>
      </c>
      <c r="W323" s="3">
        <f>IF(ISERROR(VLOOKUP($A323,'SegEnds_NonXtal_BW#'!$A:$Z,16,FALSE)+VLOOKUP($A323,A:AL,22,FALSE)-50),"-",(VLOOKUP($A323,'SegEnds_NonXtal_BW#'!$A:$Z,16,FALSE)+VLOOKUP($A323,A:AL,22,FALSE)-50))</f>
        <v>670</v>
      </c>
      <c r="X323" s="3">
        <f>IF(ISERROR(VLOOKUP($A323,'SegEnds_NonXtal_BW#'!$A:$Z,17,FALSE)+VLOOKUP($A323,A:AL,25,FALSE)-50),"-",(VLOOKUP($A323,'SegEnds_NonXtal_BW#'!$A:$Z,17,FALSE)+VLOOKUP($A323,A:AL,25,FALSE)-50))</f>
        <v>676</v>
      </c>
      <c r="Y323" s="3">
        <v>676</v>
      </c>
      <c r="Z323" s="3">
        <f t="shared" si="176"/>
        <v>678</v>
      </c>
      <c r="AA323" s="3">
        <f>IF(ISERROR(VLOOKUP($A323,'SegEnds_NonXtal_BW#'!$A:$Z,19,FALSE)+VLOOKUP($A323,A:AL,28,FALSE)-50),"-",(VLOOKUP($A323,'SegEnds_NonXtal_BW#'!$A:$Z,19,FALSE)+VLOOKUP($A323,A:AL,28,FALSE)-50))</f>
        <v>681</v>
      </c>
      <c r="AB323" s="3">
        <v>695</v>
      </c>
      <c r="AC323" s="3">
        <f>IF(ISERROR((VLOOKUP($A323,'SegEnds_NonXtal_BW#'!$A:$Z,20,FALSE)+VLOOKUP($A323,A:AL,28,FALSE)-50)),"-",(VLOOKUP($A323,'SegEnds_NonXtal_BW#'!$A:$Z,20,FALSE)+VLOOKUP($A323,A:AL,28,FALSE)-50))</f>
        <v>714</v>
      </c>
      <c r="AD323" s="3">
        <f>IF(ISERROR(VLOOKUP($A323,'SegEnds_NonXtal_BW#'!$A:$Z,21,FALSE)+VLOOKUP($A323,A:AL,31,FALSE)-50),"-",(VLOOKUP($A323,'SegEnds_NonXtal_BW#'!$A:$Z,21,FALSE)+VLOOKUP($A323,A:AL,31,FALSE)-50))</f>
        <v>726</v>
      </c>
      <c r="AE323" s="3">
        <v>747</v>
      </c>
      <c r="AF323" s="3">
        <f>IF(ISERROR((VLOOKUP($A323,'SegEnds_NonXtal_BW#'!$A:$Z,22,FALSE)+VLOOKUP($A323,A:AL,31,FALSE)-50)),"-",(VLOOKUP($A323,'SegEnds_NonXtal_BW#'!$A:$Z,22,FALSE)+VLOOKUP($A323,A:AL,31,FALSE)-50))</f>
        <v>750</v>
      </c>
      <c r="AG323" s="3">
        <f>IF(ISERROR(VLOOKUP($A323,'SegEnds_NonXtal_BW#'!$A:$Z,23,FALSE)+VLOOKUP($A323,A:AL,34,FALSE)-50),"-",(VLOOKUP($A323,'SegEnds_NonXtal_BW#'!$A:$Z,23,FALSE)+VLOOKUP($A323,A:AL,34,FALSE)-50))</f>
        <v>756</v>
      </c>
      <c r="AH323" s="3">
        <v>775</v>
      </c>
      <c r="AI323" s="3">
        <f>IF(ISERROR((VLOOKUP($A323,'SegEnds_NonXtal_BW#'!$A:$Z,24,FALSE)+VLOOKUP($A323,A:AL,34,FALSE)-50)),"-",(VLOOKUP($A323,'SegEnds_NonXtal_BW#'!$A:$Z,24,FALSE)+VLOOKUP($A323,A:AL,34,FALSE)-50))</f>
        <v>781</v>
      </c>
      <c r="AJ323" s="3">
        <f>IF(ISERROR(VLOOKUP($A323,'SegEnds_NonXtal_BW#'!$A:$Z,25,FALSE)+VLOOKUP($A323,A:AL,37,FALSE)-50),"-",(VLOOKUP($A323,'SegEnds_NonXtal_BW#'!$A:$Z,25,FALSE)+VLOOKUP($A323,A:AL,37,FALSE)-50))</f>
        <v>782</v>
      </c>
      <c r="AK323" s="3">
        <v>785</v>
      </c>
      <c r="AL323" s="3">
        <f>IF(ISERROR((VLOOKUP($A323,'SegEnds_NonXtal_BW#'!$A:$Z,26,FALSE)+VLOOKUP($A323,A:AL,37,FALSE)-50)),"-",(VLOOKUP($A323,'SegEnds_NonXtal_BW#'!$A:$Z,26,FALSE)+VLOOKUP($A323,A:AL,37,FALSE)-50))</f>
        <v>798</v>
      </c>
      <c r="AM323" s="28" t="str">
        <f>VLOOKUP(A323,Classification!A:B,2,FALSE)</f>
        <v>B2</v>
      </c>
      <c r="AN323" s="28" t="b">
        <f t="shared" si="167"/>
        <v>1</v>
      </c>
      <c r="AO323" s="3" t="str">
        <f>IF(ISERROR(MATCH(A323,'SegEnds_Xtal_Prot#'!B:B, 0)), "NoXtal", "Xtal")</f>
        <v>NoXtal</v>
      </c>
      <c r="AP323" s="3">
        <f t="shared" si="152"/>
        <v>1</v>
      </c>
      <c r="AQ323" s="3">
        <f t="shared" si="153"/>
        <v>1</v>
      </c>
      <c r="AR323" s="3" t="str">
        <f t="shared" si="154"/>
        <v>-</v>
      </c>
      <c r="AS323" s="3" t="str">
        <f t="shared" si="155"/>
        <v>-</v>
      </c>
      <c r="AT323" s="3" t="str">
        <f t="shared" si="156"/>
        <v>-</v>
      </c>
      <c r="AU323" s="3" t="str">
        <f t="shared" si="157"/>
        <v>-</v>
      </c>
      <c r="AV323" s="3">
        <f t="shared" si="158"/>
        <v>6</v>
      </c>
      <c r="AW323" s="3">
        <f t="shared" si="159"/>
        <v>3</v>
      </c>
      <c r="AX323" s="3">
        <f t="shared" si="160"/>
        <v>12</v>
      </c>
      <c r="AY323" s="3">
        <f t="shared" si="161"/>
        <v>6</v>
      </c>
      <c r="AZ323" s="3">
        <f t="shared" si="162"/>
        <v>1</v>
      </c>
      <c r="BA323" s="3">
        <f>IF(ISERROR(LEN(VLOOKUP(A323,Seqs!A:E,2,FALSE))-AL323),"-",LEN(VLOOKUP(A323,Seqs!A:E,2,FALSE))-AL323)</f>
        <v>25</v>
      </c>
      <c r="BB323" s="16">
        <f t="shared" si="163"/>
        <v>28</v>
      </c>
      <c r="BC323" s="9" t="str">
        <f t="shared" si="164"/>
        <v>-</v>
      </c>
      <c r="BD323" s="3">
        <f t="shared" si="165"/>
        <v>28</v>
      </c>
      <c r="BE323" s="3">
        <f t="shared" si="166"/>
        <v>52</v>
      </c>
      <c r="BF323" s="3">
        <f>AH323-AE323</f>
        <v>28</v>
      </c>
    </row>
    <row r="324" spans="1:59" s="3" customFormat="1" x14ac:dyDescent="0.2">
      <c r="A324" s="3" t="s">
        <v>1186</v>
      </c>
      <c r="B324" s="3" t="str">
        <f>LOWER(VLOOKUP(A324,Xtal_Templ!A:B,2,FALSE))</f>
        <v>crfr1_human</v>
      </c>
      <c r="C324" s="3">
        <f>VLOOKUP($A324,'SegEnds_NonXtal_BW#'!$A:$Z,3,FALSE)+D324-50</f>
        <v>344</v>
      </c>
      <c r="D324" s="3">
        <v>371</v>
      </c>
      <c r="E324" s="3">
        <f>IF(ISERROR(VLOOKUP($A324,'SegEnds_NonXtal_BW#'!$A:$Z,4,FALSE)+VLOOKUP($A324,A:AL,4,FALSE)-50),"-",(VLOOKUP($A324,'SegEnds_NonXtal_BW#'!$A:$Z,4,FALSE)+VLOOKUP($A324,A:AL,4,FALSE)-50))</f>
        <v>381</v>
      </c>
      <c r="F324" s="3">
        <f>G324-2</f>
        <v>382</v>
      </c>
      <c r="G324" s="3">
        <v>384</v>
      </c>
      <c r="H324" s="3">
        <f t="shared" si="178"/>
        <v>385</v>
      </c>
      <c r="I324" s="3">
        <f t="shared" si="178"/>
        <v>386</v>
      </c>
      <c r="J324" s="3">
        <v>399</v>
      </c>
      <c r="K324" s="3">
        <f>VLOOKUP($A324,'SegEnds_NonXtal_BW#'!$A:$Z,8,FALSE)+VLOOKUP($A324,A:AL,10,FALSE)-50</f>
        <v>412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417</v>
      </c>
      <c r="P324" s="3">
        <v>444</v>
      </c>
      <c r="Q324" s="3">
        <f>VLOOKUP($A324,'SegEnds_NonXtal_BW#'!$A:$Z,12,FALSE)+VLOOKUP($A324,A:AL,16,FALSE)-50</f>
        <v>450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462</v>
      </c>
      <c r="V324" s="3">
        <v>472</v>
      </c>
      <c r="W324" s="3">
        <f>IF(ISERROR(VLOOKUP($A324,'SegEnds_NonXtal_BW#'!$A:$Z,16,FALSE)+VLOOKUP($A324,A:AL,22,FALSE)-50),"-",(VLOOKUP($A324,'SegEnds_NonXtal_BW#'!$A:$Z,16,FALSE)+VLOOKUP($A324,A:AL,22,FALSE)-50))</f>
        <v>490</v>
      </c>
      <c r="X324" s="3">
        <f>IF(ISERROR(VLOOKUP($A324,'SegEnds_NonXtal_BW#'!$A:$Z,17,FALSE)+VLOOKUP($A324,A:AL,25,FALSE)-50),"-",(VLOOKUP($A324,'SegEnds_NonXtal_BW#'!$A:$Z,17,FALSE)+VLOOKUP($A324,A:AL,25,FALSE)-50))</f>
        <v>496</v>
      </c>
      <c r="Y324" s="3">
        <v>496</v>
      </c>
      <c r="Z324" s="3">
        <f t="shared" si="176"/>
        <v>498</v>
      </c>
      <c r="AA324" s="3">
        <f>IF(ISERROR(VLOOKUP($A324,'SegEnds_NonXtal_BW#'!$A:$Z,19,FALSE)+VLOOKUP($A324,A:AL,28,FALSE)-50),"-",(VLOOKUP($A324,'SegEnds_NonXtal_BW#'!$A:$Z,19,FALSE)+VLOOKUP($A324,A:AL,28,FALSE)-50))</f>
        <v>501</v>
      </c>
      <c r="AB324" s="3">
        <v>515</v>
      </c>
      <c r="AC324" s="3">
        <f>IF(ISERROR((VLOOKUP($A324,'SegEnds_NonXtal_BW#'!$A:$Z,20,FALSE)+VLOOKUP($A324,A:AL,28,FALSE)-50)),"-",(VLOOKUP($A324,'SegEnds_NonXtal_BW#'!$A:$Z,20,FALSE)+VLOOKUP($A324,A:AL,28,FALSE)-50))</f>
        <v>534</v>
      </c>
      <c r="AD324" s="3">
        <f>IF(ISERROR(VLOOKUP($A324,'SegEnds_NonXtal_BW#'!$A:$Z,21,FALSE)+VLOOKUP($A324,A:AL,31,FALSE)-50),"-",(VLOOKUP($A324,'SegEnds_NonXtal_BW#'!$A:$Z,21,FALSE)+VLOOKUP($A324,A:AL,31,FALSE)-50))</f>
        <v>546</v>
      </c>
      <c r="AE324" s="3">
        <v>567</v>
      </c>
      <c r="AF324" s="3">
        <f>IF(ISERROR((VLOOKUP($A324,'SegEnds_NonXtal_BW#'!$A:$Z,22,FALSE)+VLOOKUP($A324,A:AL,31,FALSE)-50)),"-",(VLOOKUP($A324,'SegEnds_NonXtal_BW#'!$A:$Z,22,FALSE)+VLOOKUP($A324,A:AL,31,FALSE)-50))</f>
        <v>570</v>
      </c>
      <c r="AG324" s="3">
        <f>IF(ISERROR(VLOOKUP($A324,'SegEnds_NonXtal_BW#'!$A:$Z,23,FALSE)+VLOOKUP($A324,A:AL,34,FALSE)-50),"-",(VLOOKUP($A324,'SegEnds_NonXtal_BW#'!$A:$Z,23,FALSE)+VLOOKUP($A324,A:AL,34,FALSE)-50))</f>
        <v>576</v>
      </c>
      <c r="AH324" s="3">
        <v>595</v>
      </c>
      <c r="AI324" s="3">
        <f>IF(ISERROR((VLOOKUP($A324,'SegEnds_NonXtal_BW#'!$A:$Z,24,FALSE)+VLOOKUP($A324,A:AL,34,FALSE)-50)),"-",(VLOOKUP($A324,'SegEnds_NonXtal_BW#'!$A:$Z,24,FALSE)+VLOOKUP($A324,A:AL,34,FALSE)-50))</f>
        <v>601</v>
      </c>
      <c r="AJ324" s="3">
        <f>IF(ISERROR(VLOOKUP($A324,'SegEnds_NonXtal_BW#'!$A:$Z,25,FALSE)+VLOOKUP($A324,A:AL,37,FALSE)-50),"-",(VLOOKUP($A324,'SegEnds_NonXtal_BW#'!$A:$Z,25,FALSE)+VLOOKUP($A324,A:AL,37,FALSE)-50))</f>
        <v>602</v>
      </c>
      <c r="AK324" s="3">
        <v>605</v>
      </c>
      <c r="AL324" s="3">
        <f>IF(ISERROR((VLOOKUP($A324,'SegEnds_NonXtal_BW#'!$A:$Z,26,FALSE)+VLOOKUP($A324,A:AL,37,FALSE)-50)),"-",(VLOOKUP($A324,'SegEnds_NonXtal_BW#'!$A:$Z,26,FALSE)+VLOOKUP($A324,A:AL,37,FALSE)-50))</f>
        <v>618</v>
      </c>
      <c r="AM324" s="28" t="str">
        <f>VLOOKUP(A324,Classification!A:B,2,FALSE)</f>
        <v>B2</v>
      </c>
      <c r="AN324" s="28" t="b">
        <f t="shared" si="167"/>
        <v>1</v>
      </c>
      <c r="AO324" s="3" t="str">
        <f>IF(ISERROR(MATCH(A324,'SegEnds_Xtal_Prot#'!B:B, 0)), "NoXtal", "Xtal")</f>
        <v>NoXtal</v>
      </c>
      <c r="AP324" s="3">
        <f t="shared" si="152"/>
        <v>1</v>
      </c>
      <c r="AQ324" s="3">
        <f t="shared" si="153"/>
        <v>1</v>
      </c>
      <c r="AR324" s="3" t="str">
        <f t="shared" si="154"/>
        <v>-</v>
      </c>
      <c r="AS324" s="3" t="str">
        <f t="shared" si="155"/>
        <v>-</v>
      </c>
      <c r="AT324" s="3" t="str">
        <f t="shared" si="156"/>
        <v>-</v>
      </c>
      <c r="AU324" s="3" t="str">
        <f t="shared" si="157"/>
        <v>-</v>
      </c>
      <c r="AV324" s="3">
        <f t="shared" si="158"/>
        <v>6</v>
      </c>
      <c r="AW324" s="3">
        <f t="shared" si="159"/>
        <v>3</v>
      </c>
      <c r="AX324" s="3">
        <f t="shared" si="160"/>
        <v>12</v>
      </c>
      <c r="AY324" s="3">
        <f t="shared" si="161"/>
        <v>6</v>
      </c>
      <c r="AZ324" s="3">
        <f t="shared" si="162"/>
        <v>1</v>
      </c>
      <c r="BA324" s="3">
        <f>IF(ISERROR(LEN(VLOOKUP(A324,Seqs!A:E,2,FALSE))-AL324),"-",LEN(VLOOKUP(A324,Seqs!A:E,2,FALSE))-AL324)</f>
        <v>34</v>
      </c>
      <c r="BB324" s="16">
        <f t="shared" si="163"/>
        <v>28</v>
      </c>
      <c r="BC324" s="9" t="str">
        <f t="shared" si="164"/>
        <v>-</v>
      </c>
      <c r="BD324" s="3">
        <f t="shared" si="165"/>
        <v>28</v>
      </c>
      <c r="BE324" s="3">
        <f t="shared" si="166"/>
        <v>52</v>
      </c>
      <c r="BF324" s="3">
        <f>AH324-AE324</f>
        <v>28</v>
      </c>
    </row>
    <row r="325" spans="1:59" s="3" customFormat="1" x14ac:dyDescent="0.2">
      <c r="A325" s="3" t="s">
        <v>1187</v>
      </c>
      <c r="B325" s="3" t="str">
        <f>LOWER(VLOOKUP(A325,Xtal_Templ!A:B,2,FALSE))</f>
        <v>glp1r_human</v>
      </c>
      <c r="C325" s="3">
        <f>VLOOKUP($A325,'SegEnds_NonXtal_BW#'!$A:$Z,3,FALSE)+D325-50</f>
        <v>178</v>
      </c>
      <c r="D325" s="3">
        <v>205</v>
      </c>
      <c r="E325" s="3">
        <f>IF(ISERROR(VLOOKUP($A325,'SegEnds_NonXtal_BW#'!$A:$Z,4,FALSE)+VLOOKUP($A325,A:AL,4,FALSE)-50),"-",(VLOOKUP($A325,'SegEnds_NonXtal_BW#'!$A:$Z,4,FALSE)+VLOOKUP($A325,A:AL,4,FALSE)-50))</f>
        <v>215</v>
      </c>
      <c r="F325" s="3">
        <f>G325-2</f>
        <v>216</v>
      </c>
      <c r="G325" s="3">
        <v>218</v>
      </c>
      <c r="H325" s="3">
        <f t="shared" si="178"/>
        <v>219</v>
      </c>
      <c r="I325" s="3">
        <f t="shared" si="178"/>
        <v>220</v>
      </c>
      <c r="J325" s="3">
        <v>233</v>
      </c>
      <c r="K325" s="3">
        <f>VLOOKUP($A325,'SegEnds_NonXtal_BW#'!$A:$Z,8,FALSE)+VLOOKUP($A325,A:AL,10,FALSE)-50</f>
        <v>246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251</v>
      </c>
      <c r="P325" s="3">
        <v>278</v>
      </c>
      <c r="Q325" s="3">
        <f>VLOOKUP($A325,'SegEnds_NonXtal_BW#'!$A:$Z,12,FALSE)+VLOOKUP($A325,A:AL,16,FALSE)-50</f>
        <v>284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294</v>
      </c>
      <c r="V325" s="3">
        <v>306</v>
      </c>
      <c r="W325" s="3">
        <f>IF(ISERROR(VLOOKUP($A325,'SegEnds_NonXtal_BW#'!$A:$Z,16,FALSE)+VLOOKUP($A325,A:AL,22,FALSE)-50),"-",(VLOOKUP($A325,'SegEnds_NonXtal_BW#'!$A:$Z,16,FALSE)+VLOOKUP($A325,A:AL,22,FALSE)-50))</f>
        <v>324</v>
      </c>
      <c r="X325" s="3">
        <f>IF(ISERROR(VLOOKUP($A325,'SegEnds_NonXtal_BW#'!$A:$Z,17,FALSE)+VLOOKUP($A325,A:AL,25,FALSE)-50),"-",(VLOOKUP($A325,'SegEnds_NonXtal_BW#'!$A:$Z,17,FALSE)+VLOOKUP($A325,A:AL,25,FALSE)-50))</f>
        <v>329</v>
      </c>
      <c r="Y325" s="3">
        <v>329</v>
      </c>
      <c r="Z325" s="3">
        <f t="shared" ref="Z325:Z350" si="179">Y325+2</f>
        <v>331</v>
      </c>
      <c r="AA325" s="3">
        <f>IF(ISERROR(VLOOKUP($A325,'SegEnds_NonXtal_BW#'!$A:$Z,19,FALSE)+VLOOKUP($A325,A:AL,28,FALSE)-50),"-",(VLOOKUP($A325,'SegEnds_NonXtal_BW#'!$A:$Z,19,FALSE)+VLOOKUP($A325,A:AL,28,FALSE)-50))</f>
        <v>334</v>
      </c>
      <c r="AB325" s="3">
        <v>348</v>
      </c>
      <c r="AC325" s="3">
        <f>IF(ISERROR((VLOOKUP($A325,'SegEnds_NonXtal_BW#'!$A:$Z,20,FALSE)+VLOOKUP($A325,A:AL,28,FALSE)-50)),"-",(VLOOKUP($A325,'SegEnds_NonXtal_BW#'!$A:$Z,20,FALSE)+VLOOKUP($A325,A:AL,28,FALSE)-50))</f>
        <v>367</v>
      </c>
      <c r="AD325" s="3">
        <f>IF(ISERROR(VLOOKUP($A325,'SegEnds_NonXtal_BW#'!$A:$Z,21,FALSE)+VLOOKUP($A325,A:AL,31,FALSE)-50),"-",(VLOOKUP($A325,'SegEnds_NonXtal_BW#'!$A:$Z,21,FALSE)+VLOOKUP($A325,A:AL,31,FALSE)-50))</f>
        <v>379</v>
      </c>
      <c r="AE325" s="3">
        <v>400</v>
      </c>
      <c r="AF325" s="3">
        <f>IF(ISERROR((VLOOKUP($A325,'SegEnds_NonXtal_BW#'!$A:$Z,22,FALSE)+VLOOKUP($A325,A:AL,31,FALSE)-50)),"-",(VLOOKUP($A325,'SegEnds_NonXtal_BW#'!$A:$Z,22,FALSE)+VLOOKUP($A325,A:AL,31,FALSE)-50))</f>
        <v>403</v>
      </c>
      <c r="AG325" s="3">
        <f>IF(ISERROR(VLOOKUP($A325,'SegEnds_NonXtal_BW#'!$A:$Z,23,FALSE)+VLOOKUP($A325,A:AL,34,FALSE)-50),"-",(VLOOKUP($A325,'SegEnds_NonXtal_BW#'!$A:$Z,23,FALSE)+VLOOKUP($A325,A:AL,34,FALSE)-50))</f>
        <v>410</v>
      </c>
      <c r="AH325" s="3">
        <v>432</v>
      </c>
      <c r="AI325" s="3">
        <f>IF(ISERROR((VLOOKUP($A325,'SegEnds_NonXtal_BW#'!$A:$Z,24,FALSE)+VLOOKUP($A325,A:AL,34,FALSE)-50)),"-",(VLOOKUP($A325,'SegEnds_NonXtal_BW#'!$A:$Z,24,FALSE)+VLOOKUP($A325,A:AL,34,FALSE)-50))</f>
        <v>438</v>
      </c>
      <c r="AJ325" s="3">
        <f>IF(ISERROR(VLOOKUP($A325,'SegEnds_NonXtal_BW#'!$A:$Z,25,FALSE)+VLOOKUP($A325,A:AL,37,FALSE)-50),"-",(VLOOKUP($A325,'SegEnds_NonXtal_BW#'!$A:$Z,25,FALSE)+VLOOKUP($A325,A:AL,37,FALSE)-50))</f>
        <v>439</v>
      </c>
      <c r="AK325" s="3">
        <v>442</v>
      </c>
      <c r="AL325" s="3">
        <f>IF(ISERROR((VLOOKUP($A325,'SegEnds_NonXtal_BW#'!$A:$Z,26,FALSE)+VLOOKUP($A325,A:AL,37,FALSE)-50)),"-",(VLOOKUP($A325,'SegEnds_NonXtal_BW#'!$A:$Z,26,FALSE)+VLOOKUP($A325,A:AL,37,FALSE)-50))</f>
        <v>455</v>
      </c>
      <c r="AM325" s="28" t="str">
        <f>VLOOKUP(A325,Classification!A:B,2,FALSE)</f>
        <v>B2</v>
      </c>
      <c r="AN325" s="28" t="b">
        <f t="shared" si="167"/>
        <v>1</v>
      </c>
      <c r="AO325" s="3" t="str">
        <f>IF(ISERROR(MATCH(A325,'SegEnds_Xtal_Prot#'!B:B, 0)), "NoXtal", "Xtal")</f>
        <v>NoXtal</v>
      </c>
      <c r="AP325" s="3">
        <f t="shared" ref="AP325:AP389" si="180">IF(ISERROR(F325-E325),"-",F325-E325)</f>
        <v>1</v>
      </c>
      <c r="AQ325" s="3">
        <f t="shared" ref="AQ325:AQ389" si="181">IF(ISERROR(I325-H325),"-",I325-H325)</f>
        <v>1</v>
      </c>
      <c r="AR325" s="3" t="str">
        <f t="shared" ref="AR325:AR389" si="182">IF(ISERROR(L325-K325),"-",L325-K325)</f>
        <v>-</v>
      </c>
      <c r="AS325" s="3" t="str">
        <f t="shared" ref="AS325:AS389" si="183">IF(ISERROR(O325-N325),"-",O325-N325)</f>
        <v>-</v>
      </c>
      <c r="AT325" s="3" t="str">
        <f t="shared" ref="AT325:AT389" si="184">IF(ISERROR(R325-Q325),"-",R325-Q325)</f>
        <v>-</v>
      </c>
      <c r="AU325" s="3" t="str">
        <f t="shared" ref="AU325:AU389" si="185">IF(ISERROR(U325-T325),"-",U325-T325)</f>
        <v>-</v>
      </c>
      <c r="AV325" s="3">
        <f t="shared" ref="AV325:AV389" si="186">IF(ISERROR(X325-W325),"-",X325-W325)</f>
        <v>5</v>
      </c>
      <c r="AW325" s="3">
        <f t="shared" ref="AW325:AW389" si="187">IF(ISERROR(AA325-Z325),"-",AA325-Z325)</f>
        <v>3</v>
      </c>
      <c r="AX325" s="3">
        <f t="shared" ref="AX325:AX389" si="188">IF(ISERROR(AD325-AC325),"-",AD325-AC325)</f>
        <v>12</v>
      </c>
      <c r="AY325" s="3">
        <f t="shared" ref="AY325:AY389" si="189">IF(ISERROR(AG325-AF325),"-",AG325-AF325)</f>
        <v>7</v>
      </c>
      <c r="AZ325" s="3">
        <f t="shared" ref="AZ325:AZ389" si="190">IF(ISERROR(AJ325-AI325),"-",AJ325-AI325)</f>
        <v>1</v>
      </c>
      <c r="BA325" s="3">
        <f>IF(ISERROR(LEN(VLOOKUP(A325,Seqs!A:E,2,FALSE))-AL325),"-",LEN(VLOOKUP(A325,Seqs!A:E,2,FALSE))-AL325)</f>
        <v>2</v>
      </c>
      <c r="BB325" s="16">
        <f t="shared" ref="BB325:BB389" si="191">J325-D325</f>
        <v>28</v>
      </c>
      <c r="BC325" s="9" t="str">
        <f t="shared" ref="BC325:BC389" si="192">IF(ISERROR(V325-S325),"-",V325-S325)</f>
        <v>-</v>
      </c>
      <c r="BD325" s="3">
        <f t="shared" ref="BD325:BD389" si="193">J325-D325</f>
        <v>28</v>
      </c>
      <c r="BE325" s="3">
        <f t="shared" ref="BE325:BE389" si="194">AE325-AB325</f>
        <v>52</v>
      </c>
      <c r="BF325" s="3">
        <f>AH325-AE325</f>
        <v>32</v>
      </c>
    </row>
    <row r="326" spans="1:59" s="3" customFormat="1" x14ac:dyDescent="0.2">
      <c r="A326" s="3" t="s">
        <v>1188</v>
      </c>
      <c r="B326" s="3" t="str">
        <f>LOWER(VLOOKUP(A326,Xtal_Templ!A:B,2,FALSE))</f>
        <v>pth1r_human</v>
      </c>
      <c r="C326" s="3">
        <f>VLOOKUP($A326,'SegEnds_NonXtal_BW#'!$A:$Z,3,FALSE)+D326-50</f>
        <v>573</v>
      </c>
      <c r="D326" s="3">
        <v>600</v>
      </c>
      <c r="E326" s="3">
        <f>IF(ISERROR(VLOOKUP($A326,'SegEnds_NonXtal_BW#'!$A:$Z,4,FALSE)+VLOOKUP($A326,A:AL,4,FALSE)-50),"-",(VLOOKUP($A326,'SegEnds_NonXtal_BW#'!$A:$Z,4,FALSE)+VLOOKUP($A326,A:AL,4,FALSE)-50))</f>
        <v>610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618</v>
      </c>
      <c r="J326" s="3">
        <v>631</v>
      </c>
      <c r="K326" s="3">
        <f>VLOOKUP($A326,'SegEnds_NonXtal_BW#'!$A:$Z,8,FALSE)+VLOOKUP($A326,A:AL,10,FALSE)-50</f>
        <v>644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655</v>
      </c>
      <c r="P326" s="3">
        <v>682</v>
      </c>
      <c r="Q326" s="3">
        <f>VLOOKUP($A326,'SegEnds_NonXtal_BW#'!$A:$Z,12,FALSE)+VLOOKUP($A326,A:AL,16,FALSE)-50</f>
        <v>688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694</v>
      </c>
      <c r="V326" s="3">
        <v>707</v>
      </c>
      <c r="W326" s="3">
        <f>IF(ISERROR(VLOOKUP($A326,'SegEnds_NonXtal_BW#'!$A:$Z,16,FALSE)+VLOOKUP($A326,A:AL,22,FALSE)-50),"-",(VLOOKUP($A326,'SegEnds_NonXtal_BW#'!$A:$Z,16,FALSE)+VLOOKUP($A326,A:AL,22,FALSE)-50))</f>
        <v>725</v>
      </c>
      <c r="X326" s="3">
        <f>IF(ISERROR(VLOOKUP($A326,'SegEnds_NonXtal_BW#'!$A:$Z,17,FALSE)+VLOOKUP($A326,A:AL,25,FALSE)-50),"-",(VLOOKUP($A326,'SegEnds_NonXtal_BW#'!$A:$Z,17,FALSE)+VLOOKUP($A326,A:AL,25,FALSE)-50))</f>
        <v>733</v>
      </c>
      <c r="Y326" s="3">
        <v>733</v>
      </c>
      <c r="Z326" s="3">
        <f t="shared" si="179"/>
        <v>735</v>
      </c>
      <c r="AA326" s="3">
        <f>IF(ISERROR(VLOOKUP($A326,'SegEnds_NonXtal_BW#'!$A:$Z,19,FALSE)+VLOOKUP($A326,A:AL,28,FALSE)-50),"-",(VLOOKUP($A326,'SegEnds_NonXtal_BW#'!$A:$Z,19,FALSE)+VLOOKUP($A326,A:AL,28,FALSE)-50))</f>
        <v>740</v>
      </c>
      <c r="AB326" s="3">
        <v>754</v>
      </c>
      <c r="AC326" s="3">
        <f>IF(ISERROR((VLOOKUP($A326,'SegEnds_NonXtal_BW#'!$A:$Z,20,FALSE)+VLOOKUP($A326,A:AL,28,FALSE)-50)),"-",(VLOOKUP($A326,'SegEnds_NonXtal_BW#'!$A:$Z,20,FALSE)+VLOOKUP($A326,A:AL,28,FALSE)-50))</f>
        <v>773</v>
      </c>
      <c r="AD326" s="3">
        <f>IF(ISERROR(VLOOKUP($A326,'SegEnds_NonXtal_BW#'!$A:$Z,21,FALSE)+VLOOKUP($A326,A:AL,31,FALSE)-50),"-",(VLOOKUP($A326,'SegEnds_NonXtal_BW#'!$A:$Z,21,FALSE)+VLOOKUP($A326,A:AL,31,FALSE)-50))</f>
        <v>785</v>
      </c>
      <c r="AE326" s="3">
        <v>806</v>
      </c>
      <c r="AF326" s="3">
        <f>IF(ISERROR((VLOOKUP($A326,'SegEnds_NonXtal_BW#'!$A:$Z,22,FALSE)+VLOOKUP($A326,A:AL,31,FALSE)-50)),"-",(VLOOKUP($A326,'SegEnds_NonXtal_BW#'!$A:$Z,22,FALSE)+VLOOKUP($A326,A:AL,31,FALSE)-50))</f>
        <v>810</v>
      </c>
      <c r="AG326" s="3">
        <f>IF(ISERROR(VLOOKUP($A326,'SegEnds_NonXtal_BW#'!$A:$Z,23,FALSE)+VLOOKUP($A326,A:AL,34,FALSE)-50),"-",(VLOOKUP($A326,'SegEnds_NonXtal_BW#'!$A:$Z,23,FALSE)+VLOOKUP($A326,A:AL,34,FALSE)-50))</f>
        <v>816</v>
      </c>
      <c r="AH326" s="3">
        <v>835</v>
      </c>
      <c r="AI326" s="3">
        <f>IF(ISERROR((VLOOKUP($A326,'SegEnds_NonXtal_BW#'!$A:$Z,24,FALSE)+VLOOKUP($A326,A:AL,34,FALSE)-50)),"-",(VLOOKUP($A326,'SegEnds_NonXtal_BW#'!$A:$Z,24,FALSE)+VLOOKUP($A326,A:AL,34,FALSE)-50))</f>
        <v>841</v>
      </c>
      <c r="AJ326" s="3">
        <f>IF(ISERROR(VLOOKUP($A326,'SegEnds_NonXtal_BW#'!$A:$Z,25,FALSE)+VLOOKUP($A326,A:AL,37,FALSE)-50),"-",(VLOOKUP($A326,'SegEnds_NonXtal_BW#'!$A:$Z,25,FALSE)+VLOOKUP($A326,A:AL,37,FALSE)-50))</f>
        <v>842</v>
      </c>
      <c r="AK326" s="3">
        <v>845</v>
      </c>
      <c r="AL326" s="3">
        <f>IF(ISERROR((VLOOKUP($A326,'SegEnds_NonXtal_BW#'!$A:$Z,26,FALSE)+VLOOKUP($A326,A:AL,37,FALSE)-50)),"-",(VLOOKUP($A326,'SegEnds_NonXtal_BW#'!$A:$Z,26,FALSE)+VLOOKUP($A326,A:AL,37,FALSE)-50))</f>
        <v>858</v>
      </c>
      <c r="AM326" s="28" t="str">
        <f>VLOOKUP(A326,Classification!A:B,2,FALSE)</f>
        <v>B2</v>
      </c>
      <c r="AN326" s="28" t="b">
        <f t="shared" ref="AN326:AN390" si="195">AND(IF(Y326="-",IF(AA326-W326&gt;3,TRUE,FALSE),TRUE),IF(M326="-",IF(O326-K326&gt;3,TRUE,FALSE),TRUE),IF(AG326-AF326&gt;1,TRUE,FALS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 t="str">
        <f t="shared" si="180"/>
        <v>-</v>
      </c>
      <c r="AQ326" s="3" t="str">
        <f t="shared" si="181"/>
        <v>-</v>
      </c>
      <c r="AR326" s="3" t="str">
        <f t="shared" si="182"/>
        <v>-</v>
      </c>
      <c r="AS326" s="3" t="str">
        <f t="shared" si="183"/>
        <v>-</v>
      </c>
      <c r="AT326" s="3" t="str">
        <f t="shared" si="184"/>
        <v>-</v>
      </c>
      <c r="AU326" s="3" t="str">
        <f t="shared" si="185"/>
        <v>-</v>
      </c>
      <c r="AV326" s="3">
        <f t="shared" si="186"/>
        <v>8</v>
      </c>
      <c r="AW326" s="3">
        <f t="shared" si="187"/>
        <v>5</v>
      </c>
      <c r="AX326" s="3">
        <f t="shared" si="188"/>
        <v>12</v>
      </c>
      <c r="AY326" s="3">
        <f t="shared" si="189"/>
        <v>6</v>
      </c>
      <c r="AZ326" s="3">
        <f t="shared" si="190"/>
        <v>1</v>
      </c>
      <c r="BA326" s="3">
        <f>IF(ISERROR(LEN(VLOOKUP(A326,Seqs!A:E,2,FALSE))-AL326),"-",LEN(VLOOKUP(A326,Seqs!A:E,2,FALSE))-AL326)</f>
        <v>52</v>
      </c>
      <c r="BB326" s="16">
        <f t="shared" si="191"/>
        <v>31</v>
      </c>
      <c r="BC326" s="9" t="str">
        <f t="shared" si="192"/>
        <v>-</v>
      </c>
      <c r="BD326" s="3">
        <f t="shared" si="193"/>
        <v>31</v>
      </c>
      <c r="BE326" s="3">
        <f t="shared" si="194"/>
        <v>52</v>
      </c>
    </row>
    <row r="327" spans="1:59" s="3" customFormat="1" x14ac:dyDescent="0.2">
      <c r="A327" s="3" t="s">
        <v>1189</v>
      </c>
      <c r="B327" s="3" t="str">
        <f>LOWER(VLOOKUP(A327,Xtal_Templ!A:B,2,FALSE))</f>
        <v>calrl_human</v>
      </c>
      <c r="C327" s="3">
        <f>VLOOKUP($A327,'SegEnds_NonXtal_BW#'!$A:$Z,3,FALSE)+D327-50</f>
        <v>434</v>
      </c>
      <c r="D327" s="3">
        <v>461</v>
      </c>
      <c r="E327" s="3">
        <f>IF(ISERROR(VLOOKUP($A327,'SegEnds_NonXtal_BW#'!$A:$Z,4,FALSE)+VLOOKUP($A327,A:AL,4,FALSE)-50),"-",(VLOOKUP($A327,'SegEnds_NonXtal_BW#'!$A:$Z,4,FALSE)+VLOOKUP($A327,A:AL,4,FALSE)-50))</f>
        <v>471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479</v>
      </c>
      <c r="J327" s="3">
        <v>492</v>
      </c>
      <c r="K327" s="3">
        <f>VLOOKUP($A327,'SegEnds_NonXtal_BW#'!$A:$Z,8,FALSE)+VLOOKUP($A327,A:AL,10,FALSE)-50</f>
        <v>505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516</v>
      </c>
      <c r="P327" s="3">
        <v>543</v>
      </c>
      <c r="Q327" s="3">
        <f>VLOOKUP($A327,'SegEnds_NonXtal_BW#'!$A:$Z,12,FALSE)+VLOOKUP($A327,A:AL,16,FALSE)-50</f>
        <v>549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559</v>
      </c>
      <c r="V327" s="3">
        <v>568</v>
      </c>
      <c r="W327" s="3">
        <f>IF(ISERROR(VLOOKUP($A327,'SegEnds_NonXtal_BW#'!$A:$Z,16,FALSE)+VLOOKUP($A327,A:AL,22,FALSE)-50),"-",(VLOOKUP($A327,'SegEnds_NonXtal_BW#'!$A:$Z,16,FALSE)+VLOOKUP($A327,A:AL,22,FALSE)-50))</f>
        <v>585</v>
      </c>
      <c r="X327" s="3">
        <f>IF(ISERROR(VLOOKUP($A327,'SegEnds_NonXtal_BW#'!$A:$Z,17,FALSE)+VLOOKUP($A327,A:AL,25,FALSE)-50),"-",(VLOOKUP($A327,'SegEnds_NonXtal_BW#'!$A:$Z,17,FALSE)+VLOOKUP($A327,A:AL,25,FALSE)-50))</f>
        <v>594</v>
      </c>
      <c r="Y327" s="3">
        <v>594</v>
      </c>
      <c r="Z327" s="3">
        <f t="shared" si="179"/>
        <v>596</v>
      </c>
      <c r="AA327" s="3">
        <f>IF(ISERROR(VLOOKUP($A327,'SegEnds_NonXtal_BW#'!$A:$Z,19,FALSE)+VLOOKUP($A327,A:AL,28,FALSE)-50),"-",(VLOOKUP($A327,'SegEnds_NonXtal_BW#'!$A:$Z,19,FALSE)+VLOOKUP($A327,A:AL,28,FALSE)-50))</f>
        <v>600</v>
      </c>
      <c r="AB327" s="3">
        <v>614</v>
      </c>
      <c r="AC327" s="3">
        <f>IF(ISERROR((VLOOKUP($A327,'SegEnds_NonXtal_BW#'!$A:$Z,20,FALSE)+VLOOKUP($A327,A:AL,28,FALSE)-50)),"-",(VLOOKUP($A327,'SegEnds_NonXtal_BW#'!$A:$Z,20,FALSE)+VLOOKUP($A327,A:AL,28,FALSE)-50))</f>
        <v>633</v>
      </c>
      <c r="AD327" s="3">
        <f>IF(ISERROR(VLOOKUP($A327,'SegEnds_NonXtal_BW#'!$A:$Z,21,FALSE)+VLOOKUP($A327,A:AL,31,FALSE)-50),"-",(VLOOKUP($A327,'SegEnds_NonXtal_BW#'!$A:$Z,21,FALSE)+VLOOKUP($A327,A:AL,31,FALSE)-50))</f>
        <v>650</v>
      </c>
      <c r="AE327" s="3">
        <v>671</v>
      </c>
      <c r="AF327" s="3">
        <f>IF(ISERROR((VLOOKUP($A327,'SegEnds_NonXtal_BW#'!$A:$Z,22,FALSE)+VLOOKUP($A327,A:AL,31,FALSE)-50)),"-",(VLOOKUP($A327,'SegEnds_NonXtal_BW#'!$A:$Z,22,FALSE)+VLOOKUP($A327,A:AL,31,FALSE)-50))</f>
        <v>671</v>
      </c>
      <c r="AG327" s="3">
        <f>IF(ISERROR(VLOOKUP($A327,'SegEnds_NonXtal_BW#'!$A:$Z,23,FALSE)+VLOOKUP($A327,A:AL,34,FALSE)-50),"-",(VLOOKUP($A327,'SegEnds_NonXtal_BW#'!$A:$Z,23,FALSE)+VLOOKUP($A327,A:AL,34,FALSE)-50))</f>
        <v>675</v>
      </c>
      <c r="AH327" s="3">
        <v>694</v>
      </c>
      <c r="AI327" s="3">
        <f>IF(ISERROR((VLOOKUP($A327,'SegEnds_NonXtal_BW#'!$A:$Z,24,FALSE)+VLOOKUP($A327,A:AL,34,FALSE)-50)),"-",(VLOOKUP($A327,'SegEnds_NonXtal_BW#'!$A:$Z,24,FALSE)+VLOOKUP($A327,A:AL,34,FALSE)-50))</f>
        <v>700</v>
      </c>
      <c r="AJ327" s="3" t="s">
        <v>23</v>
      </c>
      <c r="AK327" s="3" t="s">
        <v>23</v>
      </c>
      <c r="AL327" s="3" t="s">
        <v>23</v>
      </c>
      <c r="AM327" s="28" t="str">
        <f>VLOOKUP(A327,Classification!A:B,2,FALSE)</f>
        <v>B2</v>
      </c>
      <c r="AN327" s="28" t="b">
        <f t="shared" si="195"/>
        <v>1</v>
      </c>
      <c r="AO327" s="3" t="str">
        <f>IF(ISERROR(MATCH(A327,'SegEnds_Xtal_Prot#'!B:B, 0)), "NoXtal", "Xtal")</f>
        <v>NoXtal</v>
      </c>
      <c r="AP327" s="3" t="str">
        <f t="shared" si="180"/>
        <v>-</v>
      </c>
      <c r="AQ327" s="3" t="str">
        <f t="shared" si="181"/>
        <v>-</v>
      </c>
      <c r="AR327" s="3" t="str">
        <f t="shared" si="182"/>
        <v>-</v>
      </c>
      <c r="AS327" s="3" t="str">
        <f t="shared" si="183"/>
        <v>-</v>
      </c>
      <c r="AT327" s="3" t="str">
        <f t="shared" si="184"/>
        <v>-</v>
      </c>
      <c r="AU327" s="3" t="str">
        <f t="shared" si="185"/>
        <v>-</v>
      </c>
      <c r="AV327" s="3">
        <f t="shared" si="186"/>
        <v>9</v>
      </c>
      <c r="AW327" s="3">
        <f t="shared" si="187"/>
        <v>4</v>
      </c>
      <c r="AX327" s="3">
        <f t="shared" si="188"/>
        <v>17</v>
      </c>
      <c r="AY327" s="3">
        <f t="shared" si="189"/>
        <v>4</v>
      </c>
      <c r="AZ327" s="3" t="str">
        <f t="shared" si="190"/>
        <v>-</v>
      </c>
      <c r="BA327" s="3" t="str">
        <f>IF(ISERROR(LEN(VLOOKUP(A327,Seqs!A:E,2,FALSE))-AL327),"-",LEN(VLOOKUP(A327,Seqs!A:E,2,FALSE))-AL327)</f>
        <v>-</v>
      </c>
      <c r="BB327" s="16">
        <f t="shared" si="191"/>
        <v>31</v>
      </c>
      <c r="BC327" s="9" t="str">
        <f t="shared" si="192"/>
        <v>-</v>
      </c>
      <c r="BD327" s="3">
        <f t="shared" si="193"/>
        <v>31</v>
      </c>
      <c r="BE327" s="3">
        <f t="shared" si="194"/>
        <v>57</v>
      </c>
      <c r="BF327" s="3">
        <f>AH327-AE327</f>
        <v>23</v>
      </c>
      <c r="BG327" s="3" t="s">
        <v>1307</v>
      </c>
    </row>
    <row r="328" spans="1:59" s="3" customFormat="1" x14ac:dyDescent="0.2">
      <c r="A328" s="3" t="s">
        <v>1190</v>
      </c>
      <c r="B328" s="3" t="str">
        <f>LOWER(VLOOKUP(A328,Xtal_Templ!A:B,2,FALSE))</f>
        <v>calrl_human</v>
      </c>
      <c r="C328" s="3">
        <f>VLOOKUP($A328,'SegEnds_NonXtal_BW#'!$A:$Z,3,FALSE)+D328-50</f>
        <v>758</v>
      </c>
      <c r="D328" s="3">
        <v>785</v>
      </c>
      <c r="E328" s="3">
        <f>IF(ISERROR(VLOOKUP($A328,'SegEnds_NonXtal_BW#'!$A:$Z,4,FALSE)+VLOOKUP($A328,A:AL,4,FALSE)-50),"-",(VLOOKUP($A328,'SegEnds_NonXtal_BW#'!$A:$Z,4,FALSE)+VLOOKUP($A328,A:AL,4,FALSE)-50))</f>
        <v>795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803</v>
      </c>
      <c r="J328" s="3">
        <v>816</v>
      </c>
      <c r="K328" s="3">
        <f>VLOOKUP($A328,'SegEnds_NonXtal_BW#'!$A:$Z,8,FALSE)+VLOOKUP($A328,A:AL,10,FALSE)-50</f>
        <v>829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839</v>
      </c>
      <c r="P328" s="3">
        <v>866</v>
      </c>
      <c r="Q328" s="3">
        <f>VLOOKUP($A328,'SegEnds_NonXtal_BW#'!$A:$Z,12,FALSE)+VLOOKUP($A328,A:AL,16,FALSE)-50</f>
        <v>872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882</v>
      </c>
      <c r="V328" s="3">
        <v>891</v>
      </c>
      <c r="W328" s="3">
        <f>IF(ISERROR(VLOOKUP($A328,'SegEnds_NonXtal_BW#'!$A:$Z,16,FALSE)+VLOOKUP($A328,A:AL,22,FALSE)-50),"-",(VLOOKUP($A328,'SegEnds_NonXtal_BW#'!$A:$Z,16,FALSE)+VLOOKUP($A328,A:AL,22,FALSE)-50))</f>
        <v>908</v>
      </c>
      <c r="X328" s="3">
        <f>IF(ISERROR(VLOOKUP($A328,'SegEnds_NonXtal_BW#'!$A:$Z,17,FALSE)+VLOOKUP($A328,A:AL,25,FALSE)-50),"-",(VLOOKUP($A328,'SegEnds_NonXtal_BW#'!$A:$Z,17,FALSE)+VLOOKUP($A328,A:AL,25,FALSE)-50))</f>
        <v>917</v>
      </c>
      <c r="Y328" s="3">
        <v>917</v>
      </c>
      <c r="Z328" s="3">
        <f t="shared" si="179"/>
        <v>919</v>
      </c>
      <c r="AA328" s="3">
        <f>IF(ISERROR(VLOOKUP($A328,'SegEnds_NonXtal_BW#'!$A:$Z,19,FALSE)+VLOOKUP($A328,A:AL,28,FALSE)-50),"-",(VLOOKUP($A328,'SegEnds_NonXtal_BW#'!$A:$Z,19,FALSE)+VLOOKUP($A328,A:AL,28,FALSE)-50))</f>
        <v>922</v>
      </c>
      <c r="AB328" s="3">
        <v>936</v>
      </c>
      <c r="AC328" s="3">
        <f>IF(ISERROR((VLOOKUP($A328,'SegEnds_NonXtal_BW#'!$A:$Z,20,FALSE)+VLOOKUP($A328,A:AL,28,FALSE)-50)),"-",(VLOOKUP($A328,'SegEnds_NonXtal_BW#'!$A:$Z,20,FALSE)+VLOOKUP($A328,A:AL,28,FALSE)-50))</f>
        <v>955</v>
      </c>
      <c r="AD328" s="3">
        <f>IF(ISERROR(VLOOKUP($A328,'SegEnds_NonXtal_BW#'!$A:$Z,21,FALSE)+VLOOKUP($A328,A:AL,31,FALSE)-50),"-",(VLOOKUP($A328,'SegEnds_NonXtal_BW#'!$A:$Z,21,FALSE)+VLOOKUP($A328,A:AL,31,FALSE)-50))</f>
        <v>967</v>
      </c>
      <c r="AE328" s="3">
        <v>988</v>
      </c>
      <c r="AF328" s="3">
        <f>IF(ISERROR((VLOOKUP($A328,'SegEnds_NonXtal_BW#'!$A:$Z,22,FALSE)+VLOOKUP($A328,A:AL,31,FALSE)-50)),"-",(VLOOKUP($A328,'SegEnds_NonXtal_BW#'!$A:$Z,22,FALSE)+VLOOKUP($A328,A:AL,31,FALSE)-50))</f>
        <v>991</v>
      </c>
      <c r="AG328" s="3">
        <f>IF(ISERROR(VLOOKUP($A328,'SegEnds_NonXtal_BW#'!$A:$Z,23,FALSE)+VLOOKUP($A328,A:AL,34,FALSE)-50),"-",(VLOOKUP($A328,'SegEnds_NonXtal_BW#'!$A:$Z,23,FALSE)+VLOOKUP($A328,A:AL,34,FALSE)-50))</f>
        <v>998</v>
      </c>
      <c r="AH328" s="3">
        <v>1017</v>
      </c>
      <c r="AI328" s="3">
        <f>IF(ISERROR((VLOOKUP($A328,'SegEnds_NonXtal_BW#'!$A:$Z,24,FALSE)+VLOOKUP($A328,A:AL,34,FALSE)-50)),"-",(VLOOKUP($A328,'SegEnds_NonXtal_BW#'!$A:$Z,24,FALSE)+VLOOKUP($A328,A:AL,34,FALSE)-50))</f>
        <v>1023</v>
      </c>
      <c r="AJ328" s="3">
        <f>IF(ISERROR(VLOOKUP($A328,'SegEnds_NonXtal_BW#'!$A:$Z,25,FALSE)+VLOOKUP($A328,A:AL,37,FALSE)-50),"-",(VLOOKUP($A328,'SegEnds_NonXtal_BW#'!$A:$Z,25,FALSE)+VLOOKUP($A328,A:AL,37,FALSE)-50))</f>
        <v>1024</v>
      </c>
      <c r="AK328" s="3">
        <v>1027</v>
      </c>
      <c r="AL328" s="3">
        <f>IF(ISERROR((VLOOKUP($A328,'SegEnds_NonXtal_BW#'!$A:$Z,26,FALSE)+VLOOKUP($A328,A:AL,37,FALSE)-50)),"-",(VLOOKUP($A328,'SegEnds_NonXtal_BW#'!$A:$Z,26,FALSE)+VLOOKUP($A328,A:AL,37,FALSE)-50))</f>
        <v>1040</v>
      </c>
      <c r="AM328" s="28" t="str">
        <f>VLOOKUP(A328,Classification!A:B,2,FALSE)</f>
        <v>B2</v>
      </c>
      <c r="AN328" s="28" t="b">
        <f t="shared" si="195"/>
        <v>1</v>
      </c>
      <c r="AO328" s="3" t="str">
        <f>IF(ISERROR(MATCH(A328,'SegEnds_Xtal_Prot#'!B:B, 0)), "NoXtal", "Xtal")</f>
        <v>NoXtal</v>
      </c>
      <c r="AP328" s="3" t="str">
        <f t="shared" si="180"/>
        <v>-</v>
      </c>
      <c r="AQ328" s="3" t="str">
        <f t="shared" si="181"/>
        <v>-</v>
      </c>
      <c r="AR328" s="3" t="str">
        <f t="shared" si="182"/>
        <v>-</v>
      </c>
      <c r="AS328" s="3" t="str">
        <f t="shared" si="183"/>
        <v>-</v>
      </c>
      <c r="AT328" s="3" t="str">
        <f t="shared" si="184"/>
        <v>-</v>
      </c>
      <c r="AU328" s="3" t="str">
        <f t="shared" si="185"/>
        <v>-</v>
      </c>
      <c r="AV328" s="3">
        <f t="shared" si="186"/>
        <v>9</v>
      </c>
      <c r="AW328" s="3">
        <f t="shared" si="187"/>
        <v>3</v>
      </c>
      <c r="AX328" s="3">
        <f t="shared" si="188"/>
        <v>12</v>
      </c>
      <c r="AY328" s="3">
        <f t="shared" si="189"/>
        <v>7</v>
      </c>
      <c r="AZ328" s="3">
        <f t="shared" si="190"/>
        <v>1</v>
      </c>
      <c r="BA328" s="3">
        <f>IF(ISERROR(LEN(VLOOKUP(A328,Seqs!A:E,2,FALSE))-AL328),"-",LEN(VLOOKUP(A328,Seqs!A:E,2,FALSE))-AL328)</f>
        <v>39</v>
      </c>
      <c r="BB328" s="16">
        <f t="shared" si="191"/>
        <v>31</v>
      </c>
      <c r="BC328" s="9" t="str">
        <f t="shared" si="192"/>
        <v>-</v>
      </c>
      <c r="BD328" s="3">
        <f t="shared" si="193"/>
        <v>31</v>
      </c>
      <c r="BE328" s="3">
        <f t="shared" si="194"/>
        <v>52</v>
      </c>
    </row>
    <row r="329" spans="1:59" s="3" customFormat="1" x14ac:dyDescent="0.2">
      <c r="A329" s="3" t="s">
        <v>1191</v>
      </c>
      <c r="B329" s="3" t="str">
        <f>LOWER(VLOOKUP(A329,Xtal_Templ!A:B,2,FALSE))</f>
        <v>crfr1_human</v>
      </c>
      <c r="C329" s="3">
        <f>VLOOKUP($A329,'SegEnds_NonXtal_BW#'!$A:$Z,3,FALSE)+D329-50</f>
        <v>389</v>
      </c>
      <c r="D329" s="3">
        <v>416</v>
      </c>
      <c r="E329" s="3">
        <f>IF(ISERROR(VLOOKUP($A329,'SegEnds_NonXtal_BW#'!$A:$Z,4,FALSE)+VLOOKUP($A329,A:AL,4,FALSE)-50),"-",(VLOOKUP($A329,'SegEnds_NonXtal_BW#'!$A:$Z,4,FALSE)+VLOOKUP($A329,A:AL,4,FALSE)-50))</f>
        <v>426</v>
      </c>
      <c r="F329" s="3" t="s">
        <v>23</v>
      </c>
      <c r="G329" s="3" t="s">
        <v>23</v>
      </c>
      <c r="H329" s="3" t="s">
        <v>23</v>
      </c>
      <c r="I329" s="3">
        <f>VLOOKUP($A329,'SegEnds_NonXtal_BW#'!$A:$Z,7,FALSE)+J329-50</f>
        <v>434</v>
      </c>
      <c r="J329" s="3">
        <v>447</v>
      </c>
      <c r="K329" s="3">
        <f>VLOOKUP($A329,'SegEnds_NonXtal_BW#'!$A:$Z,8,FALSE)+VLOOKUP($A329,A:AL,10,FALSE)-50</f>
        <v>460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471</v>
      </c>
      <c r="P329" s="3">
        <v>498</v>
      </c>
      <c r="Q329" s="3">
        <f>VLOOKUP($A329,'SegEnds_NonXtal_BW#'!$A:$Z,12,FALSE)+VLOOKUP($A329,A:AL,16,FALSE)-50</f>
        <v>504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513</v>
      </c>
      <c r="V329" s="3">
        <v>523</v>
      </c>
      <c r="W329" s="3">
        <f>IF(ISERROR(VLOOKUP($A329,'SegEnds_NonXtal_BW#'!$A:$Z,16,FALSE)+VLOOKUP($A329,A:AL,22,FALSE)-50),"-",(VLOOKUP($A329,'SegEnds_NonXtal_BW#'!$A:$Z,16,FALSE)+VLOOKUP($A329,A:AL,22,FALSE)-50))</f>
        <v>541</v>
      </c>
      <c r="X329" s="3">
        <f>IF(ISERROR(VLOOKUP($A329,'SegEnds_NonXtal_BW#'!$A:$Z,17,FALSE)+VLOOKUP($A329,A:AL,25,FALSE)-50),"-",(VLOOKUP($A329,'SegEnds_NonXtal_BW#'!$A:$Z,17,FALSE)+VLOOKUP($A329,A:AL,25,FALSE)-50))</f>
        <v>549</v>
      </c>
      <c r="Y329" s="3">
        <v>549</v>
      </c>
      <c r="Z329" s="3">
        <f t="shared" si="179"/>
        <v>551</v>
      </c>
      <c r="AA329" s="3">
        <f>IF(ISERROR(VLOOKUP($A329,'SegEnds_NonXtal_BW#'!$A:$Z,19,FALSE)+VLOOKUP($A329,A:AL,28,FALSE)-50),"-",(VLOOKUP($A329,'SegEnds_NonXtal_BW#'!$A:$Z,19,FALSE)+VLOOKUP($A329,A:AL,28,FALSE)-50))</f>
        <v>555</v>
      </c>
      <c r="AB329" s="3">
        <v>569</v>
      </c>
      <c r="AC329" s="3">
        <f>IF(ISERROR((VLOOKUP($A329,'SegEnds_NonXtal_BW#'!$A:$Z,20,FALSE)+VLOOKUP($A329,A:AL,28,FALSE)-50)),"-",(VLOOKUP($A329,'SegEnds_NonXtal_BW#'!$A:$Z,20,FALSE)+VLOOKUP($A329,A:AL,28,FALSE)-50))</f>
        <v>588</v>
      </c>
      <c r="AD329" s="3">
        <f>IF(ISERROR(VLOOKUP($A329,'SegEnds_NonXtal_BW#'!$A:$Z,21,FALSE)+VLOOKUP($A329,A:AL,31,FALSE)-50),"-",(VLOOKUP($A329,'SegEnds_NonXtal_BW#'!$A:$Z,21,FALSE)+VLOOKUP($A329,A:AL,31,FALSE)-50))</f>
        <v>599</v>
      </c>
      <c r="AE329" s="3">
        <v>620</v>
      </c>
      <c r="AF329" s="3">
        <f>IF(ISERROR((VLOOKUP($A329,'SegEnds_NonXtal_BW#'!$A:$Z,22,FALSE)+VLOOKUP($A329,A:AL,31,FALSE)-50)),"-",(VLOOKUP($A329,'SegEnds_NonXtal_BW#'!$A:$Z,22,FALSE)+VLOOKUP($A329,A:AL,31,FALSE)-50))</f>
        <v>623</v>
      </c>
      <c r="AG329" s="3">
        <f>IF(ISERROR(VLOOKUP($A329,'SegEnds_NonXtal_BW#'!$A:$Z,23,FALSE)+VLOOKUP($A329,A:AL,34,FALSE)-50),"-",(VLOOKUP($A329,'SegEnds_NonXtal_BW#'!$A:$Z,23,FALSE)+VLOOKUP($A329,A:AL,34,FALSE)-50))</f>
        <v>630</v>
      </c>
      <c r="AH329" s="3">
        <v>649</v>
      </c>
      <c r="AI329" s="3">
        <f>IF(ISERROR((VLOOKUP($A329,'SegEnds_NonXtal_BW#'!$A:$Z,24,FALSE)+VLOOKUP($A329,A:AL,34,FALSE)-50)),"-",(VLOOKUP($A329,'SegEnds_NonXtal_BW#'!$A:$Z,24,FALSE)+VLOOKUP($A329,A:AL,34,FALSE)-50))</f>
        <v>655</v>
      </c>
      <c r="AJ329" s="3">
        <f>IF(ISERROR(VLOOKUP($A329,'SegEnds_NonXtal_BW#'!$A:$Z,25,FALSE)+VLOOKUP($A329,A:AL,37,FALSE)-50),"-",(VLOOKUP($A329,'SegEnds_NonXtal_BW#'!$A:$Z,25,FALSE)+VLOOKUP($A329,A:AL,37,FALSE)-50))</f>
        <v>656</v>
      </c>
      <c r="AK329" s="3">
        <v>659</v>
      </c>
      <c r="AL329" s="3">
        <f>IF(ISERROR((VLOOKUP($A329,'SegEnds_NonXtal_BW#'!$A:$Z,26,FALSE)+VLOOKUP($A329,A:AL,37,FALSE)-50)),"-",(VLOOKUP($A329,'SegEnds_NonXtal_BW#'!$A:$Z,26,FALSE)+VLOOKUP($A329,A:AL,37,FALSE)-50))</f>
        <v>672</v>
      </c>
      <c r="AM329" s="28" t="str">
        <f>VLOOKUP(A329,Classification!A:B,2,FALSE)</f>
        <v>B2</v>
      </c>
      <c r="AN329" s="28" t="b">
        <f t="shared" si="195"/>
        <v>1</v>
      </c>
      <c r="AO329" s="3" t="str">
        <f>IF(ISERROR(MATCH(A329,'SegEnds_Xtal_Prot#'!B:B, 0)), "NoXtal", "Xtal")</f>
        <v>NoXtal</v>
      </c>
      <c r="AP329" s="3" t="str">
        <f t="shared" si="180"/>
        <v>-</v>
      </c>
      <c r="AQ329" s="3" t="str">
        <f t="shared" si="181"/>
        <v>-</v>
      </c>
      <c r="AR329" s="3" t="str">
        <f t="shared" si="182"/>
        <v>-</v>
      </c>
      <c r="AS329" s="3" t="str">
        <f t="shared" si="183"/>
        <v>-</v>
      </c>
      <c r="AT329" s="3" t="str">
        <f t="shared" si="184"/>
        <v>-</v>
      </c>
      <c r="AU329" s="3" t="str">
        <f t="shared" si="185"/>
        <v>-</v>
      </c>
      <c r="AV329" s="3">
        <f t="shared" si="186"/>
        <v>8</v>
      </c>
      <c r="AW329" s="3">
        <f t="shared" si="187"/>
        <v>4</v>
      </c>
      <c r="AX329" s="3">
        <f t="shared" si="188"/>
        <v>11</v>
      </c>
      <c r="AY329" s="3">
        <f t="shared" si="189"/>
        <v>7</v>
      </c>
      <c r="AZ329" s="3">
        <f t="shared" si="190"/>
        <v>1</v>
      </c>
      <c r="BA329" s="3">
        <f>IF(ISERROR(LEN(VLOOKUP(A329,Seqs!A:E,2,FALSE))-AL329),"-",LEN(VLOOKUP(A329,Seqs!A:E,2,FALSE))-AL329)</f>
        <v>23</v>
      </c>
      <c r="BB329" s="16">
        <f t="shared" si="191"/>
        <v>31</v>
      </c>
      <c r="BC329" s="9" t="str">
        <f t="shared" si="192"/>
        <v>-</v>
      </c>
      <c r="BD329" s="3">
        <f t="shared" si="193"/>
        <v>31</v>
      </c>
      <c r="BE329" s="3">
        <f t="shared" si="194"/>
        <v>51</v>
      </c>
      <c r="BF329" s="3">
        <f>AH329-AE329</f>
        <v>29</v>
      </c>
    </row>
    <row r="330" spans="1:59" s="3" customFormat="1" x14ac:dyDescent="0.2">
      <c r="A330" s="3" t="s">
        <v>1192</v>
      </c>
      <c r="B330" s="3" t="str">
        <f>LOWER(VLOOKUP(A330,Xtal_Templ!A:B,2,FALSE))</f>
        <v>crfr1_human</v>
      </c>
      <c r="C330" s="3">
        <f>VLOOKUP($A330,'SegEnds_NonXtal_BW#'!$A:$Z,3,FALSE)+D330-50</f>
        <v>1000</v>
      </c>
      <c r="D330" s="3">
        <v>1027</v>
      </c>
      <c r="E330" s="3">
        <f>IF(ISERROR(VLOOKUP($A330,'SegEnds_NonXtal_BW#'!$A:$Z,4,FALSE)+VLOOKUP($A330,A:AL,4,FALSE)-50),"-",(VLOOKUP($A330,'SegEnds_NonXtal_BW#'!$A:$Z,4,FALSE)+VLOOKUP($A330,A:AL,4,FALSE)-50))</f>
        <v>1037</v>
      </c>
      <c r="F330" s="3">
        <f>G330-2</f>
        <v>1039</v>
      </c>
      <c r="G330" s="3">
        <v>1041</v>
      </c>
      <c r="H330" s="3">
        <f>G330+1</f>
        <v>1042</v>
      </c>
      <c r="I330" s="3">
        <f>H330+1</f>
        <v>1043</v>
      </c>
      <c r="J330" s="3">
        <v>1058</v>
      </c>
      <c r="K330" s="3">
        <f>VLOOKUP($A330,'SegEnds_NonXtal_BW#'!$A:$Z,8,FALSE)+VLOOKUP($A330,A:AL,10,FALSE)-50</f>
        <v>1071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1084</v>
      </c>
      <c r="P330" s="3">
        <v>1111</v>
      </c>
      <c r="Q330" s="3">
        <f>VLOOKUP($A330,'SegEnds_NonXtal_BW#'!$A:$Z,12,FALSE)+VLOOKUP($A330,A:AL,16,FALSE)-50</f>
        <v>1117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1126</v>
      </c>
      <c r="V330" s="3">
        <v>1136</v>
      </c>
      <c r="W330" s="3">
        <f>IF(ISERROR(VLOOKUP($A330,'SegEnds_NonXtal_BW#'!$A:$Z,16,FALSE)+VLOOKUP($A330,A:AL,22,FALSE)-50),"-",(VLOOKUP($A330,'SegEnds_NonXtal_BW#'!$A:$Z,16,FALSE)+VLOOKUP($A330,A:AL,22,FALSE)-50))</f>
        <v>1154</v>
      </c>
      <c r="X330" s="3">
        <f>IF(ISERROR(VLOOKUP($A330,'SegEnds_NonXtal_BW#'!$A:$Z,17,FALSE)+VLOOKUP($A330,A:AL,25,FALSE)-50),"-",(VLOOKUP($A330,'SegEnds_NonXtal_BW#'!$A:$Z,17,FALSE)+VLOOKUP($A330,A:AL,25,FALSE)-50))</f>
        <v>1162</v>
      </c>
      <c r="Y330" s="3">
        <v>1162</v>
      </c>
      <c r="Z330" s="3">
        <f t="shared" si="179"/>
        <v>1164</v>
      </c>
      <c r="AA330" s="3">
        <f>IF(ISERROR(VLOOKUP($A330,'SegEnds_NonXtal_BW#'!$A:$Z,19,FALSE)+VLOOKUP($A330,A:AL,28,FALSE)-50),"-",(VLOOKUP($A330,'SegEnds_NonXtal_BW#'!$A:$Z,19,FALSE)+VLOOKUP($A330,A:AL,28,FALSE)-50))</f>
        <v>1168</v>
      </c>
      <c r="AB330" s="3">
        <v>1182</v>
      </c>
      <c r="AC330" s="3">
        <f>IF(ISERROR((VLOOKUP($A330,'SegEnds_NonXtal_BW#'!$A:$Z,20,FALSE)+VLOOKUP($A330,A:AL,28,FALSE)-50)),"-",(VLOOKUP($A330,'SegEnds_NonXtal_BW#'!$A:$Z,20,FALSE)+VLOOKUP($A330,A:AL,28,FALSE)-50))</f>
        <v>1201</v>
      </c>
      <c r="AD330" s="3">
        <f>IF(ISERROR(VLOOKUP($A330,'SegEnds_NonXtal_BW#'!$A:$Z,21,FALSE)+VLOOKUP($A330,A:AL,31,FALSE)-50),"-",(VLOOKUP($A330,'SegEnds_NonXtal_BW#'!$A:$Z,21,FALSE)+VLOOKUP($A330,A:AL,31,FALSE)-50))</f>
        <v>1213</v>
      </c>
      <c r="AE330" s="3">
        <v>1234</v>
      </c>
      <c r="AF330" s="3">
        <f>IF(ISERROR((VLOOKUP($A330,'SegEnds_NonXtal_BW#'!$A:$Z,22,FALSE)+VLOOKUP($A330,A:AL,31,FALSE)-50)),"-",(VLOOKUP($A330,'SegEnds_NonXtal_BW#'!$A:$Z,22,FALSE)+VLOOKUP($A330,A:AL,31,FALSE)-50))</f>
        <v>1237</v>
      </c>
      <c r="AG330" s="3">
        <f>IF(ISERROR(VLOOKUP($A330,'SegEnds_NonXtal_BW#'!$A:$Z,23,FALSE)+VLOOKUP($A330,A:AL,34,FALSE)-50),"-",(VLOOKUP($A330,'SegEnds_NonXtal_BW#'!$A:$Z,23,FALSE)+VLOOKUP($A330,A:AL,34,FALSE)-50))</f>
        <v>1244</v>
      </c>
      <c r="AH330" s="3">
        <v>1263</v>
      </c>
      <c r="AI330" s="3">
        <f>IF(ISERROR((VLOOKUP($A330,'SegEnds_NonXtal_BW#'!$A:$Z,24,FALSE)+VLOOKUP($A330,A:AL,34,FALSE)-50)),"-",(VLOOKUP($A330,'SegEnds_NonXtal_BW#'!$A:$Z,24,FALSE)+VLOOKUP($A330,A:AL,34,FALSE)-50))</f>
        <v>1269</v>
      </c>
      <c r="AJ330" s="3">
        <f>IF(ISERROR(VLOOKUP($A330,'SegEnds_NonXtal_BW#'!$A:$Z,25,FALSE)+VLOOKUP($A330,A:AL,37,FALSE)-50),"-",(VLOOKUP($A330,'SegEnds_NonXtal_BW#'!$A:$Z,25,FALSE)+VLOOKUP($A330,A:AL,37,FALSE)-50))</f>
        <v>1270</v>
      </c>
      <c r="AK330" s="3">
        <v>1273</v>
      </c>
      <c r="AL330" s="3">
        <f>IF(ISERROR((VLOOKUP($A330,'SegEnds_NonXtal_BW#'!$A:$Z,26,FALSE)+VLOOKUP($A330,A:AL,37,FALSE)-50)),"-",(VLOOKUP($A330,'SegEnds_NonXtal_BW#'!$A:$Z,26,FALSE)+VLOOKUP($A330,A:AL,37,FALSE)-50))</f>
        <v>1286</v>
      </c>
      <c r="AM330" s="28" t="str">
        <f>VLOOKUP(A330,Classification!A:B,2,FALSE)</f>
        <v>B2</v>
      </c>
      <c r="AN330" s="28" t="b">
        <f t="shared" si="195"/>
        <v>1</v>
      </c>
      <c r="AO330" s="3" t="str">
        <f>IF(ISERROR(MATCH(A330,'SegEnds_Xtal_Prot#'!B:B, 0)), "NoXtal", "Xtal")</f>
        <v>NoXtal</v>
      </c>
      <c r="AP330" s="3">
        <f t="shared" si="180"/>
        <v>2</v>
      </c>
      <c r="AQ330" s="3">
        <f t="shared" si="181"/>
        <v>1</v>
      </c>
      <c r="AR330" s="3" t="str">
        <f t="shared" si="182"/>
        <v>-</v>
      </c>
      <c r="AS330" s="3" t="str">
        <f t="shared" si="183"/>
        <v>-</v>
      </c>
      <c r="AT330" s="3" t="str">
        <f t="shared" si="184"/>
        <v>-</v>
      </c>
      <c r="AU330" s="3" t="str">
        <f t="shared" si="185"/>
        <v>-</v>
      </c>
      <c r="AV330" s="3">
        <f t="shared" si="186"/>
        <v>8</v>
      </c>
      <c r="AW330" s="3">
        <f t="shared" si="187"/>
        <v>4</v>
      </c>
      <c r="AX330" s="3">
        <f t="shared" si="188"/>
        <v>12</v>
      </c>
      <c r="AY330" s="3">
        <f t="shared" si="189"/>
        <v>7</v>
      </c>
      <c r="AZ330" s="3">
        <f t="shared" si="190"/>
        <v>1</v>
      </c>
      <c r="BA330" s="3">
        <f>IF(ISERROR(LEN(VLOOKUP(A330,Seqs!A:E,2,FALSE))-AL330),"-",LEN(VLOOKUP(A330,Seqs!A:E,2,FALSE))-AL330)</f>
        <v>60</v>
      </c>
      <c r="BB330" s="16">
        <f t="shared" si="191"/>
        <v>31</v>
      </c>
      <c r="BC330" s="9" t="str">
        <f t="shared" si="192"/>
        <v>-</v>
      </c>
      <c r="BD330" s="3">
        <f t="shared" si="193"/>
        <v>31</v>
      </c>
      <c r="BE330" s="3">
        <f t="shared" si="194"/>
        <v>52</v>
      </c>
    </row>
    <row r="331" spans="1:59" s="3" customFormat="1" x14ac:dyDescent="0.2">
      <c r="A331" s="3" t="s">
        <v>1193</v>
      </c>
      <c r="B331" s="3" t="str">
        <f>LOWER(VLOOKUP(A331,Xtal_Templ!A:B,2,FALSE))</f>
        <v>crfr1_human</v>
      </c>
      <c r="C331" s="3">
        <f>VLOOKUP($A331,'SegEnds_NonXtal_BW#'!$A:$Z,3,FALSE)+D331-50</f>
        <v>391</v>
      </c>
      <c r="D331" s="3">
        <v>418</v>
      </c>
      <c r="E331" s="3">
        <f>IF(ISERROR(VLOOKUP($A331,'SegEnds_NonXtal_BW#'!$A:$Z,4,FALSE)+VLOOKUP($A331,A:AL,4,FALSE)-50),"-",(VLOOKUP($A331,'SegEnds_NonXtal_BW#'!$A:$Z,4,FALSE)+VLOOKUP($A331,A:AL,4,FALSE)-50))</f>
        <v>428</v>
      </c>
      <c r="F331" s="3">
        <f>G331-2</f>
        <v>430</v>
      </c>
      <c r="G331" s="3">
        <v>432</v>
      </c>
      <c r="H331" s="3">
        <f>G331+1</f>
        <v>433</v>
      </c>
      <c r="I331" s="3">
        <f>H331+1</f>
        <v>434</v>
      </c>
      <c r="J331" s="3">
        <v>453</v>
      </c>
      <c r="K331" s="3">
        <f>VLOOKUP($A331,'SegEnds_NonXtal_BW#'!$A:$Z,8,FALSE)+VLOOKUP($A331,A:AL,10,FALSE)-50</f>
        <v>466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473</v>
      </c>
      <c r="P331" s="3">
        <v>500</v>
      </c>
      <c r="Q331" s="3">
        <f>VLOOKUP($A331,'SegEnds_NonXtal_BW#'!$A:$Z,12,FALSE)+VLOOKUP($A331,A:AL,16,FALSE)-50</f>
        <v>506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514</v>
      </c>
      <c r="V331" s="3">
        <v>524</v>
      </c>
      <c r="W331" s="3">
        <f>IF(ISERROR(VLOOKUP($A331,'SegEnds_NonXtal_BW#'!$A:$Z,16,FALSE)+VLOOKUP($A331,A:AL,22,FALSE)-50),"-",(VLOOKUP($A331,'SegEnds_NonXtal_BW#'!$A:$Z,16,FALSE)+VLOOKUP($A331,A:AL,22,FALSE)-50))</f>
        <v>542</v>
      </c>
      <c r="X331" s="3">
        <f>IF(ISERROR(VLOOKUP($A331,'SegEnds_NonXtal_BW#'!$A:$Z,17,FALSE)+VLOOKUP($A331,A:AL,25,FALSE)-50),"-",(VLOOKUP($A331,'SegEnds_NonXtal_BW#'!$A:$Z,17,FALSE)+VLOOKUP($A331,A:AL,25,FALSE)-50))</f>
        <v>562</v>
      </c>
      <c r="Y331" s="3">
        <v>562</v>
      </c>
      <c r="Z331" s="3">
        <f t="shared" si="179"/>
        <v>564</v>
      </c>
      <c r="AA331" s="3">
        <f>IF(ISERROR(VLOOKUP($A331,'SegEnds_NonXtal_BW#'!$A:$Z,19,FALSE)+VLOOKUP($A331,A:AL,28,FALSE)-50),"-",(VLOOKUP($A331,'SegEnds_NonXtal_BW#'!$A:$Z,19,FALSE)+VLOOKUP($A331,A:AL,28,FALSE)-50))</f>
        <v>567</v>
      </c>
      <c r="AB331" s="3">
        <v>581</v>
      </c>
      <c r="AC331" s="3">
        <f>IF(ISERROR((VLOOKUP($A331,'SegEnds_NonXtal_BW#'!$A:$Z,20,FALSE)+VLOOKUP($A331,A:AL,28,FALSE)-50)),"-",(VLOOKUP($A331,'SegEnds_NonXtal_BW#'!$A:$Z,20,FALSE)+VLOOKUP($A331,A:AL,28,FALSE)-50))</f>
        <v>600</v>
      </c>
      <c r="AD331" s="3">
        <f>IF(ISERROR(VLOOKUP($A331,'SegEnds_NonXtal_BW#'!$A:$Z,21,FALSE)+VLOOKUP($A331,A:AL,31,FALSE)-50),"-",(VLOOKUP($A331,'SegEnds_NonXtal_BW#'!$A:$Z,21,FALSE)+VLOOKUP($A331,A:AL,31,FALSE)-50))</f>
        <v>604</v>
      </c>
      <c r="AE331" s="3">
        <v>625</v>
      </c>
      <c r="AF331" s="3">
        <f>IF(ISERROR((VLOOKUP($A331,'SegEnds_NonXtal_BW#'!$A:$Z,22,FALSE)+VLOOKUP($A331,A:AL,31,FALSE)-50)),"-",(VLOOKUP($A331,'SegEnds_NonXtal_BW#'!$A:$Z,22,FALSE)+VLOOKUP($A331,A:AL,31,FALSE)-50))</f>
        <v>628</v>
      </c>
      <c r="AG331" s="3">
        <f>IF(ISERROR(VLOOKUP($A331,'SegEnds_NonXtal_BW#'!$A:$Z,23,FALSE)+VLOOKUP($A331,A:AL,34,FALSE)-50),"-",(VLOOKUP($A331,'SegEnds_NonXtal_BW#'!$A:$Z,23,FALSE)+VLOOKUP($A331,A:AL,34,FALSE)-50))</f>
        <v>633</v>
      </c>
      <c r="AH331" s="3">
        <v>655</v>
      </c>
      <c r="AI331" s="3">
        <f>IF(ISERROR((VLOOKUP($A331,'SegEnds_NonXtal_BW#'!$A:$Z,24,FALSE)+VLOOKUP($A331,A:AL,34,FALSE)-50)),"-",(VLOOKUP($A331,'SegEnds_NonXtal_BW#'!$A:$Z,24,FALSE)+VLOOKUP($A331,A:AL,34,FALSE)-50))</f>
        <v>661</v>
      </c>
      <c r="AJ331" s="3">
        <f>IF(ISERROR(VLOOKUP($A331,'SegEnds_NonXtal_BW#'!$A:$Z,25,FALSE)+VLOOKUP($A331,A:AL,37,FALSE)-50),"-",(VLOOKUP($A331,'SegEnds_NonXtal_BW#'!$A:$Z,25,FALSE)+VLOOKUP($A331,A:AL,37,FALSE)-50))</f>
        <v>662</v>
      </c>
      <c r="AK331" s="3">
        <v>665</v>
      </c>
      <c r="AL331" s="3">
        <f>IF(ISERROR((VLOOKUP($A331,'SegEnds_NonXtal_BW#'!$A:$Z,26,FALSE)+VLOOKUP($A331,A:AL,37,FALSE)-50)),"-",(VLOOKUP($A331,'SegEnds_NonXtal_BW#'!$A:$Z,26,FALSE)+VLOOKUP($A331,A:AL,37,FALSE)-50))</f>
        <v>678</v>
      </c>
      <c r="AM331" s="28" t="str">
        <f>VLOOKUP(A331,Classification!A:B,2,FALSE)</f>
        <v>B2</v>
      </c>
      <c r="AN331" s="28" t="b">
        <f t="shared" si="195"/>
        <v>1</v>
      </c>
      <c r="AO331" s="3" t="str">
        <f>IF(ISERROR(MATCH(A331,'SegEnds_Xtal_Prot#'!B:B, 0)), "NoXtal", "Xtal")</f>
        <v>NoXtal</v>
      </c>
      <c r="AP331" s="3">
        <f t="shared" si="180"/>
        <v>2</v>
      </c>
      <c r="AQ331" s="3">
        <f t="shared" si="181"/>
        <v>1</v>
      </c>
      <c r="AR331" s="3" t="str">
        <f t="shared" si="182"/>
        <v>-</v>
      </c>
      <c r="AS331" s="3" t="str">
        <f t="shared" si="183"/>
        <v>-</v>
      </c>
      <c r="AT331" s="3" t="str">
        <f t="shared" si="184"/>
        <v>-</v>
      </c>
      <c r="AU331" s="3" t="str">
        <f t="shared" si="185"/>
        <v>-</v>
      </c>
      <c r="AV331" s="3">
        <f t="shared" si="186"/>
        <v>20</v>
      </c>
      <c r="AW331" s="3">
        <f t="shared" si="187"/>
        <v>3</v>
      </c>
      <c r="AX331" s="3">
        <f t="shared" si="188"/>
        <v>4</v>
      </c>
      <c r="AY331" s="3">
        <f t="shared" si="189"/>
        <v>5</v>
      </c>
      <c r="AZ331" s="3">
        <f t="shared" si="190"/>
        <v>1</v>
      </c>
      <c r="BA331" s="3">
        <f>IF(ISERROR(LEN(VLOOKUP(A331,Seqs!A:E,2,FALSE))-AL331),"-",LEN(VLOOKUP(A331,Seqs!A:E,2,FALSE))-AL331)</f>
        <v>15</v>
      </c>
      <c r="BB331" s="16">
        <f t="shared" si="191"/>
        <v>35</v>
      </c>
      <c r="BC331" s="9" t="str">
        <f t="shared" si="192"/>
        <v>-</v>
      </c>
      <c r="BD331" s="3">
        <f t="shared" si="193"/>
        <v>35</v>
      </c>
      <c r="BE331" s="3">
        <f t="shared" si="194"/>
        <v>44</v>
      </c>
      <c r="BF331" s="3">
        <f>AH331-AE331</f>
        <v>30</v>
      </c>
    </row>
    <row r="332" spans="1:59" s="3" customFormat="1" x14ac:dyDescent="0.2">
      <c r="A332" s="3" t="s">
        <v>1194</v>
      </c>
      <c r="B332" s="3" t="str">
        <f>LOWER(VLOOKUP(A332,Xtal_Templ!A:B,2,FALSE))</f>
        <v>pth1r_human</v>
      </c>
      <c r="C332" s="3">
        <f>VLOOKUP($A332,'SegEnds_NonXtal_BW#'!$A:$Z,3,FALSE)+D332-50</f>
        <v>616</v>
      </c>
      <c r="D332" s="3">
        <v>643</v>
      </c>
      <c r="E332" s="3">
        <f>IF(ISERROR(VLOOKUP($A332,'SegEnds_NonXtal_BW#'!$A:$Z,4,FALSE)+VLOOKUP($A332,A:AL,4,FALSE)-50),"-",(VLOOKUP($A332,'SegEnds_NonXtal_BW#'!$A:$Z,4,FALSE)+VLOOKUP($A332,A:AL,4,FALSE)-50))</f>
        <v>653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659</v>
      </c>
      <c r="J332" s="3">
        <v>672</v>
      </c>
      <c r="K332" s="3">
        <f>VLOOKUP($A332,'SegEnds_NonXtal_BW#'!$A:$Z,8,FALSE)+VLOOKUP($A332,A:AL,10,FALSE)-50</f>
        <v>685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692</v>
      </c>
      <c r="P332" s="3">
        <v>719</v>
      </c>
      <c r="Q332" s="3">
        <f>VLOOKUP($A332,'SegEnds_NonXtal_BW#'!$A:$Z,12,FALSE)+VLOOKUP($A332,A:AL,16,FALSE)-50</f>
        <v>725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730</v>
      </c>
      <c r="V332" s="3">
        <v>743</v>
      </c>
      <c r="W332" s="3">
        <f>IF(ISERROR(VLOOKUP($A332,'SegEnds_NonXtal_BW#'!$A:$Z,16,FALSE)+VLOOKUP($A332,A:AL,22,FALSE)-50),"-",(VLOOKUP($A332,'SegEnds_NonXtal_BW#'!$A:$Z,16,FALSE)+VLOOKUP($A332,A:AL,22,FALSE)-50))</f>
        <v>761</v>
      </c>
      <c r="X332" s="3">
        <f>IF(ISERROR(VLOOKUP($A332,'SegEnds_NonXtal_BW#'!$A:$Z,17,FALSE)+VLOOKUP($A332,A:AL,25,FALSE)-50),"-",(VLOOKUP($A332,'SegEnds_NonXtal_BW#'!$A:$Z,17,FALSE)+VLOOKUP($A332,A:AL,25,FALSE)-50))</f>
        <v>778</v>
      </c>
      <c r="Y332" s="3">
        <v>778</v>
      </c>
      <c r="Z332" s="3">
        <f t="shared" si="179"/>
        <v>780</v>
      </c>
      <c r="AA332" s="3">
        <f>IF(ISERROR(VLOOKUP($A332,'SegEnds_NonXtal_BW#'!$A:$Z,19,FALSE)+VLOOKUP($A332,A:AL,28,FALSE)-50),"-",(VLOOKUP($A332,'SegEnds_NonXtal_BW#'!$A:$Z,19,FALSE)+VLOOKUP($A332,A:AL,28,FALSE)-50))</f>
        <v>783</v>
      </c>
      <c r="AB332" s="3">
        <v>797</v>
      </c>
      <c r="AC332" s="3">
        <f>IF(ISERROR((VLOOKUP($A332,'SegEnds_NonXtal_BW#'!$A:$Z,20,FALSE)+VLOOKUP($A332,A:AL,28,FALSE)-50)),"-",(VLOOKUP($A332,'SegEnds_NonXtal_BW#'!$A:$Z,20,FALSE)+VLOOKUP($A332,A:AL,28,FALSE)-50))</f>
        <v>816</v>
      </c>
      <c r="AD332" s="3">
        <f>IF(ISERROR(VLOOKUP($A332,'SegEnds_NonXtal_BW#'!$A:$Z,21,FALSE)+VLOOKUP($A332,A:AL,31,FALSE)-50),"-",(VLOOKUP($A332,'SegEnds_NonXtal_BW#'!$A:$Z,21,FALSE)+VLOOKUP($A332,A:AL,31,FALSE)-50))</f>
        <v>827</v>
      </c>
      <c r="AE332" s="3">
        <v>848</v>
      </c>
      <c r="AF332" s="3">
        <f>IF(ISERROR((VLOOKUP($A332,'SegEnds_NonXtal_BW#'!$A:$Z,22,FALSE)+VLOOKUP($A332,A:AL,31,FALSE)-50)),"-",(VLOOKUP($A332,'SegEnds_NonXtal_BW#'!$A:$Z,22,FALSE)+VLOOKUP($A332,A:AL,31,FALSE)-50))</f>
        <v>852</v>
      </c>
      <c r="AG332" s="3">
        <f>IF(ISERROR(VLOOKUP($A332,'SegEnds_NonXtal_BW#'!$A:$Z,23,FALSE)+VLOOKUP($A332,A:AL,34,FALSE)-50),"-",(VLOOKUP($A332,'SegEnds_NonXtal_BW#'!$A:$Z,23,FALSE)+VLOOKUP($A332,A:AL,34,FALSE)-50))</f>
        <v>857</v>
      </c>
      <c r="AH332" s="3">
        <v>876</v>
      </c>
      <c r="AI332" s="3">
        <f>IF(ISERROR((VLOOKUP($A332,'SegEnds_NonXtal_BW#'!$A:$Z,24,FALSE)+VLOOKUP($A332,A:AL,34,FALSE)-50)),"-",(VLOOKUP($A332,'SegEnds_NonXtal_BW#'!$A:$Z,24,FALSE)+VLOOKUP($A332,A:AL,34,FALSE)-50))</f>
        <v>882</v>
      </c>
      <c r="AJ332" s="3">
        <f>IF(ISERROR(VLOOKUP($A332,'SegEnds_NonXtal_BW#'!$A:$Z,25,FALSE)+VLOOKUP($A332,A:AL,37,FALSE)-50),"-",(VLOOKUP($A332,'SegEnds_NonXtal_BW#'!$A:$Z,25,FALSE)+VLOOKUP($A332,A:AL,37,FALSE)-50))</f>
        <v>883</v>
      </c>
      <c r="AK332" s="3">
        <v>886</v>
      </c>
      <c r="AL332" s="3">
        <f>IF(ISERROR((VLOOKUP($A332,'SegEnds_NonXtal_BW#'!$A:$Z,26,FALSE)+VLOOKUP($A332,A:AL,37,FALSE)-50)),"-",(VLOOKUP($A332,'SegEnds_NonXtal_BW#'!$A:$Z,26,FALSE)+VLOOKUP($A332,A:AL,37,FALSE)-50))</f>
        <v>899</v>
      </c>
      <c r="AM332" s="28" t="str">
        <f>VLOOKUP(A332,Classification!A:B,2,FALSE)</f>
        <v>B2</v>
      </c>
      <c r="AN332" s="28" t="b">
        <f t="shared" si="195"/>
        <v>1</v>
      </c>
      <c r="AO332" s="3" t="str">
        <f>IF(ISERROR(MATCH(A332,'SegEnds_Xtal_Prot#'!B:B, 0)), "NoXtal", "Xtal")</f>
        <v>NoXtal</v>
      </c>
      <c r="AP332" s="3" t="str">
        <f t="shared" si="180"/>
        <v>-</v>
      </c>
      <c r="AQ332" s="3" t="str">
        <f t="shared" si="181"/>
        <v>-</v>
      </c>
      <c r="AR332" s="3" t="str">
        <f t="shared" si="182"/>
        <v>-</v>
      </c>
      <c r="AS332" s="3" t="str">
        <f t="shared" si="183"/>
        <v>-</v>
      </c>
      <c r="AT332" s="3" t="str">
        <f t="shared" si="184"/>
        <v>-</v>
      </c>
      <c r="AU332" s="3" t="str">
        <f t="shared" si="185"/>
        <v>-</v>
      </c>
      <c r="AV332" s="3">
        <f t="shared" si="186"/>
        <v>17</v>
      </c>
      <c r="AW332" s="3">
        <f t="shared" si="187"/>
        <v>3</v>
      </c>
      <c r="AX332" s="3">
        <f t="shared" si="188"/>
        <v>11</v>
      </c>
      <c r="AY332" s="3">
        <f t="shared" si="189"/>
        <v>5</v>
      </c>
      <c r="AZ332" s="3">
        <f t="shared" si="190"/>
        <v>1</v>
      </c>
      <c r="BA332" s="3">
        <f>IF(ISERROR(LEN(VLOOKUP(A332,Seqs!A:E,2,FALSE))-AL332),"-",LEN(VLOOKUP(A332,Seqs!A:E,2,FALSE))-AL332)</f>
        <v>118</v>
      </c>
      <c r="BB332" s="16">
        <f t="shared" si="191"/>
        <v>29</v>
      </c>
      <c r="BC332" s="9" t="str">
        <f t="shared" si="192"/>
        <v>-</v>
      </c>
      <c r="BD332" s="3">
        <f t="shared" si="193"/>
        <v>29</v>
      </c>
      <c r="BE332" s="3">
        <f t="shared" si="194"/>
        <v>51</v>
      </c>
    </row>
    <row r="333" spans="1:59" s="3" customFormat="1" x14ac:dyDescent="0.2">
      <c r="A333" s="3" t="s">
        <v>1195</v>
      </c>
      <c r="B333" s="3" t="str">
        <f>LOWER(VLOOKUP(A333,Xtal_Templ!A:B,2,FALSE))</f>
        <v>pth1r_human</v>
      </c>
      <c r="C333" s="3">
        <f>VLOOKUP($A333,'SegEnds_NonXtal_BW#'!$A:$Z,3,FALSE)+D333-50</f>
        <v>256</v>
      </c>
      <c r="D333" s="3">
        <v>283</v>
      </c>
      <c r="E333" s="3">
        <f>IF(ISERROR(VLOOKUP($A333,'SegEnds_NonXtal_BW#'!$A:$Z,4,FALSE)+VLOOKUP($A333,A:AL,4,FALSE)-50),"-",(VLOOKUP($A333,'SegEnds_NonXtal_BW#'!$A:$Z,4,FALSE)+VLOOKUP($A333,A:AL,4,FALSE)-50))</f>
        <v>293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303</v>
      </c>
      <c r="J333" s="3">
        <v>316</v>
      </c>
      <c r="K333" s="3">
        <f>VLOOKUP($A333,'SegEnds_NonXtal_BW#'!$A:$Z,8,FALSE)+VLOOKUP($A333,A:AL,10,FALSE)-50</f>
        <v>329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336</v>
      </c>
      <c r="P333" s="3">
        <v>363</v>
      </c>
      <c r="Q333" s="3">
        <f>VLOOKUP($A333,'SegEnds_NonXtal_BW#'!$A:$Z,12,FALSE)+VLOOKUP($A333,A:AL,16,FALSE)-50</f>
        <v>369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374</v>
      </c>
      <c r="V333" s="3">
        <v>387</v>
      </c>
      <c r="W333" s="3">
        <f>IF(ISERROR(VLOOKUP($A333,'SegEnds_NonXtal_BW#'!$A:$Z,16,FALSE)+VLOOKUP($A333,A:AL,22,FALSE)-50),"-",(VLOOKUP($A333,'SegEnds_NonXtal_BW#'!$A:$Z,16,FALSE)+VLOOKUP($A333,A:AL,22,FALSE)-50))</f>
        <v>405</v>
      </c>
      <c r="X333" s="3">
        <f>IF(ISERROR(VLOOKUP($A333,'SegEnds_NonXtal_BW#'!$A:$Z,17,FALSE)+VLOOKUP($A333,A:AL,25,FALSE)-50),"-",(VLOOKUP($A333,'SegEnds_NonXtal_BW#'!$A:$Z,17,FALSE)+VLOOKUP($A333,A:AL,25,FALSE)-50))</f>
        <v>420</v>
      </c>
      <c r="Y333" s="3">
        <v>420</v>
      </c>
      <c r="Z333" s="3">
        <f t="shared" si="179"/>
        <v>422</v>
      </c>
      <c r="AA333" s="3">
        <f>IF(ISERROR(VLOOKUP($A333,'SegEnds_NonXtal_BW#'!$A:$Z,19,FALSE)+VLOOKUP($A333,A:AL,28,FALSE)-50),"-",(VLOOKUP($A333,'SegEnds_NonXtal_BW#'!$A:$Z,19,FALSE)+VLOOKUP($A333,A:AL,28,FALSE)-50))</f>
        <v>424</v>
      </c>
      <c r="AB333" s="3">
        <v>438</v>
      </c>
      <c r="AC333" s="3">
        <f>IF(ISERROR((VLOOKUP($A333,'SegEnds_NonXtal_BW#'!$A:$Z,20,FALSE)+VLOOKUP($A333,A:AL,28,FALSE)-50)),"-",(VLOOKUP($A333,'SegEnds_NonXtal_BW#'!$A:$Z,20,FALSE)+VLOOKUP($A333,A:AL,28,FALSE)-50))</f>
        <v>457</v>
      </c>
      <c r="AD333" s="3">
        <f>IF(ISERROR(VLOOKUP($A333,'SegEnds_NonXtal_BW#'!$A:$Z,21,FALSE)+VLOOKUP($A333,A:AL,31,FALSE)-50),"-",(VLOOKUP($A333,'SegEnds_NonXtal_BW#'!$A:$Z,21,FALSE)+VLOOKUP($A333,A:AL,31,FALSE)-50))</f>
        <v>471</v>
      </c>
      <c r="AE333" s="3">
        <v>492</v>
      </c>
      <c r="AF333" s="3">
        <f>IF(ISERROR((VLOOKUP($A333,'SegEnds_NonXtal_BW#'!$A:$Z,22,FALSE)+VLOOKUP($A333,A:AL,31,FALSE)-50)),"-",(VLOOKUP($A333,'SegEnds_NonXtal_BW#'!$A:$Z,22,FALSE)+VLOOKUP($A333,A:AL,31,FALSE)-50))</f>
        <v>492</v>
      </c>
      <c r="AG333" s="3">
        <f>IF(ISERROR(VLOOKUP($A333,'SegEnds_NonXtal_BW#'!$A:$Z,23,FALSE)+VLOOKUP($A333,A:AL,34,FALSE)-50),"-",(VLOOKUP($A333,'SegEnds_NonXtal_BW#'!$A:$Z,23,FALSE)+VLOOKUP($A333,A:AL,34,FALSE)-50))</f>
        <v>499</v>
      </c>
      <c r="AH333" s="3">
        <v>518</v>
      </c>
      <c r="AI333" s="3">
        <f>IF(ISERROR((VLOOKUP($A333,'SegEnds_NonXtal_BW#'!$A:$Z,24,FALSE)+VLOOKUP($A333,A:AL,34,FALSE)-50)),"-",(VLOOKUP($A333,'SegEnds_NonXtal_BW#'!$A:$Z,24,FALSE)+VLOOKUP($A333,A:AL,34,FALSE)-50))</f>
        <v>524</v>
      </c>
      <c r="AJ333" s="3">
        <f>IF(ISERROR(VLOOKUP($A333,'SegEnds_NonXtal_BW#'!$A:$Z,25,FALSE)+VLOOKUP($A333,A:AL,37,FALSE)-50),"-",(VLOOKUP($A333,'SegEnds_NonXtal_BW#'!$A:$Z,25,FALSE)+VLOOKUP($A333,A:AL,37,FALSE)-50))</f>
        <v>525</v>
      </c>
      <c r="AK333" s="3">
        <v>528</v>
      </c>
      <c r="AL333" s="3">
        <f>IF(ISERROR((VLOOKUP($A333,'SegEnds_NonXtal_BW#'!$A:$Z,26,FALSE)+VLOOKUP($A333,A:AL,37,FALSE)-50)),"-",(VLOOKUP($A333,'SegEnds_NonXtal_BW#'!$A:$Z,26,FALSE)+VLOOKUP($A333,A:AL,37,FALSE)-50))</f>
        <v>541</v>
      </c>
      <c r="AM333" s="28" t="str">
        <f>VLOOKUP(A333,Classification!A:B,2,FALSE)</f>
        <v>B2</v>
      </c>
      <c r="AN333" s="28" t="b">
        <f t="shared" si="195"/>
        <v>1</v>
      </c>
      <c r="AO333" s="3" t="str">
        <f>IF(ISERROR(MATCH(A333,'SegEnds_Xtal_Prot#'!B:B, 0)), "NoXtal", "Xtal")</f>
        <v>NoXtal</v>
      </c>
      <c r="AP333" s="3" t="str">
        <f t="shared" si="180"/>
        <v>-</v>
      </c>
      <c r="AQ333" s="3" t="str">
        <f t="shared" si="181"/>
        <v>-</v>
      </c>
      <c r="AR333" s="3" t="str">
        <f t="shared" si="182"/>
        <v>-</v>
      </c>
      <c r="AS333" s="3" t="str">
        <f t="shared" si="183"/>
        <v>-</v>
      </c>
      <c r="AT333" s="3" t="str">
        <f t="shared" si="184"/>
        <v>-</v>
      </c>
      <c r="AU333" s="3" t="str">
        <f t="shared" si="185"/>
        <v>-</v>
      </c>
      <c r="AV333" s="3">
        <f t="shared" si="186"/>
        <v>15</v>
      </c>
      <c r="AW333" s="3">
        <f t="shared" si="187"/>
        <v>2</v>
      </c>
      <c r="AX333" s="3">
        <f t="shared" si="188"/>
        <v>14</v>
      </c>
      <c r="AY333" s="3">
        <f t="shared" si="189"/>
        <v>7</v>
      </c>
      <c r="AZ333" s="3">
        <f t="shared" si="190"/>
        <v>1</v>
      </c>
      <c r="BA333" s="3">
        <f>IF(ISERROR(LEN(VLOOKUP(A333,Seqs!A:E,2,FALSE))-AL333),"-",LEN(VLOOKUP(A333,Seqs!A:E,2,FALSE))-AL333)</f>
        <v>8</v>
      </c>
      <c r="BB333" s="16">
        <f t="shared" si="191"/>
        <v>33</v>
      </c>
      <c r="BC333" s="9" t="str">
        <f t="shared" si="192"/>
        <v>-</v>
      </c>
      <c r="BD333" s="3">
        <f t="shared" si="193"/>
        <v>33</v>
      </c>
      <c r="BE333" s="3">
        <f t="shared" si="194"/>
        <v>54</v>
      </c>
      <c r="BF333" s="3">
        <f>AH333-AE333</f>
        <v>26</v>
      </c>
    </row>
    <row r="334" spans="1:59" s="3" customFormat="1" x14ac:dyDescent="0.2">
      <c r="A334" s="3" t="s">
        <v>1196</v>
      </c>
      <c r="B334" s="3" t="str">
        <f>LOWER(VLOOKUP(A334,Xtal_Templ!A:B,2,FALSE))</f>
        <v>pth1r_human</v>
      </c>
      <c r="C334" s="3">
        <f>VLOOKUP($A334,'SegEnds_NonXtal_BW#'!$A:$Z,3,FALSE)+D334-50</f>
        <v>2731</v>
      </c>
      <c r="D334" s="3">
        <v>2758</v>
      </c>
      <c r="E334" s="3">
        <f>IF(ISERROR(VLOOKUP($A334,'SegEnds_NonXtal_BW#'!$A:$Z,4,FALSE)+VLOOKUP($A334,A:AL,4,FALSE)-50),"-",(VLOOKUP($A334,'SegEnds_NonXtal_BW#'!$A:$Z,4,FALSE)+VLOOKUP($A334,A:AL,4,FALSE)-50))</f>
        <v>2768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2774</v>
      </c>
      <c r="J334" s="3">
        <v>2787</v>
      </c>
      <c r="K334" s="3">
        <f>VLOOKUP($A334,'SegEnds_NonXtal_BW#'!$A:$Z,8,FALSE)+VLOOKUP($A334,A:AL,10,FALSE)-50</f>
        <v>2800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2807</v>
      </c>
      <c r="P334" s="3">
        <v>2834</v>
      </c>
      <c r="Q334" s="3">
        <f>VLOOKUP($A334,'SegEnds_NonXtal_BW#'!$A:$Z,12,FALSE)+VLOOKUP($A334,A:AL,16,FALSE)-50</f>
        <v>2840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2845</v>
      </c>
      <c r="V334" s="3">
        <v>2858</v>
      </c>
      <c r="W334" s="3">
        <f>IF(ISERROR(VLOOKUP($A334,'SegEnds_NonXtal_BW#'!$A:$Z,16,FALSE)+VLOOKUP($A334,A:AL,22,FALSE)-50),"-",(VLOOKUP($A334,'SegEnds_NonXtal_BW#'!$A:$Z,16,FALSE)+VLOOKUP($A334,A:AL,22,FALSE)-50))</f>
        <v>2876</v>
      </c>
      <c r="X334" s="3">
        <f>IF(ISERROR(VLOOKUP($A334,'SegEnds_NonXtal_BW#'!$A:$Z,17,FALSE)+VLOOKUP($A334,A:AL,25,FALSE)-50),"-",(VLOOKUP($A334,'SegEnds_NonXtal_BW#'!$A:$Z,17,FALSE)+VLOOKUP($A334,A:AL,25,FALSE)-50))</f>
        <v>2886</v>
      </c>
      <c r="Y334" s="3">
        <v>2886</v>
      </c>
      <c r="Z334" s="3">
        <f t="shared" si="179"/>
        <v>2888</v>
      </c>
      <c r="AA334" s="3">
        <f>IF(ISERROR(VLOOKUP($A334,'SegEnds_NonXtal_BW#'!$A:$Z,19,FALSE)+VLOOKUP($A334,A:AL,28,FALSE)-50),"-",(VLOOKUP($A334,'SegEnds_NonXtal_BW#'!$A:$Z,19,FALSE)+VLOOKUP($A334,A:AL,28,FALSE)-50))</f>
        <v>2891</v>
      </c>
      <c r="AB334" s="3">
        <v>2905</v>
      </c>
      <c r="AC334" s="3">
        <f>IF(ISERROR((VLOOKUP($A334,'SegEnds_NonXtal_BW#'!$A:$Z,20,FALSE)+VLOOKUP($A334,A:AL,28,FALSE)-50)),"-",(VLOOKUP($A334,'SegEnds_NonXtal_BW#'!$A:$Z,20,FALSE)+VLOOKUP($A334,A:AL,28,FALSE)-50))</f>
        <v>2924</v>
      </c>
      <c r="AD334" s="3">
        <f>IF(ISERROR(VLOOKUP($A334,'SegEnds_NonXtal_BW#'!$A:$Z,21,FALSE)+VLOOKUP($A334,A:AL,31,FALSE)-50),"-",(VLOOKUP($A334,'SegEnds_NonXtal_BW#'!$A:$Z,21,FALSE)+VLOOKUP($A334,A:AL,31,FALSE)-50))</f>
        <v>2934</v>
      </c>
      <c r="AE334" s="3">
        <v>2955</v>
      </c>
      <c r="AF334" s="3">
        <f>IF(ISERROR((VLOOKUP($A334,'SegEnds_NonXtal_BW#'!$A:$Z,22,FALSE)+VLOOKUP($A334,A:AL,31,FALSE)-50)),"-",(VLOOKUP($A334,'SegEnds_NonXtal_BW#'!$A:$Z,22,FALSE)+VLOOKUP($A334,A:AL,31,FALSE)-50))</f>
        <v>2959</v>
      </c>
      <c r="AG334" s="3">
        <f>IF(ISERROR(VLOOKUP($A334,'SegEnds_NonXtal_BW#'!$A:$Z,23,FALSE)+VLOOKUP($A334,A:AL,34,FALSE)-50),"-",(VLOOKUP($A334,'SegEnds_NonXtal_BW#'!$A:$Z,23,FALSE)+VLOOKUP($A334,A:AL,34,FALSE)-50))</f>
        <v>2964</v>
      </c>
      <c r="AH334" s="3">
        <v>2983</v>
      </c>
      <c r="AI334" s="3">
        <f>IF(ISERROR((VLOOKUP($A334,'SegEnds_NonXtal_BW#'!$A:$Z,24,FALSE)+VLOOKUP($A334,A:AL,34,FALSE)-50)),"-",(VLOOKUP($A334,'SegEnds_NonXtal_BW#'!$A:$Z,24,FALSE)+VLOOKUP($A334,A:AL,34,FALSE)-50))</f>
        <v>2989</v>
      </c>
      <c r="AJ334" s="3">
        <f>IF(ISERROR(VLOOKUP($A334,'SegEnds_NonXtal_BW#'!$A:$Z,25,FALSE)+VLOOKUP($A334,A:AL,37,FALSE)-50),"-",(VLOOKUP($A334,'SegEnds_NonXtal_BW#'!$A:$Z,25,FALSE)+VLOOKUP($A334,A:AL,37,FALSE)-50))</f>
        <v>2990</v>
      </c>
      <c r="AK334" s="3">
        <v>2993</v>
      </c>
      <c r="AL334" s="3">
        <f>IF(ISERROR((VLOOKUP($A334,'SegEnds_NonXtal_BW#'!$A:$Z,26,FALSE)+VLOOKUP($A334,A:AL,37,FALSE)-50)),"-",(VLOOKUP($A334,'SegEnds_NonXtal_BW#'!$A:$Z,26,FALSE)+VLOOKUP($A334,A:AL,37,FALSE)-50))</f>
        <v>3006</v>
      </c>
      <c r="AM334" s="28" t="str">
        <f>VLOOKUP(A334,Classification!A:B,2,FALSE)</f>
        <v>B2</v>
      </c>
      <c r="AN334" s="28" t="b">
        <f t="shared" si="195"/>
        <v>1</v>
      </c>
      <c r="AO334" s="3" t="str">
        <f>IF(ISERROR(MATCH(A334,'SegEnds_Xtal_Prot#'!B:B, 0)), "NoXtal", "Xtal")</f>
        <v>NoXtal</v>
      </c>
      <c r="AP334" s="3" t="str">
        <f t="shared" si="180"/>
        <v>-</v>
      </c>
      <c r="AQ334" s="3" t="str">
        <f t="shared" si="181"/>
        <v>-</v>
      </c>
      <c r="AR334" s="3" t="str">
        <f t="shared" si="182"/>
        <v>-</v>
      </c>
      <c r="AS334" s="3" t="str">
        <f t="shared" si="183"/>
        <v>-</v>
      </c>
      <c r="AT334" s="3" t="str">
        <f t="shared" si="184"/>
        <v>-</v>
      </c>
      <c r="AU334" s="3" t="str">
        <f t="shared" si="185"/>
        <v>-</v>
      </c>
      <c r="AV334" s="3">
        <f t="shared" si="186"/>
        <v>10</v>
      </c>
      <c r="AW334" s="3">
        <f t="shared" si="187"/>
        <v>3</v>
      </c>
      <c r="AX334" s="3">
        <f t="shared" si="188"/>
        <v>10</v>
      </c>
      <c r="AY334" s="3">
        <f t="shared" si="189"/>
        <v>5</v>
      </c>
      <c r="AZ334" s="3">
        <f t="shared" si="190"/>
        <v>1</v>
      </c>
      <c r="BA334" s="3">
        <f>IF(ISERROR(LEN(VLOOKUP(A334,Seqs!A:E,2,FALSE))-AL334),"-",LEN(VLOOKUP(A334,Seqs!A:E,2,FALSE))-AL334)</f>
        <v>74</v>
      </c>
      <c r="BB334" s="16">
        <f t="shared" si="191"/>
        <v>29</v>
      </c>
      <c r="BC334" s="9" t="str">
        <f t="shared" si="192"/>
        <v>-</v>
      </c>
      <c r="BD334" s="3">
        <f t="shared" si="193"/>
        <v>29</v>
      </c>
      <c r="BE334" s="3">
        <f t="shared" si="194"/>
        <v>50</v>
      </c>
    </row>
    <row r="335" spans="1:59" s="3" customFormat="1" x14ac:dyDescent="0.2">
      <c r="A335" s="3" t="s">
        <v>1197</v>
      </c>
      <c r="B335" s="3" t="str">
        <f>LOWER(VLOOKUP(A335,Xtal_Templ!A:B,2,FALSE))</f>
        <v>pth1r_human</v>
      </c>
      <c r="C335" s="3">
        <f>VLOOKUP($A335,'SegEnds_NonXtal_BW#'!$A:$Z,3,FALSE)+D335-50</f>
        <v>236</v>
      </c>
      <c r="D335" s="3">
        <v>263</v>
      </c>
      <c r="E335" s="3">
        <f>IF(ISERROR(VLOOKUP($A335,'SegEnds_NonXtal_BW#'!$A:$Z,4,FALSE)+VLOOKUP($A335,A:AL,4,FALSE)-50),"-",(VLOOKUP($A335,'SegEnds_NonXtal_BW#'!$A:$Z,4,FALSE)+VLOOKUP($A335,A:AL,4,FALSE)-50))</f>
        <v>273</v>
      </c>
      <c r="F335" s="3" t="s">
        <v>23</v>
      </c>
      <c r="G335" s="3" t="s">
        <v>23</v>
      </c>
      <c r="H335" s="3" t="s">
        <v>23</v>
      </c>
      <c r="I335" s="3">
        <f>VLOOKUP($A335,'SegEnds_NonXtal_BW#'!$A:$Z,7,FALSE)+J335-50</f>
        <v>278</v>
      </c>
      <c r="J335" s="3">
        <v>291</v>
      </c>
      <c r="K335" s="3">
        <f>VLOOKUP($A335,'SegEnds_NonXtal_BW#'!$A:$Z,8,FALSE)+VLOOKUP($A335,A:AL,10,FALSE)-50</f>
        <v>304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312</v>
      </c>
      <c r="P335" s="3">
        <v>339</v>
      </c>
      <c r="Q335" s="3">
        <f>VLOOKUP($A335,'SegEnds_NonXtal_BW#'!$A:$Z,12,FALSE)+VLOOKUP($A335,A:AL,16,FALSE)-50</f>
        <v>345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350</v>
      </c>
      <c r="V335" s="3">
        <v>363</v>
      </c>
      <c r="W335" s="3">
        <f>IF(ISERROR(VLOOKUP($A335,'SegEnds_NonXtal_BW#'!$A:$Z,16,FALSE)+VLOOKUP($A335,A:AL,22,FALSE)-50),"-",(VLOOKUP($A335,'SegEnds_NonXtal_BW#'!$A:$Z,16,FALSE)+VLOOKUP($A335,A:AL,22,FALSE)-50))</f>
        <v>381</v>
      </c>
      <c r="X335" s="3">
        <f>IF(ISERROR(VLOOKUP($A335,'SegEnds_NonXtal_BW#'!$A:$Z,17,FALSE)+VLOOKUP($A335,A:AL,25,FALSE)-50),"-",(VLOOKUP($A335,'SegEnds_NonXtal_BW#'!$A:$Z,17,FALSE)+VLOOKUP($A335,A:AL,25,FALSE)-50))</f>
        <v>404</v>
      </c>
      <c r="Y335" s="3">
        <v>404</v>
      </c>
      <c r="Z335" s="3">
        <f t="shared" si="179"/>
        <v>406</v>
      </c>
      <c r="AA335" s="3">
        <f>IF(ISERROR(VLOOKUP($A335,'SegEnds_NonXtal_BW#'!$A:$Z,19,FALSE)+VLOOKUP($A335,A:AL,28,FALSE)-50),"-",(VLOOKUP($A335,'SegEnds_NonXtal_BW#'!$A:$Z,19,FALSE)+VLOOKUP($A335,A:AL,28,FALSE)-50))</f>
        <v>409</v>
      </c>
      <c r="AB335" s="3">
        <v>423</v>
      </c>
      <c r="AC335" s="3">
        <f>IF(ISERROR((VLOOKUP($A335,'SegEnds_NonXtal_BW#'!$A:$Z,20,FALSE)+VLOOKUP($A335,A:AL,28,FALSE)-50)),"-",(VLOOKUP($A335,'SegEnds_NonXtal_BW#'!$A:$Z,20,FALSE)+VLOOKUP($A335,A:AL,28,FALSE)-50))</f>
        <v>442</v>
      </c>
      <c r="AD335" s="3">
        <f>IF(ISERROR(VLOOKUP($A335,'SegEnds_NonXtal_BW#'!$A:$Z,21,FALSE)+VLOOKUP($A335,A:AL,31,FALSE)-50),"-",(VLOOKUP($A335,'SegEnds_NonXtal_BW#'!$A:$Z,21,FALSE)+VLOOKUP($A335,A:AL,31,FALSE)-50))</f>
        <v>451</v>
      </c>
      <c r="AE335" s="3">
        <v>472</v>
      </c>
      <c r="AF335" s="3">
        <f>IF(ISERROR((VLOOKUP($A335,'SegEnds_NonXtal_BW#'!$A:$Z,22,FALSE)+VLOOKUP($A335,A:AL,31,FALSE)-50)),"-",(VLOOKUP($A335,'SegEnds_NonXtal_BW#'!$A:$Z,22,FALSE)+VLOOKUP($A335,A:AL,31,FALSE)-50))</f>
        <v>476</v>
      </c>
      <c r="AG335" s="3">
        <f>IF(ISERROR(VLOOKUP($A335,'SegEnds_NonXtal_BW#'!$A:$Z,23,FALSE)+VLOOKUP($A335,A:AL,34,FALSE)-50),"-",(VLOOKUP($A335,'SegEnds_NonXtal_BW#'!$A:$Z,23,FALSE)+VLOOKUP($A335,A:AL,34,FALSE)-50))</f>
        <v>481</v>
      </c>
      <c r="AH335" s="3">
        <v>500</v>
      </c>
      <c r="AI335" s="3">
        <f>IF(ISERROR((VLOOKUP($A335,'SegEnds_NonXtal_BW#'!$A:$Z,24,FALSE)+VLOOKUP($A335,A:AL,34,FALSE)-50)),"-",(VLOOKUP($A335,'SegEnds_NonXtal_BW#'!$A:$Z,24,FALSE)+VLOOKUP($A335,A:AL,34,FALSE)-50))</f>
        <v>506</v>
      </c>
      <c r="AJ335" s="3">
        <f>IF(ISERROR(VLOOKUP($A335,'SegEnds_NonXtal_BW#'!$A:$Z,25,FALSE)+VLOOKUP($A335,A:AL,37,FALSE)-50),"-",(VLOOKUP($A335,'SegEnds_NonXtal_BW#'!$A:$Z,25,FALSE)+VLOOKUP($A335,A:AL,37,FALSE)-50))</f>
        <v>507</v>
      </c>
      <c r="AK335" s="3">
        <v>510</v>
      </c>
      <c r="AL335" s="3">
        <f>IF(ISERROR((VLOOKUP($A335,'SegEnds_NonXtal_BW#'!$A:$Z,26,FALSE)+VLOOKUP($A335,A:AL,37,FALSE)-50)),"-",(VLOOKUP($A335,'SegEnds_NonXtal_BW#'!$A:$Z,26,FALSE)+VLOOKUP($A335,A:AL,37,FALSE)-50))</f>
        <v>523</v>
      </c>
      <c r="AM335" s="28" t="str">
        <f>VLOOKUP(A335,Classification!A:B,2,FALSE)</f>
        <v>B2</v>
      </c>
      <c r="AN335" s="28" t="b">
        <f t="shared" si="195"/>
        <v>1</v>
      </c>
      <c r="AO335" s="3" t="str">
        <f>IF(ISERROR(MATCH(A335,'SegEnds_Xtal_Prot#'!B:B, 0)), "NoXtal", "Xtal")</f>
        <v>NoXtal</v>
      </c>
      <c r="AP335" s="3" t="str">
        <f t="shared" si="180"/>
        <v>-</v>
      </c>
      <c r="AQ335" s="3" t="str">
        <f t="shared" si="181"/>
        <v>-</v>
      </c>
      <c r="AR335" s="3" t="str">
        <f t="shared" si="182"/>
        <v>-</v>
      </c>
      <c r="AS335" s="3" t="str">
        <f t="shared" si="183"/>
        <v>-</v>
      </c>
      <c r="AT335" s="3" t="str">
        <f t="shared" si="184"/>
        <v>-</v>
      </c>
      <c r="AU335" s="3" t="str">
        <f t="shared" si="185"/>
        <v>-</v>
      </c>
      <c r="AV335" s="3">
        <f t="shared" si="186"/>
        <v>23</v>
      </c>
      <c r="AW335" s="3">
        <f t="shared" si="187"/>
        <v>3</v>
      </c>
      <c r="AX335" s="3">
        <f t="shared" si="188"/>
        <v>9</v>
      </c>
      <c r="AY335" s="3">
        <f t="shared" si="189"/>
        <v>5</v>
      </c>
      <c r="AZ335" s="3">
        <f t="shared" si="190"/>
        <v>1</v>
      </c>
      <c r="BA335" s="3">
        <f>IF(ISERROR(LEN(VLOOKUP(A335,Seqs!A:E,2,FALSE))-AL335),"-",LEN(VLOOKUP(A335,Seqs!A:E,2,FALSE))-AL335)</f>
        <v>5</v>
      </c>
      <c r="BB335" s="16">
        <f t="shared" si="191"/>
        <v>28</v>
      </c>
      <c r="BC335" s="9" t="str">
        <f t="shared" si="192"/>
        <v>-</v>
      </c>
      <c r="BD335" s="3">
        <f t="shared" si="193"/>
        <v>28</v>
      </c>
      <c r="BE335" s="3">
        <f t="shared" si="194"/>
        <v>49</v>
      </c>
      <c r="BF335" s="3">
        <f>AH335-AE335</f>
        <v>28</v>
      </c>
    </row>
    <row r="336" spans="1:59" s="3" customFormat="1" x14ac:dyDescent="0.2">
      <c r="A336" s="3" t="s">
        <v>1414</v>
      </c>
      <c r="B336" s="3" t="str">
        <f>LOWER(VLOOKUP(A336,Xtal_Templ!A:B,2,FALSE))</f>
        <v>crfr1_human</v>
      </c>
      <c r="C336" s="3">
        <f>VLOOKUP($A336,'SegEnds_NonXtal_BW#'!$A:$Z,3,FALSE)+D336-50</f>
        <v>852</v>
      </c>
      <c r="D336" s="3">
        <v>879</v>
      </c>
      <c r="E336" s="3">
        <f>IF(ISERROR(VLOOKUP($A336,'SegEnds_NonXtal_BW#'!$A:$Z,4,FALSE)+VLOOKUP($A336,A:AL,4,FALSE)-50),"-",(VLOOKUP($A336,'SegEnds_NonXtal_BW#'!$A:$Z,4,FALSE)+VLOOKUP($A336,A:AL,4,FALSE)-50))</f>
        <v>889</v>
      </c>
      <c r="F336" s="3">
        <f>G336-2</f>
        <v>890</v>
      </c>
      <c r="G336" s="3">
        <v>892</v>
      </c>
      <c r="H336" s="3">
        <f>G336+1</f>
        <v>893</v>
      </c>
      <c r="I336" s="3">
        <f>H336+1</f>
        <v>894</v>
      </c>
      <c r="J336" s="3">
        <v>908</v>
      </c>
      <c r="K336" s="3">
        <f>VLOOKUP($A336,'SegEnds_NonXtal_BW#'!$A:$Z,8,FALSE)+VLOOKUP($A336,A:AL,10,FALSE)-50</f>
        <v>921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928</v>
      </c>
      <c r="P336" s="3">
        <v>955</v>
      </c>
      <c r="Q336" s="3">
        <f>VLOOKUP($A336,'SegEnds_NonXtal_BW#'!$A:$Z,12,FALSE)+VLOOKUP($A336,A:AL,16,FALSE)-50</f>
        <v>961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969</v>
      </c>
      <c r="V336" s="3">
        <v>979</v>
      </c>
      <c r="W336" s="3">
        <f>IF(ISERROR(VLOOKUP($A336,'SegEnds_NonXtal_BW#'!$A:$Z,16,FALSE)+VLOOKUP($A336,A:AL,22,FALSE)-50),"-",(VLOOKUP($A336,'SegEnds_NonXtal_BW#'!$A:$Z,16,FALSE)+VLOOKUP($A336,A:AL,22,FALSE)-50))</f>
        <v>997</v>
      </c>
      <c r="X336" s="3">
        <f>IF(ISERROR(VLOOKUP($A336,'SegEnds_NonXtal_BW#'!$A:$Z,17,FALSE)+VLOOKUP($A336,A:AL,25,FALSE)-50),"-",(VLOOKUP($A336,'SegEnds_NonXtal_BW#'!$A:$Z,17,FALSE)+VLOOKUP($A336,A:AL,25,FALSE)-50))</f>
        <v>1013</v>
      </c>
      <c r="Y336" s="3">
        <v>1013</v>
      </c>
      <c r="Z336" s="3">
        <f t="shared" si="179"/>
        <v>1015</v>
      </c>
      <c r="AA336" s="3">
        <f>IF(ISERROR(VLOOKUP($A336,'SegEnds_NonXtal_BW#'!$A:$Z,19,FALSE)+VLOOKUP($A336,A:AL,28,FALSE)-50),"-",(VLOOKUP($A336,'SegEnds_NonXtal_BW#'!$A:$Z,19,FALSE)+VLOOKUP($A336,A:AL,28,FALSE)-50))</f>
        <v>1018</v>
      </c>
      <c r="AB336" s="3">
        <v>1032</v>
      </c>
      <c r="AC336" s="3">
        <f>IF(ISERROR((VLOOKUP($A336,'SegEnds_NonXtal_BW#'!$A:$Z,20,FALSE)+VLOOKUP($A336,A:AL,28,FALSE)-50)),"-",(VLOOKUP($A336,'SegEnds_NonXtal_BW#'!$A:$Z,20,FALSE)+VLOOKUP($A336,A:AL,28,FALSE)-50))</f>
        <v>1051</v>
      </c>
      <c r="AD336" s="3">
        <f>IF(ISERROR(VLOOKUP($A336,'SegEnds_NonXtal_BW#'!$A:$Z,21,FALSE)+VLOOKUP($A336,A:AL,31,FALSE)-50),"-",(VLOOKUP($A336,'SegEnds_NonXtal_BW#'!$A:$Z,21,FALSE)+VLOOKUP($A336,A:AL,31,FALSE)-50))</f>
        <v>1062</v>
      </c>
      <c r="AE336" s="3">
        <v>1083</v>
      </c>
      <c r="AF336" s="3">
        <f>IF(ISERROR((VLOOKUP($A336,'SegEnds_NonXtal_BW#'!$A:$Z,22,FALSE)+VLOOKUP($A336,A:AL,31,FALSE)-50)),"-",(VLOOKUP($A336,'SegEnds_NonXtal_BW#'!$A:$Z,22,FALSE)+VLOOKUP($A336,A:AL,31,FALSE)-50))</f>
        <v>1086</v>
      </c>
      <c r="AG336" s="3">
        <f>IF(ISERROR(VLOOKUP($A336,'SegEnds_NonXtal_BW#'!$A:$Z,23,FALSE)+VLOOKUP($A336,A:AL,34,FALSE)-50),"-",(VLOOKUP($A336,'SegEnds_NonXtal_BW#'!$A:$Z,23,FALSE)+VLOOKUP($A336,A:AL,34,FALSE)-50))</f>
        <v>1092</v>
      </c>
      <c r="AH336" s="3">
        <v>1111</v>
      </c>
      <c r="AI336" s="3">
        <f>IF(ISERROR((VLOOKUP($A336,'SegEnds_NonXtal_BW#'!$A:$Z,24,FALSE)+VLOOKUP($A336,A:AL,34,FALSE)-50)),"-",(VLOOKUP($A336,'SegEnds_NonXtal_BW#'!$A:$Z,24,FALSE)+VLOOKUP($A336,A:AL,34,FALSE)-50))</f>
        <v>1117</v>
      </c>
      <c r="AJ336" s="3">
        <f>IF(ISERROR(VLOOKUP($A336,'SegEnds_NonXtal_BW#'!$A:$Z,25,FALSE)+VLOOKUP($A336,A:AL,37,FALSE)-50),"-",(VLOOKUP($A336,'SegEnds_NonXtal_BW#'!$A:$Z,25,FALSE)+VLOOKUP($A336,A:AL,37,FALSE)-50))</f>
        <v>1118</v>
      </c>
      <c r="AK336" s="3">
        <v>1121</v>
      </c>
      <c r="AL336" s="3">
        <f>IF(ISERROR((VLOOKUP($A336,'SegEnds_NonXtal_BW#'!$A:$Z,26,FALSE)+VLOOKUP($A336,A:AL,37,FALSE)-50)),"-",(VLOOKUP($A336,'SegEnds_NonXtal_BW#'!$A:$Z,26,FALSE)+VLOOKUP($A336,A:AL,37,FALSE)-50))</f>
        <v>1134</v>
      </c>
      <c r="AM336" s="28" t="str">
        <f>VLOOKUP(A336,Classification!A:B,2,FALSE)</f>
        <v>B2</v>
      </c>
      <c r="AN336" s="28" t="b">
        <f t="shared" si="195"/>
        <v>1</v>
      </c>
      <c r="AO336" s="3" t="str">
        <f>IF(ISERROR(MATCH(A336,'SegEnds_Xtal_Prot#'!B:B, 0)), "NoXtal", "Xtal")</f>
        <v>NoXtal</v>
      </c>
      <c r="AP336" s="3">
        <f t="shared" si="180"/>
        <v>1</v>
      </c>
      <c r="AQ336" s="3">
        <f t="shared" si="181"/>
        <v>1</v>
      </c>
      <c r="AR336" s="3" t="str">
        <f t="shared" si="182"/>
        <v>-</v>
      </c>
      <c r="AS336" s="3" t="str">
        <f t="shared" si="183"/>
        <v>-</v>
      </c>
      <c r="AT336" s="3" t="str">
        <f t="shared" si="184"/>
        <v>-</v>
      </c>
      <c r="AU336" s="3" t="str">
        <f t="shared" si="185"/>
        <v>-</v>
      </c>
      <c r="AV336" s="3">
        <f t="shared" si="186"/>
        <v>16</v>
      </c>
      <c r="AW336" s="3">
        <f t="shared" si="187"/>
        <v>3</v>
      </c>
      <c r="AX336" s="3">
        <f t="shared" si="188"/>
        <v>11</v>
      </c>
      <c r="AY336" s="3">
        <f t="shared" si="189"/>
        <v>6</v>
      </c>
      <c r="AZ336" s="3">
        <f t="shared" si="190"/>
        <v>1</v>
      </c>
      <c r="BA336" s="3">
        <f>IF(ISERROR(LEN(VLOOKUP(A336,Seqs!A:E,2,FALSE))-AL336),"-",LEN(VLOOKUP(A336,Seqs!A:E,2,FALSE))-AL336)</f>
        <v>87</v>
      </c>
      <c r="BB336" s="16">
        <f t="shared" si="191"/>
        <v>29</v>
      </c>
      <c r="BC336" s="9" t="str">
        <f t="shared" si="192"/>
        <v>-</v>
      </c>
      <c r="BD336" s="3">
        <f t="shared" si="193"/>
        <v>29</v>
      </c>
      <c r="BE336" s="3">
        <f t="shared" si="194"/>
        <v>51</v>
      </c>
    </row>
    <row r="337" spans="1:58" s="3" customFormat="1" x14ac:dyDescent="0.2">
      <c r="A337" s="3" t="s">
        <v>1198</v>
      </c>
      <c r="B337" s="3" t="str">
        <f>LOWER(VLOOKUP(A337,Xtal_Templ!A:B,2,FALSE))</f>
        <v>pth1r_human</v>
      </c>
      <c r="C337" s="3">
        <f>VLOOKUP($A337,'SegEnds_NonXtal_BW#'!$A:$Z,3,FALSE)+D337-50</f>
        <v>422</v>
      </c>
      <c r="D337" s="3">
        <v>449</v>
      </c>
      <c r="E337" s="3">
        <f>IF(ISERROR(VLOOKUP($A337,'SegEnds_NonXtal_BW#'!$A:$Z,4,FALSE)+VLOOKUP($A337,A:AL,4,FALSE)-50),"-",(VLOOKUP($A337,'SegEnds_NonXtal_BW#'!$A:$Z,4,FALSE)+VLOOKUP($A337,A:AL,4,FALSE)-50))</f>
        <v>459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465</v>
      </c>
      <c r="J337" s="3">
        <v>478</v>
      </c>
      <c r="K337" s="3">
        <f>VLOOKUP($A337,'SegEnds_NonXtal_BW#'!$A:$Z,8,FALSE)+VLOOKUP($A337,A:AL,10,FALSE)-50</f>
        <v>493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519</v>
      </c>
      <c r="P337" s="3">
        <v>551</v>
      </c>
      <c r="Q337" s="3">
        <f>VLOOKUP($A337,'SegEnds_NonXtal_BW#'!$A:$Z,12,FALSE)+VLOOKUP($A337,A:AL,16,FALSE)-50</f>
        <v>557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562</v>
      </c>
      <c r="V337" s="3">
        <v>575</v>
      </c>
      <c r="W337" s="3">
        <f>IF(ISERROR(VLOOKUP($A337,'SegEnds_NonXtal_BW#'!$A:$Z,16,FALSE)+VLOOKUP($A337,A:AL,22,FALSE)-50),"-",(VLOOKUP($A337,'SegEnds_NonXtal_BW#'!$A:$Z,16,FALSE)+VLOOKUP($A337,A:AL,22,FALSE)-50))</f>
        <v>593</v>
      </c>
      <c r="X337" s="3">
        <f>IF(ISERROR(VLOOKUP($A337,'SegEnds_NonXtal_BW#'!$A:$Z,17,FALSE)+VLOOKUP($A337,A:AL,25,FALSE)-50),"-",(VLOOKUP($A337,'SegEnds_NonXtal_BW#'!$A:$Z,17,FALSE)+VLOOKUP($A337,A:AL,25,FALSE)-50))</f>
        <v>609</v>
      </c>
      <c r="Y337" s="3">
        <v>609</v>
      </c>
      <c r="Z337" s="3">
        <f t="shared" si="179"/>
        <v>611</v>
      </c>
      <c r="AA337" s="3">
        <f>IF(ISERROR(VLOOKUP($A337,'SegEnds_NonXtal_BW#'!$A:$Z,19,FALSE)+VLOOKUP($A337,A:AL,28,FALSE)-50),"-",(VLOOKUP($A337,'SegEnds_NonXtal_BW#'!$A:$Z,19,FALSE)+VLOOKUP($A337,A:AL,28,FALSE)-50))</f>
        <v>621</v>
      </c>
      <c r="AB337" s="3">
        <v>635</v>
      </c>
      <c r="AC337" s="3">
        <f>IF(ISERROR((VLOOKUP($A337,'SegEnds_NonXtal_BW#'!$A:$Z,20,FALSE)+VLOOKUP($A337,A:AL,28,FALSE)-50)),"-",(VLOOKUP($A337,'SegEnds_NonXtal_BW#'!$A:$Z,20,FALSE)+VLOOKUP($A337,A:AL,28,FALSE)-50))</f>
        <v>654</v>
      </c>
      <c r="AD337" s="3">
        <f>IF(ISERROR(VLOOKUP($A337,'SegEnds_NonXtal_BW#'!$A:$Z,21,FALSE)+VLOOKUP($A337,A:AL,31,FALSE)-50),"-",(VLOOKUP($A337,'SegEnds_NonXtal_BW#'!$A:$Z,21,FALSE)+VLOOKUP($A337,A:AL,31,FALSE)-50))</f>
        <v>665</v>
      </c>
      <c r="AE337" s="3">
        <v>686</v>
      </c>
      <c r="AF337" s="3">
        <f>IF(ISERROR((VLOOKUP($A337,'SegEnds_NonXtal_BW#'!$A:$Z,22,FALSE)+VLOOKUP($A337,A:AL,31,FALSE)-50)),"-",(VLOOKUP($A337,'SegEnds_NonXtal_BW#'!$A:$Z,22,FALSE)+VLOOKUP($A337,A:AL,31,FALSE)-50))</f>
        <v>690</v>
      </c>
      <c r="AG337" s="3">
        <f>IF(ISERROR(VLOOKUP($A337,'SegEnds_NonXtal_BW#'!$A:$Z,23,FALSE)+VLOOKUP($A337,A:AL,34,FALSE)-50),"-",(VLOOKUP($A337,'SegEnds_NonXtal_BW#'!$A:$Z,23,FALSE)+VLOOKUP($A337,A:AL,34,FALSE)-50))</f>
        <v>696</v>
      </c>
      <c r="AH337" s="3">
        <v>717</v>
      </c>
      <c r="AI337" s="3">
        <f>IF(ISERROR((VLOOKUP($A337,'SegEnds_NonXtal_BW#'!$A:$Z,24,FALSE)+VLOOKUP($A337,A:AL,34,FALSE)-50)),"-",(VLOOKUP($A337,'SegEnds_NonXtal_BW#'!$A:$Z,24,FALSE)+VLOOKUP($A337,A:AL,34,FALSE)-50))</f>
        <v>723</v>
      </c>
      <c r="AJ337" s="3">
        <f>IF(ISERROR(VLOOKUP($A337,'SegEnds_NonXtal_BW#'!$A:$Z,25,FALSE)+VLOOKUP($A337,A:AL,37,FALSE)-50),"-",(VLOOKUP($A337,'SegEnds_NonXtal_BW#'!$A:$Z,25,FALSE)+VLOOKUP($A337,A:AL,37,FALSE)-50))</f>
        <v>724</v>
      </c>
      <c r="AK337" s="3">
        <v>727</v>
      </c>
      <c r="AL337" s="3">
        <f>IF(ISERROR((VLOOKUP($A337,'SegEnds_NonXtal_BW#'!$A:$Z,26,FALSE)+VLOOKUP($A337,A:AL,37,FALSE)-50)),"-",(VLOOKUP($A337,'SegEnds_NonXtal_BW#'!$A:$Z,26,FALSE)+VLOOKUP($A337,A:AL,37,FALSE)-50))</f>
        <v>740</v>
      </c>
      <c r="AM337" s="28" t="str">
        <f>VLOOKUP(A337,Classification!A:B,2,FALSE)</f>
        <v>B2</v>
      </c>
      <c r="AN337" s="28" t="b">
        <f t="shared" si="195"/>
        <v>1</v>
      </c>
      <c r="AO337" s="3" t="str">
        <f>IF(ISERROR(MATCH(A337,'SegEnds_Xtal_Prot#'!B:B, 0)), "NoXtal", "Xtal")</f>
        <v>NoXtal</v>
      </c>
      <c r="AP337" s="3" t="str">
        <f t="shared" si="180"/>
        <v>-</v>
      </c>
      <c r="AQ337" s="3" t="str">
        <f t="shared" si="181"/>
        <v>-</v>
      </c>
      <c r="AR337" s="3" t="str">
        <f t="shared" si="182"/>
        <v>-</v>
      </c>
      <c r="AS337" s="3" t="str">
        <f t="shared" si="183"/>
        <v>-</v>
      </c>
      <c r="AT337" s="3" t="str">
        <f t="shared" si="184"/>
        <v>-</v>
      </c>
      <c r="AU337" s="3" t="str">
        <f t="shared" si="185"/>
        <v>-</v>
      </c>
      <c r="AV337" s="3">
        <f t="shared" si="186"/>
        <v>16</v>
      </c>
      <c r="AW337" s="3">
        <f t="shared" si="187"/>
        <v>10</v>
      </c>
      <c r="AX337" s="3">
        <f t="shared" si="188"/>
        <v>11</v>
      </c>
      <c r="AY337" s="3">
        <f t="shared" si="189"/>
        <v>6</v>
      </c>
      <c r="AZ337" s="3">
        <f t="shared" si="190"/>
        <v>1</v>
      </c>
      <c r="BA337" s="3">
        <f>IF(ISERROR(LEN(VLOOKUP(A337,Seqs!A:E,2,FALSE))-AL337),"-",LEN(VLOOKUP(A337,Seqs!A:E,2,FALSE))-AL337)</f>
        <v>57</v>
      </c>
      <c r="BB337" s="16">
        <f t="shared" si="191"/>
        <v>29</v>
      </c>
      <c r="BC337" s="9" t="str">
        <f t="shared" si="192"/>
        <v>-</v>
      </c>
      <c r="BD337" s="3">
        <f t="shared" si="193"/>
        <v>29</v>
      </c>
      <c r="BE337" s="3">
        <f t="shared" si="194"/>
        <v>51</v>
      </c>
    </row>
    <row r="338" spans="1:58" s="3" customFormat="1" x14ac:dyDescent="0.2">
      <c r="A338" s="3" t="s">
        <v>1199</v>
      </c>
      <c r="B338" s="3" t="str">
        <f>LOWER(VLOOKUP(A338,Xtal_Templ!A:B,2,FALSE))</f>
        <v>crfr1_human</v>
      </c>
      <c r="C338" s="3">
        <f>VLOOKUP($A338,'SegEnds_NonXtal_BW#'!$A:$Z,3,FALSE)+D338-50</f>
        <v>848</v>
      </c>
      <c r="D338" s="3">
        <v>875</v>
      </c>
      <c r="E338" s="3">
        <f>IF(ISERROR(VLOOKUP($A338,'SegEnds_NonXtal_BW#'!$A:$Z,4,FALSE)+VLOOKUP($A338,A:AL,4,FALSE)-50),"-",(VLOOKUP($A338,'SegEnds_NonXtal_BW#'!$A:$Z,4,FALSE)+VLOOKUP($A338,A:AL,4,FALSE)-50))</f>
        <v>885</v>
      </c>
      <c r="F338" s="3">
        <f>G338-2</f>
        <v>886</v>
      </c>
      <c r="G338" s="3">
        <v>888</v>
      </c>
      <c r="H338" s="3">
        <f>G338+1</f>
        <v>889</v>
      </c>
      <c r="I338" s="3">
        <f>H338+1</f>
        <v>890</v>
      </c>
      <c r="J338" s="3">
        <v>903</v>
      </c>
      <c r="K338" s="3">
        <f>VLOOKUP($A338,'SegEnds_NonXtal_BW#'!$A:$Z,8,FALSE)+VLOOKUP($A338,A:AL,10,FALSE)-50</f>
        <v>916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921</v>
      </c>
      <c r="P338" s="3">
        <v>948</v>
      </c>
      <c r="Q338" s="3">
        <f>VLOOKUP($A338,'SegEnds_NonXtal_BW#'!$A:$Z,12,FALSE)+VLOOKUP($A338,A:AL,16,FALSE)-50</f>
        <v>954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961</v>
      </c>
      <c r="V338" s="3">
        <v>971</v>
      </c>
      <c r="W338" s="3">
        <f>IF(ISERROR(VLOOKUP($A338,'SegEnds_NonXtal_BW#'!$A:$Z,16,FALSE)+VLOOKUP($A338,A:AL,22,FALSE)-50),"-",(VLOOKUP($A338,'SegEnds_NonXtal_BW#'!$A:$Z,16,FALSE)+VLOOKUP($A338,A:AL,22,FALSE)-50))</f>
        <v>989</v>
      </c>
      <c r="X338" s="3">
        <f>IF(ISERROR(VLOOKUP($A338,'SegEnds_NonXtal_BW#'!$A:$Z,17,FALSE)+VLOOKUP($A338,A:AL,25,FALSE)-50),"-",(VLOOKUP($A338,'SegEnds_NonXtal_BW#'!$A:$Z,17,FALSE)+VLOOKUP($A338,A:AL,25,FALSE)-50))</f>
        <v>995</v>
      </c>
      <c r="Y338" s="3">
        <v>995</v>
      </c>
      <c r="Z338" s="3">
        <f t="shared" si="179"/>
        <v>997</v>
      </c>
      <c r="AA338" s="3">
        <f>IF(ISERROR(VLOOKUP($A338,'SegEnds_NonXtal_BW#'!$A:$Z,19,FALSE)+VLOOKUP($A338,A:AL,28,FALSE)-50),"-",(VLOOKUP($A338,'SegEnds_NonXtal_BW#'!$A:$Z,19,FALSE)+VLOOKUP($A338,A:AL,28,FALSE)-50))</f>
        <v>1000</v>
      </c>
      <c r="AB338" s="3">
        <v>1014</v>
      </c>
      <c r="AC338" s="3">
        <f>IF(ISERROR((VLOOKUP($A338,'SegEnds_NonXtal_BW#'!$A:$Z,20,FALSE)+VLOOKUP($A338,A:AL,28,FALSE)-50)),"-",(VLOOKUP($A338,'SegEnds_NonXtal_BW#'!$A:$Z,20,FALSE)+VLOOKUP($A338,A:AL,28,FALSE)-50))</f>
        <v>1033</v>
      </c>
      <c r="AD338" s="3">
        <f>IF(ISERROR(VLOOKUP($A338,'SegEnds_NonXtal_BW#'!$A:$Z,21,FALSE)+VLOOKUP($A338,A:AL,31,FALSE)-50),"-",(VLOOKUP($A338,'SegEnds_NonXtal_BW#'!$A:$Z,21,FALSE)+VLOOKUP($A338,A:AL,31,FALSE)-50))</f>
        <v>1045</v>
      </c>
      <c r="AE338" s="3">
        <v>1066</v>
      </c>
      <c r="AF338" s="3">
        <f>IF(ISERROR((VLOOKUP($A338,'SegEnds_NonXtal_BW#'!$A:$Z,22,FALSE)+VLOOKUP($A338,A:AL,31,FALSE)-50)),"-",(VLOOKUP($A338,'SegEnds_NonXtal_BW#'!$A:$Z,22,FALSE)+VLOOKUP($A338,A:AL,31,FALSE)-50))</f>
        <v>1069</v>
      </c>
      <c r="AG338" s="3">
        <f>IF(ISERROR(VLOOKUP($A338,'SegEnds_NonXtal_BW#'!$A:$Z,23,FALSE)+VLOOKUP($A338,A:AL,34,FALSE)-50),"-",(VLOOKUP($A338,'SegEnds_NonXtal_BW#'!$A:$Z,23,FALSE)+VLOOKUP($A338,A:AL,34,FALSE)-50))</f>
        <v>1075</v>
      </c>
      <c r="AH338" s="3">
        <v>1094</v>
      </c>
      <c r="AI338" s="3">
        <f>IF(ISERROR((VLOOKUP($A338,'SegEnds_NonXtal_BW#'!$A:$Z,24,FALSE)+VLOOKUP($A338,A:AL,34,FALSE)-50)),"-",(VLOOKUP($A338,'SegEnds_NonXtal_BW#'!$A:$Z,24,FALSE)+VLOOKUP($A338,A:AL,34,FALSE)-50))</f>
        <v>1100</v>
      </c>
      <c r="AJ338" s="3">
        <f>IF(ISERROR(VLOOKUP($A338,'SegEnds_NonXtal_BW#'!$A:$Z,25,FALSE)+VLOOKUP($A338,A:AL,37,FALSE)-50),"-",(VLOOKUP($A338,'SegEnds_NonXtal_BW#'!$A:$Z,25,FALSE)+VLOOKUP($A338,A:AL,37,FALSE)-50))</f>
        <v>1101</v>
      </c>
      <c r="AK338" s="3">
        <v>1104</v>
      </c>
      <c r="AL338" s="3">
        <f>IF(ISERROR((VLOOKUP($A338,'SegEnds_NonXtal_BW#'!$A:$Z,26,FALSE)+VLOOKUP($A338,A:AL,37,FALSE)-50)),"-",(VLOOKUP($A338,'SegEnds_NonXtal_BW#'!$A:$Z,26,FALSE)+VLOOKUP($A338,A:AL,37,FALSE)-50))</f>
        <v>1117</v>
      </c>
      <c r="AM338" s="28" t="str">
        <f>VLOOKUP(A338,Classification!A:B,2,FALSE)</f>
        <v>B2</v>
      </c>
      <c r="AN338" s="28" t="b">
        <f t="shared" si="195"/>
        <v>1</v>
      </c>
      <c r="AO338" s="3" t="str">
        <f>IF(ISERROR(MATCH(A338,'SegEnds_Xtal_Prot#'!B:B, 0)), "NoXtal", "Xtal")</f>
        <v>NoXtal</v>
      </c>
      <c r="AP338" s="3">
        <f t="shared" si="180"/>
        <v>1</v>
      </c>
      <c r="AQ338" s="3">
        <f t="shared" si="181"/>
        <v>1</v>
      </c>
      <c r="AR338" s="3" t="str">
        <f t="shared" si="182"/>
        <v>-</v>
      </c>
      <c r="AS338" s="3" t="str">
        <f t="shared" si="183"/>
        <v>-</v>
      </c>
      <c r="AT338" s="3" t="str">
        <f t="shared" si="184"/>
        <v>-</v>
      </c>
      <c r="AU338" s="3" t="str">
        <f t="shared" si="185"/>
        <v>-</v>
      </c>
      <c r="AV338" s="3">
        <f t="shared" si="186"/>
        <v>6</v>
      </c>
      <c r="AW338" s="3">
        <f t="shared" si="187"/>
        <v>3</v>
      </c>
      <c r="AX338" s="3">
        <f t="shared" si="188"/>
        <v>12</v>
      </c>
      <c r="AY338" s="3">
        <f t="shared" si="189"/>
        <v>6</v>
      </c>
      <c r="AZ338" s="3">
        <f t="shared" si="190"/>
        <v>1</v>
      </c>
      <c r="BA338" s="3">
        <f>IF(ISERROR(LEN(VLOOKUP(A338,Seqs!A:E,2,FALSE))-AL338),"-",LEN(VLOOKUP(A338,Seqs!A:E,2,FALSE))-AL338)</f>
        <v>357</v>
      </c>
      <c r="BB338" s="16">
        <f t="shared" si="191"/>
        <v>28</v>
      </c>
      <c r="BC338" s="9" t="str">
        <f t="shared" si="192"/>
        <v>-</v>
      </c>
      <c r="BD338" s="3">
        <f t="shared" si="193"/>
        <v>28</v>
      </c>
      <c r="BE338" s="3">
        <f t="shared" si="194"/>
        <v>52</v>
      </c>
    </row>
    <row r="339" spans="1:58" s="3" customFormat="1" x14ac:dyDescent="0.2">
      <c r="A339" s="3" t="s">
        <v>1200</v>
      </c>
      <c r="B339" s="3" t="str">
        <f>LOWER(VLOOKUP(A339,Xtal_Templ!A:B,2,FALSE))</f>
        <v>calcr_human</v>
      </c>
      <c r="C339" s="3">
        <f>VLOOKUP($A339,'SegEnds_NonXtal_BW#'!$A:$Z,3,FALSE)+D339-50</f>
        <v>835</v>
      </c>
      <c r="D339" s="3">
        <v>862</v>
      </c>
      <c r="E339" s="3">
        <f>IF(ISERROR(VLOOKUP($A339,'SegEnds_NonXtal_BW#'!$A:$Z,4,FALSE)+VLOOKUP($A339,A:AL,4,FALSE)-50),"-",(VLOOKUP($A339,'SegEnds_NonXtal_BW#'!$A:$Z,4,FALSE)+VLOOKUP($A339,A:AL,4,FALSE)-50))</f>
        <v>872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877</v>
      </c>
      <c r="J339" s="3">
        <v>890</v>
      </c>
      <c r="K339" s="3">
        <f>VLOOKUP($A339,'SegEnds_NonXtal_BW#'!$A:$Z,8,FALSE)+VLOOKUP($A339,A:AL,10,FALSE)-50</f>
        <v>903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908</v>
      </c>
      <c r="P339" s="3">
        <v>935</v>
      </c>
      <c r="Q339" s="3">
        <f>VLOOKUP($A339,'SegEnds_NonXtal_BW#'!$A:$Z,12,FALSE)+VLOOKUP($A339,A:AL,16,FALSE)-50</f>
        <v>941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949</v>
      </c>
      <c r="V339" s="3">
        <v>958</v>
      </c>
      <c r="W339" s="3">
        <f>IF(ISERROR(VLOOKUP($A339,'SegEnds_NonXtal_BW#'!$A:$Z,16,FALSE)+VLOOKUP($A339,A:AL,22,FALSE)-50),"-",(VLOOKUP($A339,'SegEnds_NonXtal_BW#'!$A:$Z,16,FALSE)+VLOOKUP($A339,A:AL,22,FALSE)-50))</f>
        <v>976</v>
      </c>
      <c r="X339" s="3">
        <f>IF(ISERROR(VLOOKUP($A339,'SegEnds_NonXtal_BW#'!$A:$Z,17,FALSE)+VLOOKUP($A339,A:AL,25,FALSE)-50),"-",(VLOOKUP($A339,'SegEnds_NonXtal_BW#'!$A:$Z,17,FALSE)+VLOOKUP($A339,A:AL,25,FALSE)-50))</f>
        <v>982</v>
      </c>
      <c r="Y339" s="3">
        <v>982</v>
      </c>
      <c r="Z339" s="3">
        <f t="shared" si="179"/>
        <v>984</v>
      </c>
      <c r="AA339" s="3">
        <f>IF(ISERROR(VLOOKUP($A339,'SegEnds_NonXtal_BW#'!$A:$Z,19,FALSE)+VLOOKUP($A339,A:AL,28,FALSE)-50),"-",(VLOOKUP($A339,'SegEnds_NonXtal_BW#'!$A:$Z,19,FALSE)+VLOOKUP($A339,A:AL,28,FALSE)-50))</f>
        <v>987</v>
      </c>
      <c r="AB339" s="3">
        <v>1001</v>
      </c>
      <c r="AC339" s="3">
        <f>IF(ISERROR((VLOOKUP($A339,'SegEnds_NonXtal_BW#'!$A:$Z,20,FALSE)+VLOOKUP($A339,A:AL,28,FALSE)-50)),"-",(VLOOKUP($A339,'SegEnds_NonXtal_BW#'!$A:$Z,20,FALSE)+VLOOKUP($A339,A:AL,28,FALSE)-50))</f>
        <v>1020</v>
      </c>
      <c r="AD339" s="3">
        <f>IF(ISERROR(VLOOKUP($A339,'SegEnds_NonXtal_BW#'!$A:$Z,21,FALSE)+VLOOKUP($A339,A:AL,31,FALSE)-50),"-",(VLOOKUP($A339,'SegEnds_NonXtal_BW#'!$A:$Z,21,FALSE)+VLOOKUP($A339,A:AL,31,FALSE)-50))</f>
        <v>1032</v>
      </c>
      <c r="AE339" s="3">
        <v>1053</v>
      </c>
      <c r="AF339" s="3">
        <f>IF(ISERROR((VLOOKUP($A339,'SegEnds_NonXtal_BW#'!$A:$Z,22,FALSE)+VLOOKUP($A339,A:AL,31,FALSE)-50)),"-",(VLOOKUP($A339,'SegEnds_NonXtal_BW#'!$A:$Z,22,FALSE)+VLOOKUP($A339,A:AL,31,FALSE)-50))</f>
        <v>1056</v>
      </c>
      <c r="AG339" s="3">
        <f>IF(ISERROR(VLOOKUP($A339,'SegEnds_NonXtal_BW#'!$A:$Z,23,FALSE)+VLOOKUP($A339,A:AL,34,FALSE)-50),"-",(VLOOKUP($A339,'SegEnds_NonXtal_BW#'!$A:$Z,23,FALSE)+VLOOKUP($A339,A:AL,34,FALSE)-50))</f>
        <v>1062</v>
      </c>
      <c r="AH339" s="3">
        <v>1081</v>
      </c>
      <c r="AI339" s="3">
        <f>IF(ISERROR((VLOOKUP($A339,'SegEnds_NonXtal_BW#'!$A:$Z,24,FALSE)+VLOOKUP($A339,A:AL,34,FALSE)-50)),"-",(VLOOKUP($A339,'SegEnds_NonXtal_BW#'!$A:$Z,24,FALSE)+VLOOKUP($A339,A:AL,34,FALSE)-50))</f>
        <v>1087</v>
      </c>
      <c r="AJ339" s="3">
        <f>IF(ISERROR(VLOOKUP($A339,'SegEnds_NonXtal_BW#'!$A:$Z,25,FALSE)+VLOOKUP($A339,A:AL,37,FALSE)-50),"-",(VLOOKUP($A339,'SegEnds_NonXtal_BW#'!$A:$Z,25,FALSE)+VLOOKUP($A339,A:AL,37,FALSE)-50))</f>
        <v>1088</v>
      </c>
      <c r="AK339" s="3">
        <v>1091</v>
      </c>
      <c r="AL339" s="3">
        <f>IF(ISERROR((VLOOKUP($A339,'SegEnds_NonXtal_BW#'!$A:$Z,26,FALSE)+VLOOKUP($A339,A:AL,37,FALSE)-50)),"-",(VLOOKUP($A339,'SegEnds_NonXtal_BW#'!$A:$Z,26,FALSE)+VLOOKUP($A339,A:AL,37,FALSE)-50))</f>
        <v>1104</v>
      </c>
      <c r="AM339" s="28" t="str">
        <f>VLOOKUP(A339,Classification!A:B,2,FALSE)</f>
        <v>B2</v>
      </c>
      <c r="AN339" s="28" t="b">
        <f t="shared" si="195"/>
        <v>1</v>
      </c>
      <c r="AO339" s="3" t="str">
        <f>IF(ISERROR(MATCH(A339,'SegEnds_Xtal_Prot#'!B:B, 0)), "NoXtal", "Xtal")</f>
        <v>NoXtal</v>
      </c>
      <c r="AP339" s="3" t="str">
        <f t="shared" si="180"/>
        <v>-</v>
      </c>
      <c r="AQ339" s="3" t="str">
        <f t="shared" si="181"/>
        <v>-</v>
      </c>
      <c r="AR339" s="3" t="str">
        <f t="shared" si="182"/>
        <v>-</v>
      </c>
      <c r="AS339" s="3" t="str">
        <f t="shared" si="183"/>
        <v>-</v>
      </c>
      <c r="AT339" s="3" t="str">
        <f t="shared" si="184"/>
        <v>-</v>
      </c>
      <c r="AU339" s="3" t="str">
        <f t="shared" si="185"/>
        <v>-</v>
      </c>
      <c r="AV339" s="3">
        <f t="shared" si="186"/>
        <v>6</v>
      </c>
      <c r="AW339" s="3">
        <f t="shared" si="187"/>
        <v>3</v>
      </c>
      <c r="AX339" s="3">
        <f t="shared" si="188"/>
        <v>12</v>
      </c>
      <c r="AY339" s="3">
        <f t="shared" si="189"/>
        <v>6</v>
      </c>
      <c r="AZ339" s="3">
        <f t="shared" si="190"/>
        <v>1</v>
      </c>
      <c r="BA339" s="3">
        <f>IF(ISERROR(LEN(VLOOKUP(A339,Seqs!A:E,2,FALSE))-AL339),"-",LEN(VLOOKUP(A339,Seqs!A:E,2,FALSE))-AL339)</f>
        <v>355</v>
      </c>
      <c r="BB339" s="16">
        <f t="shared" si="191"/>
        <v>28</v>
      </c>
      <c r="BC339" s="9" t="str">
        <f t="shared" si="192"/>
        <v>-</v>
      </c>
      <c r="BD339" s="3">
        <f t="shared" si="193"/>
        <v>28</v>
      </c>
      <c r="BE339" s="3">
        <f t="shared" si="194"/>
        <v>52</v>
      </c>
    </row>
    <row r="340" spans="1:58" s="3" customFormat="1" x14ac:dyDescent="0.2">
      <c r="A340" s="3" t="s">
        <v>1201</v>
      </c>
      <c r="B340" s="3" t="str">
        <f>LOWER(VLOOKUP(A340,Xtal_Templ!A:B,2,FALSE))</f>
        <v>crfr1_human</v>
      </c>
      <c r="C340" s="3">
        <f>VLOOKUP($A340,'SegEnds_NonXtal_BW#'!$A:$Z,3,FALSE)+D340-50</f>
        <v>852</v>
      </c>
      <c r="D340" s="3">
        <v>879</v>
      </c>
      <c r="E340" s="3">
        <f>IF(ISERROR(VLOOKUP($A340,'SegEnds_NonXtal_BW#'!$A:$Z,4,FALSE)+VLOOKUP($A340,A:AL,4,FALSE)-50),"-",(VLOOKUP($A340,'SegEnds_NonXtal_BW#'!$A:$Z,4,FALSE)+VLOOKUP($A340,A:AL,4,FALSE)-50))</f>
        <v>889</v>
      </c>
      <c r="F340" s="3">
        <f>G340-2</f>
        <v>890</v>
      </c>
      <c r="G340" s="3">
        <v>892</v>
      </c>
      <c r="H340" s="3">
        <f>G340+1</f>
        <v>893</v>
      </c>
      <c r="I340" s="3">
        <f>H340+1</f>
        <v>894</v>
      </c>
      <c r="J340" s="3">
        <v>907</v>
      </c>
      <c r="K340" s="3">
        <f>VLOOKUP($A340,'SegEnds_NonXtal_BW#'!$A:$Z,8,FALSE)+VLOOKUP($A340,A:AL,10,FALSE)-50</f>
        <v>920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925</v>
      </c>
      <c r="P340" s="3">
        <v>952</v>
      </c>
      <c r="Q340" s="3">
        <f>VLOOKUP($A340,'SegEnds_NonXtal_BW#'!$A:$Z,12,FALSE)+VLOOKUP($A340,A:AL,16,FALSE)-50</f>
        <v>958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965</v>
      </c>
      <c r="V340" s="3">
        <v>975</v>
      </c>
      <c r="W340" s="3">
        <f>IF(ISERROR(VLOOKUP($A340,'SegEnds_NonXtal_BW#'!$A:$Z,16,FALSE)+VLOOKUP($A340,A:AL,22,FALSE)-50),"-",(VLOOKUP($A340,'SegEnds_NonXtal_BW#'!$A:$Z,16,FALSE)+VLOOKUP($A340,A:AL,22,FALSE)-50))</f>
        <v>993</v>
      </c>
      <c r="X340" s="3">
        <f>IF(ISERROR(VLOOKUP($A340,'SegEnds_NonXtal_BW#'!$A:$Z,17,FALSE)+VLOOKUP($A340,A:AL,25,FALSE)-50),"-",(VLOOKUP($A340,'SegEnds_NonXtal_BW#'!$A:$Z,17,FALSE)+VLOOKUP($A340,A:AL,25,FALSE)-50))</f>
        <v>999</v>
      </c>
      <c r="Y340" s="3">
        <v>999</v>
      </c>
      <c r="Z340" s="3">
        <f t="shared" si="179"/>
        <v>1001</v>
      </c>
      <c r="AA340" s="3">
        <f>IF(ISERROR(VLOOKUP($A340,'SegEnds_NonXtal_BW#'!$A:$Z,19,FALSE)+VLOOKUP($A340,A:AL,28,FALSE)-50),"-",(VLOOKUP($A340,'SegEnds_NonXtal_BW#'!$A:$Z,19,FALSE)+VLOOKUP($A340,A:AL,28,FALSE)-50))</f>
        <v>1004</v>
      </c>
      <c r="AB340" s="3">
        <v>1018</v>
      </c>
      <c r="AC340" s="3">
        <f>IF(ISERROR((VLOOKUP($A340,'SegEnds_NonXtal_BW#'!$A:$Z,20,FALSE)+VLOOKUP($A340,A:AL,28,FALSE)-50)),"-",(VLOOKUP($A340,'SegEnds_NonXtal_BW#'!$A:$Z,20,FALSE)+VLOOKUP($A340,A:AL,28,FALSE)-50))</f>
        <v>1037</v>
      </c>
      <c r="AD340" s="3">
        <f>IF(ISERROR(VLOOKUP($A340,'SegEnds_NonXtal_BW#'!$A:$Z,21,FALSE)+VLOOKUP($A340,A:AL,31,FALSE)-50),"-",(VLOOKUP($A340,'SegEnds_NonXtal_BW#'!$A:$Z,21,FALSE)+VLOOKUP($A340,A:AL,31,FALSE)-50))</f>
        <v>1049</v>
      </c>
      <c r="AE340" s="3">
        <v>1070</v>
      </c>
      <c r="AF340" s="3">
        <f>IF(ISERROR((VLOOKUP($A340,'SegEnds_NonXtal_BW#'!$A:$Z,22,FALSE)+VLOOKUP($A340,A:AL,31,FALSE)-50)),"-",(VLOOKUP($A340,'SegEnds_NonXtal_BW#'!$A:$Z,22,FALSE)+VLOOKUP($A340,A:AL,31,FALSE)-50))</f>
        <v>1073</v>
      </c>
      <c r="AG340" s="3">
        <f>IF(ISERROR(VLOOKUP($A340,'SegEnds_NonXtal_BW#'!$A:$Z,23,FALSE)+VLOOKUP($A340,A:AL,34,FALSE)-50),"-",(VLOOKUP($A340,'SegEnds_NonXtal_BW#'!$A:$Z,23,FALSE)+VLOOKUP($A340,A:AL,34,FALSE)-50))</f>
        <v>1079</v>
      </c>
      <c r="AH340" s="3">
        <v>1098</v>
      </c>
      <c r="AI340" s="3">
        <f>IF(ISERROR((VLOOKUP($A340,'SegEnds_NonXtal_BW#'!$A:$Z,24,FALSE)+VLOOKUP($A340,A:AL,34,FALSE)-50)),"-",(VLOOKUP($A340,'SegEnds_NonXtal_BW#'!$A:$Z,24,FALSE)+VLOOKUP($A340,A:AL,34,FALSE)-50))</f>
        <v>1104</v>
      </c>
      <c r="AJ340" s="3">
        <f>IF(ISERROR(VLOOKUP($A340,'SegEnds_NonXtal_BW#'!$A:$Z,25,FALSE)+VLOOKUP($A340,A:AL,37,FALSE)-50),"-",(VLOOKUP($A340,'SegEnds_NonXtal_BW#'!$A:$Z,25,FALSE)+VLOOKUP($A340,A:AL,37,FALSE)-50))</f>
        <v>1105</v>
      </c>
      <c r="AK340" s="3">
        <v>1108</v>
      </c>
      <c r="AL340" s="3">
        <f>IF(ISERROR((VLOOKUP($A340,'SegEnds_NonXtal_BW#'!$A:$Z,26,FALSE)+VLOOKUP($A340,A:AL,37,FALSE)-50)),"-",(VLOOKUP($A340,'SegEnds_NonXtal_BW#'!$A:$Z,26,FALSE)+VLOOKUP($A340,A:AL,37,FALSE)-50))</f>
        <v>1121</v>
      </c>
      <c r="AM340" s="28" t="str">
        <f>VLOOKUP(A340,Classification!A:B,2,FALSE)</f>
        <v>B2</v>
      </c>
      <c r="AN340" s="28" t="b">
        <f t="shared" si="195"/>
        <v>1</v>
      </c>
      <c r="AO340" s="3" t="str">
        <f>IF(ISERROR(MATCH(A340,'SegEnds_Xtal_Prot#'!B:B, 0)), "NoXtal", "Xtal")</f>
        <v>NoXtal</v>
      </c>
      <c r="AP340" s="3">
        <f t="shared" si="180"/>
        <v>1</v>
      </c>
      <c r="AQ340" s="3">
        <f t="shared" si="181"/>
        <v>1</v>
      </c>
      <c r="AR340" s="3" t="str">
        <f t="shared" si="182"/>
        <v>-</v>
      </c>
      <c r="AS340" s="3" t="str">
        <f t="shared" si="183"/>
        <v>-</v>
      </c>
      <c r="AT340" s="3" t="str">
        <f t="shared" si="184"/>
        <v>-</v>
      </c>
      <c r="AU340" s="3" t="str">
        <f t="shared" si="185"/>
        <v>-</v>
      </c>
      <c r="AV340" s="3">
        <f t="shared" si="186"/>
        <v>6</v>
      </c>
      <c r="AW340" s="3">
        <f t="shared" si="187"/>
        <v>3</v>
      </c>
      <c r="AX340" s="3">
        <f t="shared" si="188"/>
        <v>12</v>
      </c>
      <c r="AY340" s="3">
        <f t="shared" si="189"/>
        <v>6</v>
      </c>
      <c r="AZ340" s="3">
        <f t="shared" si="190"/>
        <v>1</v>
      </c>
      <c r="BA340" s="3">
        <f>IF(ISERROR(LEN(VLOOKUP(A340,Seqs!A:E,2,FALSE))-AL340),"-",LEN(VLOOKUP(A340,Seqs!A:E,2,FALSE))-AL340)</f>
        <v>326</v>
      </c>
      <c r="BB340" s="16">
        <f t="shared" si="191"/>
        <v>28</v>
      </c>
      <c r="BC340" s="9" t="str">
        <f t="shared" si="192"/>
        <v>-</v>
      </c>
      <c r="BD340" s="3">
        <f t="shared" si="193"/>
        <v>28</v>
      </c>
      <c r="BE340" s="3">
        <f t="shared" si="194"/>
        <v>52</v>
      </c>
    </row>
    <row r="341" spans="1:58" s="3" customFormat="1" x14ac:dyDescent="0.2">
      <c r="A341" s="3" t="s">
        <v>1202</v>
      </c>
      <c r="B341" s="3" t="str">
        <f>LOWER(VLOOKUP(A341,Xtal_Templ!A:B,2,FALSE))</f>
        <v>crfr1_human</v>
      </c>
      <c r="C341" s="3">
        <f>VLOOKUP($A341,'SegEnds_NonXtal_BW#'!$A:$Z,3,FALSE)+D341-50</f>
        <v>415</v>
      </c>
      <c r="D341" s="3">
        <v>442</v>
      </c>
      <c r="E341" s="3">
        <f>IF(ISERROR(VLOOKUP($A341,'SegEnds_NonXtal_BW#'!$A:$Z,4,FALSE)+VLOOKUP($A341,A:AL,4,FALSE)-50),"-",(VLOOKUP($A341,'SegEnds_NonXtal_BW#'!$A:$Z,4,FALSE)+VLOOKUP($A341,A:AL,4,FALSE)-50))</f>
        <v>452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457</v>
      </c>
      <c r="J341" s="3">
        <v>470</v>
      </c>
      <c r="K341" s="3">
        <f>VLOOKUP($A341,'SegEnds_NonXtal_BW#'!$A:$Z,8,FALSE)+VLOOKUP($A341,A:AL,10,FALSE)-50</f>
        <v>483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488</v>
      </c>
      <c r="P341" s="3">
        <v>515</v>
      </c>
      <c r="Q341" s="3">
        <f>VLOOKUP($A341,'SegEnds_NonXtal_BW#'!$A:$Z,12,FALSE)+VLOOKUP($A341,A:AL,16,FALSE)-50</f>
        <v>521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528</v>
      </c>
      <c r="V341" s="3">
        <v>538</v>
      </c>
      <c r="W341" s="3">
        <f>IF(ISERROR(VLOOKUP($A341,'SegEnds_NonXtal_BW#'!$A:$Z,16,FALSE)+VLOOKUP($A341,A:AL,22,FALSE)-50),"-",(VLOOKUP($A341,'SegEnds_NonXtal_BW#'!$A:$Z,16,FALSE)+VLOOKUP($A341,A:AL,22,FALSE)-50))</f>
        <v>556</v>
      </c>
      <c r="X341" s="3">
        <f>IF(ISERROR(VLOOKUP($A341,'SegEnds_NonXtal_BW#'!$A:$Z,17,FALSE)+VLOOKUP($A341,A:AL,25,FALSE)-50),"-",(VLOOKUP($A341,'SegEnds_NonXtal_BW#'!$A:$Z,17,FALSE)+VLOOKUP($A341,A:AL,25,FALSE)-50))</f>
        <v>562</v>
      </c>
      <c r="Y341" s="3">
        <v>562</v>
      </c>
      <c r="Z341" s="3">
        <f t="shared" si="179"/>
        <v>564</v>
      </c>
      <c r="AA341" s="3">
        <f>IF(ISERROR(VLOOKUP($A341,'SegEnds_NonXtal_BW#'!$A:$Z,19,FALSE)+VLOOKUP($A341,A:AL,28,FALSE)-50),"-",(VLOOKUP($A341,'SegEnds_NonXtal_BW#'!$A:$Z,19,FALSE)+VLOOKUP($A341,A:AL,28,FALSE)-50))</f>
        <v>567</v>
      </c>
      <c r="AB341" s="3">
        <v>581</v>
      </c>
      <c r="AC341" s="3">
        <f>IF(ISERROR((VLOOKUP($A341,'SegEnds_NonXtal_BW#'!$A:$Z,20,FALSE)+VLOOKUP($A341,A:AL,28,FALSE)-50)),"-",(VLOOKUP($A341,'SegEnds_NonXtal_BW#'!$A:$Z,20,FALSE)+VLOOKUP($A341,A:AL,28,FALSE)-50))</f>
        <v>600</v>
      </c>
      <c r="AD341" s="3">
        <f>IF(ISERROR(VLOOKUP($A341,'SegEnds_NonXtal_BW#'!$A:$Z,21,FALSE)+VLOOKUP($A341,A:AL,31,FALSE)-50),"-",(VLOOKUP($A341,'SegEnds_NonXtal_BW#'!$A:$Z,21,FALSE)+VLOOKUP($A341,A:AL,31,FALSE)-50))</f>
        <v>612</v>
      </c>
      <c r="AE341" s="3">
        <v>633</v>
      </c>
      <c r="AF341" s="3">
        <f>IF(ISERROR((VLOOKUP($A341,'SegEnds_NonXtal_BW#'!$A:$Z,22,FALSE)+VLOOKUP($A341,A:AL,31,FALSE)-50)),"-",(VLOOKUP($A341,'SegEnds_NonXtal_BW#'!$A:$Z,22,FALSE)+VLOOKUP($A341,A:AL,31,FALSE)-50))</f>
        <v>636</v>
      </c>
      <c r="AG341" s="3">
        <f>IF(ISERROR(VLOOKUP($A341,'SegEnds_NonXtal_BW#'!$A:$Z,23,FALSE)+VLOOKUP($A341,A:AL,34,FALSE)-50),"-",(VLOOKUP($A341,'SegEnds_NonXtal_BW#'!$A:$Z,23,FALSE)+VLOOKUP($A341,A:AL,34,FALSE)-50))</f>
        <v>642</v>
      </c>
      <c r="AH341" s="3">
        <v>661</v>
      </c>
      <c r="AI341" s="3">
        <f>IF(ISERROR((VLOOKUP($A341,'SegEnds_NonXtal_BW#'!$A:$Z,24,FALSE)+VLOOKUP($A341,A:AL,34,FALSE)-50)),"-",(VLOOKUP($A341,'SegEnds_NonXtal_BW#'!$A:$Z,24,FALSE)+VLOOKUP($A341,A:AL,34,FALSE)-50))</f>
        <v>667</v>
      </c>
      <c r="AJ341" s="3">
        <f>IF(ISERROR(VLOOKUP($A341,'SegEnds_NonXtal_BW#'!$A:$Z,25,FALSE)+VLOOKUP($A341,A:AL,37,FALSE)-50),"-",(VLOOKUP($A341,'SegEnds_NonXtal_BW#'!$A:$Z,25,FALSE)+VLOOKUP($A341,A:AL,37,FALSE)-50))</f>
        <v>668</v>
      </c>
      <c r="AK341" s="3">
        <v>671</v>
      </c>
      <c r="AL341" s="3">
        <f>IF(ISERROR((VLOOKUP($A341,'SegEnds_NonXtal_BW#'!$A:$Z,26,FALSE)+VLOOKUP($A341,A:AL,37,FALSE)-50)),"-",(VLOOKUP($A341,'SegEnds_NonXtal_BW#'!$A:$Z,26,FALSE)+VLOOKUP($A341,A:AL,37,FALSE)-50))</f>
        <v>684</v>
      </c>
      <c r="AM341" s="28" t="str">
        <f>VLOOKUP(A341,Classification!A:B,2,FALSE)</f>
        <v>B2</v>
      </c>
      <c r="AN341" s="28" t="b">
        <f t="shared" si="195"/>
        <v>1</v>
      </c>
      <c r="AO341" s="3" t="str">
        <f>IF(ISERROR(MATCH(A341,'SegEnds_Xtal_Prot#'!B:B, 0)), "NoXtal", "Xtal")</f>
        <v>NoXtal</v>
      </c>
      <c r="AP341" s="3" t="str">
        <f t="shared" si="180"/>
        <v>-</v>
      </c>
      <c r="AQ341" s="3" t="str">
        <f t="shared" si="181"/>
        <v>-</v>
      </c>
      <c r="AR341" s="3" t="str">
        <f t="shared" si="182"/>
        <v>-</v>
      </c>
      <c r="AS341" s="3" t="str">
        <f t="shared" si="183"/>
        <v>-</v>
      </c>
      <c r="AT341" s="3" t="str">
        <f t="shared" si="184"/>
        <v>-</v>
      </c>
      <c r="AU341" s="3" t="str">
        <f t="shared" si="185"/>
        <v>-</v>
      </c>
      <c r="AV341" s="3">
        <f t="shared" si="186"/>
        <v>6</v>
      </c>
      <c r="AW341" s="3">
        <f t="shared" si="187"/>
        <v>3</v>
      </c>
      <c r="AX341" s="3">
        <f t="shared" si="188"/>
        <v>12</v>
      </c>
      <c r="AY341" s="3">
        <f t="shared" si="189"/>
        <v>6</v>
      </c>
      <c r="AZ341" s="3">
        <f t="shared" si="190"/>
        <v>1</v>
      </c>
      <c r="BA341" s="3">
        <f>IF(ISERROR(LEN(VLOOKUP(A341,Seqs!A:E,2,FALSE))-AL341),"-",LEN(VLOOKUP(A341,Seqs!A:E,2,FALSE))-AL341)</f>
        <v>6</v>
      </c>
      <c r="BB341" s="16">
        <f t="shared" si="191"/>
        <v>28</v>
      </c>
      <c r="BC341" s="9" t="str">
        <f t="shared" si="192"/>
        <v>-</v>
      </c>
      <c r="BD341" s="3">
        <f t="shared" si="193"/>
        <v>28</v>
      </c>
      <c r="BE341" s="3">
        <f t="shared" si="194"/>
        <v>52</v>
      </c>
      <c r="BF341" s="3">
        <f>AH341-AE341</f>
        <v>28</v>
      </c>
    </row>
    <row r="342" spans="1:58" s="3" customFormat="1" x14ac:dyDescent="0.2">
      <c r="A342" s="3" t="s">
        <v>414</v>
      </c>
      <c r="B342" s="3" t="str">
        <f>LOWER(VLOOKUP(A342,Xtal_Templ!A:B,2,FALSE))</f>
        <v>crfr1_human</v>
      </c>
      <c r="C342" s="3">
        <f>VLOOKUP($A342,'SegEnds_NonXtal_BW#'!$A:$Z,3,FALSE)+D342-50</f>
        <v>935</v>
      </c>
      <c r="D342" s="3">
        <v>962</v>
      </c>
      <c r="E342" s="3">
        <f>IF(ISERROR(VLOOKUP($A342,'SegEnds_NonXtal_BW#'!$A:$Z,4,FALSE)+VLOOKUP($A342,A:AL,4,FALSE)-50),"-",(VLOOKUP($A342,'SegEnds_NonXtal_BW#'!$A:$Z,4,FALSE)+VLOOKUP($A342,A:AL,4,FALSE)-50))</f>
        <v>972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978</v>
      </c>
      <c r="J342" s="3">
        <v>991</v>
      </c>
      <c r="K342" s="3">
        <f>VLOOKUP($A342,'SegEnds_NonXtal_BW#'!$A:$Z,8,FALSE)+VLOOKUP($A342,A:AL,10,FALSE)-50</f>
        <v>1004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1009</v>
      </c>
      <c r="P342" s="3">
        <v>1036</v>
      </c>
      <c r="Q342" s="3">
        <f>VLOOKUP($A342,'SegEnds_NonXtal_BW#'!$A:$Z,12,FALSE)+VLOOKUP($A342,A:AL,16,FALSE)-50</f>
        <v>1042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1048</v>
      </c>
      <c r="V342" s="3">
        <v>1058</v>
      </c>
      <c r="W342" s="3">
        <f>IF(ISERROR(VLOOKUP($A342,'SegEnds_NonXtal_BW#'!$A:$Z,16,FALSE)+VLOOKUP($A342,A:AL,22,FALSE)-50),"-",(VLOOKUP($A342,'SegEnds_NonXtal_BW#'!$A:$Z,16,FALSE)+VLOOKUP($A342,A:AL,22,FALSE)-50))</f>
        <v>1076</v>
      </c>
      <c r="X342" s="3">
        <f>IF(ISERROR(VLOOKUP($A342,'SegEnds_NonXtal_BW#'!$A:$Z,17,FALSE)+VLOOKUP($A342,A:AL,25,FALSE)-50),"-",(VLOOKUP($A342,'SegEnds_NonXtal_BW#'!$A:$Z,17,FALSE)+VLOOKUP($A342,A:AL,25,FALSE)-50))</f>
        <v>1083</v>
      </c>
      <c r="Y342" s="3">
        <v>1083</v>
      </c>
      <c r="Z342" s="3">
        <f t="shared" si="179"/>
        <v>1085</v>
      </c>
      <c r="AA342" s="3">
        <f>IF(ISERROR(VLOOKUP($A342,'SegEnds_NonXtal_BW#'!$A:$Z,19,FALSE)+VLOOKUP($A342,A:AL,28,FALSE)-50),"-",(VLOOKUP($A342,'SegEnds_NonXtal_BW#'!$A:$Z,19,FALSE)+VLOOKUP($A342,A:AL,28,FALSE)-50))</f>
        <v>1088</v>
      </c>
      <c r="AB342" s="3">
        <v>1102</v>
      </c>
      <c r="AC342" s="3">
        <f>IF(ISERROR((VLOOKUP($A342,'SegEnds_NonXtal_BW#'!$A:$Z,20,FALSE)+VLOOKUP($A342,A:AL,28,FALSE)-50)),"-",(VLOOKUP($A342,'SegEnds_NonXtal_BW#'!$A:$Z,20,FALSE)+VLOOKUP($A342,A:AL,28,FALSE)-50))</f>
        <v>1121</v>
      </c>
      <c r="AD342" s="3">
        <f>IF(ISERROR(VLOOKUP($A342,'SegEnds_NonXtal_BW#'!$A:$Z,21,FALSE)+VLOOKUP($A342,A:AL,31,FALSE)-50),"-",(VLOOKUP($A342,'SegEnds_NonXtal_BW#'!$A:$Z,21,FALSE)+VLOOKUP($A342,A:AL,31,FALSE)-50))</f>
        <v>1131</v>
      </c>
      <c r="AE342" s="3">
        <v>1152</v>
      </c>
      <c r="AF342" s="3">
        <f>IF(ISERROR((VLOOKUP($A342,'SegEnds_NonXtal_BW#'!$A:$Z,22,FALSE)+VLOOKUP($A342,A:AL,31,FALSE)-50)),"-",(VLOOKUP($A342,'SegEnds_NonXtal_BW#'!$A:$Z,22,FALSE)+VLOOKUP($A342,A:AL,31,FALSE)-50))</f>
        <v>1155</v>
      </c>
      <c r="AG342" s="3">
        <f>IF(ISERROR(VLOOKUP($A342,'SegEnds_NonXtal_BW#'!$A:$Z,23,FALSE)+VLOOKUP($A342,A:AL,34,FALSE)-50),"-",(VLOOKUP($A342,'SegEnds_NonXtal_BW#'!$A:$Z,23,FALSE)+VLOOKUP($A342,A:AL,34,FALSE)-50))</f>
        <v>1162</v>
      </c>
      <c r="AH342" s="3">
        <v>1181</v>
      </c>
      <c r="AI342" s="3">
        <f>IF(ISERROR((VLOOKUP($A342,'SegEnds_NonXtal_BW#'!$A:$Z,24,FALSE)+VLOOKUP($A342,A:AL,34,FALSE)-50)),"-",(VLOOKUP($A342,'SegEnds_NonXtal_BW#'!$A:$Z,24,FALSE)+VLOOKUP($A342,A:AL,34,FALSE)-50))</f>
        <v>1187</v>
      </c>
      <c r="AJ342" s="3">
        <f>IF(ISERROR(VLOOKUP($A342,'SegEnds_NonXtal_BW#'!$A:$Z,25,FALSE)+VLOOKUP($A342,A:AL,37,FALSE)-50),"-",(VLOOKUP($A342,'SegEnds_NonXtal_BW#'!$A:$Z,25,FALSE)+VLOOKUP($A342,A:AL,37,FALSE)-50))</f>
        <v>1188</v>
      </c>
      <c r="AK342" s="3">
        <v>1191</v>
      </c>
      <c r="AL342" s="3">
        <f>IF(ISERROR((VLOOKUP($A342,'SegEnds_NonXtal_BW#'!$A:$Z,26,FALSE)+VLOOKUP($A342,A:AL,37,FALSE)-50)),"-",(VLOOKUP($A342,'SegEnds_NonXtal_BW#'!$A:$Z,26,FALSE)+VLOOKUP($A342,A:AL,37,FALSE)-50))</f>
        <v>1204</v>
      </c>
      <c r="AM342" s="28" t="str">
        <f>VLOOKUP(A342,Classification!A:B,2,FALSE)</f>
        <v>B2</v>
      </c>
      <c r="AN342" s="28" t="b">
        <f t="shared" si="195"/>
        <v>1</v>
      </c>
      <c r="AO342" s="3" t="str">
        <f>IF(ISERROR(MATCH(A342,'SegEnds_Xtal_Prot#'!B:B, 0)), "NoXtal", "Xtal")</f>
        <v>NoXtal</v>
      </c>
      <c r="AP342" s="3" t="str">
        <f t="shared" si="180"/>
        <v>-</v>
      </c>
      <c r="AQ342" s="3" t="str">
        <f t="shared" si="181"/>
        <v>-</v>
      </c>
      <c r="AR342" s="3" t="str">
        <f t="shared" si="182"/>
        <v>-</v>
      </c>
      <c r="AS342" s="3" t="str">
        <f t="shared" si="183"/>
        <v>-</v>
      </c>
      <c r="AT342" s="3" t="str">
        <f t="shared" si="184"/>
        <v>-</v>
      </c>
      <c r="AU342" s="3" t="str">
        <f t="shared" si="185"/>
        <v>-</v>
      </c>
      <c r="AV342" s="3">
        <f t="shared" si="186"/>
        <v>7</v>
      </c>
      <c r="AW342" s="3">
        <f t="shared" si="187"/>
        <v>3</v>
      </c>
      <c r="AX342" s="3">
        <f t="shared" si="188"/>
        <v>10</v>
      </c>
      <c r="AY342" s="3">
        <f t="shared" si="189"/>
        <v>7</v>
      </c>
      <c r="AZ342" s="3">
        <f t="shared" si="190"/>
        <v>1</v>
      </c>
      <c r="BA342" s="3">
        <f>IF(ISERROR(LEN(VLOOKUP(A342,Seqs!A:E,2,FALSE))-AL342),"-",LEN(VLOOKUP(A342,Seqs!A:E,2,FALSE))-AL342)</f>
        <v>380</v>
      </c>
      <c r="BB342" s="16">
        <f t="shared" si="191"/>
        <v>29</v>
      </c>
      <c r="BC342" s="9" t="str">
        <f t="shared" si="192"/>
        <v>-</v>
      </c>
      <c r="BD342" s="3">
        <f t="shared" si="193"/>
        <v>29</v>
      </c>
      <c r="BE342" s="3">
        <f t="shared" si="194"/>
        <v>50</v>
      </c>
    </row>
    <row r="343" spans="1:58" s="3" customFormat="1" x14ac:dyDescent="0.2">
      <c r="A343" s="3" t="s">
        <v>417</v>
      </c>
      <c r="B343" s="3" t="str">
        <f>LOWER(VLOOKUP(A343,Xtal_Templ!A:B,2,FALSE))</f>
        <v>glp1r_human</v>
      </c>
      <c r="C343" s="3">
        <f>VLOOKUP($A343,'SegEnds_NonXtal_BW#'!$A:$Z,3,FALSE)+D343-50</f>
        <v>535</v>
      </c>
      <c r="D343" s="3">
        <v>562</v>
      </c>
      <c r="E343" s="3">
        <f>IF(ISERROR(VLOOKUP($A343,'SegEnds_NonXtal_BW#'!$A:$Z,4,FALSE)+VLOOKUP($A343,A:AL,4,FALSE)-50),"-",(VLOOKUP($A343,'SegEnds_NonXtal_BW#'!$A:$Z,4,FALSE)+VLOOKUP($A343,A:AL,4,FALSE)-50))</f>
        <v>572</v>
      </c>
      <c r="F343" s="3" t="s">
        <v>23</v>
      </c>
      <c r="G343" s="3" t="s">
        <v>23</v>
      </c>
      <c r="H343" s="3" t="s">
        <v>23</v>
      </c>
      <c r="I343" s="3">
        <f>VLOOKUP($A343,'SegEnds_NonXtal_BW#'!$A:$Z,7,FALSE)+J343-50</f>
        <v>577</v>
      </c>
      <c r="J343" s="3">
        <v>590</v>
      </c>
      <c r="K343" s="3">
        <f>VLOOKUP($A343,'SegEnds_NonXtal_BW#'!$A:$Z,8,FALSE)+VLOOKUP($A343,A:AL,10,FALSE)-50</f>
        <v>603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610</v>
      </c>
      <c r="P343" s="3">
        <v>637</v>
      </c>
      <c r="Q343" s="3">
        <f>VLOOKUP($A343,'SegEnds_NonXtal_BW#'!$A:$Z,12,FALSE)+VLOOKUP($A343,A:AL,16,FALSE)-50</f>
        <v>643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648</v>
      </c>
      <c r="V343" s="3">
        <v>660</v>
      </c>
      <c r="W343" s="3">
        <f>IF(ISERROR(VLOOKUP($A343,'SegEnds_NonXtal_BW#'!$A:$Z,16,FALSE)+VLOOKUP($A343,A:AL,22,FALSE)-50),"-",(VLOOKUP($A343,'SegEnds_NonXtal_BW#'!$A:$Z,16,FALSE)+VLOOKUP($A343,A:AL,22,FALSE)-50))</f>
        <v>678</v>
      </c>
      <c r="X343" s="3">
        <f>IF(ISERROR(VLOOKUP($A343,'SegEnds_NonXtal_BW#'!$A:$Z,17,FALSE)+VLOOKUP($A343,A:AL,25,FALSE)-50),"-",(VLOOKUP($A343,'SegEnds_NonXtal_BW#'!$A:$Z,17,FALSE)+VLOOKUP($A343,A:AL,25,FALSE)-50))</f>
        <v>684</v>
      </c>
      <c r="Y343" s="3">
        <v>684</v>
      </c>
      <c r="Z343" s="3">
        <f t="shared" si="179"/>
        <v>686</v>
      </c>
      <c r="AA343" s="3">
        <f>IF(ISERROR(VLOOKUP($A343,'SegEnds_NonXtal_BW#'!$A:$Z,19,FALSE)+VLOOKUP($A343,A:AL,28,FALSE)-50),"-",(VLOOKUP($A343,'SegEnds_NonXtal_BW#'!$A:$Z,19,FALSE)+VLOOKUP($A343,A:AL,28,FALSE)-50))</f>
        <v>689</v>
      </c>
      <c r="AB343" s="3">
        <v>703</v>
      </c>
      <c r="AC343" s="3">
        <f>IF(ISERROR((VLOOKUP($A343,'SegEnds_NonXtal_BW#'!$A:$Z,20,FALSE)+VLOOKUP($A343,A:AL,28,FALSE)-50)),"-",(VLOOKUP($A343,'SegEnds_NonXtal_BW#'!$A:$Z,20,FALSE)+VLOOKUP($A343,A:AL,28,FALSE)-50))</f>
        <v>722</v>
      </c>
      <c r="AD343" s="3">
        <f>IF(ISERROR(VLOOKUP($A343,'SegEnds_NonXtal_BW#'!$A:$Z,21,FALSE)+VLOOKUP($A343,A:AL,31,FALSE)-50),"-",(VLOOKUP($A343,'SegEnds_NonXtal_BW#'!$A:$Z,21,FALSE)+VLOOKUP($A343,A:AL,31,FALSE)-50))</f>
        <v>734</v>
      </c>
      <c r="AE343" s="3">
        <v>755</v>
      </c>
      <c r="AF343" s="3">
        <f>IF(ISERROR((VLOOKUP($A343,'SegEnds_NonXtal_BW#'!$A:$Z,22,FALSE)+VLOOKUP($A343,A:AL,31,FALSE)-50)),"-",(VLOOKUP($A343,'SegEnds_NonXtal_BW#'!$A:$Z,22,FALSE)+VLOOKUP($A343,A:AL,31,FALSE)-50))</f>
        <v>758</v>
      </c>
      <c r="AG343" s="3">
        <f>IF(ISERROR(VLOOKUP($A343,'SegEnds_NonXtal_BW#'!$A:$Z,23,FALSE)+VLOOKUP($A343,A:AL,34,FALSE)-50),"-",(VLOOKUP($A343,'SegEnds_NonXtal_BW#'!$A:$Z,23,FALSE)+VLOOKUP($A343,A:AL,34,FALSE)-50))</f>
        <v>764</v>
      </c>
      <c r="AH343" s="3">
        <v>783</v>
      </c>
      <c r="AI343" s="3">
        <f>IF(ISERROR((VLOOKUP($A343,'SegEnds_NonXtal_BW#'!$A:$Z,24,FALSE)+VLOOKUP($A343,A:AL,34,FALSE)-50)),"-",(VLOOKUP($A343,'SegEnds_NonXtal_BW#'!$A:$Z,24,FALSE)+VLOOKUP($A343,A:AL,34,FALSE)-50))</f>
        <v>789</v>
      </c>
      <c r="AJ343" s="3">
        <f>IF(ISERROR(VLOOKUP($A343,'SegEnds_NonXtal_BW#'!$A:$Z,25,FALSE)+VLOOKUP($A343,A:AL,37,FALSE)-50),"-",(VLOOKUP($A343,'SegEnds_NonXtal_BW#'!$A:$Z,25,FALSE)+VLOOKUP($A343,A:AL,37,FALSE)-50))</f>
        <v>790</v>
      </c>
      <c r="AK343" s="3">
        <v>793</v>
      </c>
      <c r="AL343" s="3">
        <f>IF(ISERROR((VLOOKUP($A343,'SegEnds_NonXtal_BW#'!$A:$Z,26,FALSE)+VLOOKUP($A343,A:AL,37,FALSE)-50)),"-",(VLOOKUP($A343,'SegEnds_NonXtal_BW#'!$A:$Z,26,FALSE)+VLOOKUP($A343,A:AL,37,FALSE)-50))</f>
        <v>806</v>
      </c>
      <c r="AM343" s="28" t="str">
        <f>VLOOKUP(A343,Classification!A:B,2,FALSE)</f>
        <v>B2</v>
      </c>
      <c r="AN343" s="28" t="b">
        <f t="shared" si="195"/>
        <v>1</v>
      </c>
      <c r="AO343" s="3" t="str">
        <f>IF(ISERROR(MATCH(A343,'SegEnds_Xtal_Prot#'!B:B, 0)), "NoXtal", "Xtal")</f>
        <v>NoXtal</v>
      </c>
      <c r="AP343" s="3" t="str">
        <f t="shared" si="180"/>
        <v>-</v>
      </c>
      <c r="AQ343" s="3" t="str">
        <f t="shared" si="181"/>
        <v>-</v>
      </c>
      <c r="AR343" s="3" t="str">
        <f t="shared" si="182"/>
        <v>-</v>
      </c>
      <c r="AS343" s="3" t="str">
        <f t="shared" si="183"/>
        <v>-</v>
      </c>
      <c r="AT343" s="3" t="str">
        <f t="shared" si="184"/>
        <v>-</v>
      </c>
      <c r="AU343" s="3" t="str">
        <f t="shared" si="185"/>
        <v>-</v>
      </c>
      <c r="AV343" s="3">
        <f t="shared" si="186"/>
        <v>6</v>
      </c>
      <c r="AW343" s="3">
        <f t="shared" si="187"/>
        <v>3</v>
      </c>
      <c r="AX343" s="3">
        <f t="shared" si="188"/>
        <v>12</v>
      </c>
      <c r="AY343" s="3">
        <f t="shared" si="189"/>
        <v>6</v>
      </c>
      <c r="AZ343" s="3">
        <f t="shared" si="190"/>
        <v>1</v>
      </c>
      <c r="BA343" s="3">
        <f>IF(ISERROR(LEN(VLOOKUP(A343,Seqs!A:E,2,FALSE))-AL343),"-",LEN(VLOOKUP(A343,Seqs!A:E,2,FALSE))-AL343)</f>
        <v>29</v>
      </c>
      <c r="BB343" s="16">
        <f t="shared" si="191"/>
        <v>28</v>
      </c>
      <c r="BC343" s="9" t="str">
        <f t="shared" si="192"/>
        <v>-</v>
      </c>
      <c r="BD343" s="3">
        <f t="shared" si="193"/>
        <v>28</v>
      </c>
      <c r="BE343" s="3">
        <f t="shared" si="194"/>
        <v>52</v>
      </c>
      <c r="BF343" s="3">
        <f>AH343-AE343</f>
        <v>28</v>
      </c>
    </row>
    <row r="344" spans="1:58" s="3" customFormat="1" x14ac:dyDescent="0.2">
      <c r="A344" s="3" t="s">
        <v>418</v>
      </c>
      <c r="B344" s="3" t="str">
        <f>LOWER(VLOOKUP(A344,Xtal_Templ!A:B,2,FALSE))</f>
        <v>calcr_human</v>
      </c>
      <c r="C344" s="3">
        <f>VLOOKUP($A344,'SegEnds_NonXtal_BW#'!$A:$Z,3,FALSE)+D344-50</f>
        <v>2456</v>
      </c>
      <c r="D344" s="3">
        <v>2483</v>
      </c>
      <c r="E344" s="3">
        <f>IF(ISERROR(VLOOKUP($A344,'SegEnds_NonXtal_BW#'!$A:$Z,4,FALSE)+VLOOKUP($A344,A:AL,4,FALSE)-50),"-",(VLOOKUP($A344,'SegEnds_NonXtal_BW#'!$A:$Z,4,FALSE)+VLOOKUP($A344,A:AL,4,FALSE)-50))</f>
        <v>2493</v>
      </c>
      <c r="F344" s="3">
        <f>G344-2</f>
        <v>2494</v>
      </c>
      <c r="G344" s="3">
        <v>2496</v>
      </c>
      <c r="H344" s="3">
        <f t="shared" ref="H344:I346" si="196">G344+1</f>
        <v>2497</v>
      </c>
      <c r="I344" s="3">
        <f t="shared" si="196"/>
        <v>2498</v>
      </c>
      <c r="J344" s="3">
        <v>2511</v>
      </c>
      <c r="K344" s="3">
        <f>VLOOKUP($A344,'SegEnds_NonXtal_BW#'!$A:$Z,8,FALSE)+VLOOKUP($A344,A:AL,10,FALSE)-50</f>
        <v>2524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2529</v>
      </c>
      <c r="P344" s="3">
        <v>2556</v>
      </c>
      <c r="Q344" s="3">
        <f>VLOOKUP($A344,'SegEnds_NonXtal_BW#'!$A:$Z,12,FALSE)+VLOOKUP($A344,A:AL,16,FALSE)-50</f>
        <v>2562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2570</v>
      </c>
      <c r="V344" s="3">
        <v>2579</v>
      </c>
      <c r="W344" s="3">
        <f>IF(ISERROR(VLOOKUP($A344,'SegEnds_NonXtal_BW#'!$A:$Z,16,FALSE)+VLOOKUP($A344,A:AL,22,FALSE)-50),"-",(VLOOKUP($A344,'SegEnds_NonXtal_BW#'!$A:$Z,16,FALSE)+VLOOKUP($A344,A:AL,22,FALSE)-50))</f>
        <v>2597</v>
      </c>
      <c r="X344" s="3">
        <f>IF(ISERROR(VLOOKUP($A344,'SegEnds_NonXtal_BW#'!$A:$Z,17,FALSE)+VLOOKUP($A344,A:AL,25,FALSE)-50),"-",(VLOOKUP($A344,'SegEnds_NonXtal_BW#'!$A:$Z,17,FALSE)+VLOOKUP($A344,A:AL,25,FALSE)-50))</f>
        <v>2603</v>
      </c>
      <c r="Y344" s="3">
        <v>2603</v>
      </c>
      <c r="Z344" s="3">
        <f t="shared" si="179"/>
        <v>2605</v>
      </c>
      <c r="AA344" s="3">
        <f>IF(ISERROR(VLOOKUP($A344,'SegEnds_NonXtal_BW#'!$A:$Z,19,FALSE)+VLOOKUP($A344,A:AL,28,FALSE)-50),"-",(VLOOKUP($A344,'SegEnds_NonXtal_BW#'!$A:$Z,19,FALSE)+VLOOKUP($A344,A:AL,28,FALSE)-50))</f>
        <v>2608</v>
      </c>
      <c r="AB344" s="3">
        <v>2622</v>
      </c>
      <c r="AC344" s="3">
        <f>IF(ISERROR((VLOOKUP($A344,'SegEnds_NonXtal_BW#'!$A:$Z,20,FALSE)+VLOOKUP($A344,A:AL,28,FALSE)-50)),"-",(VLOOKUP($A344,'SegEnds_NonXtal_BW#'!$A:$Z,20,FALSE)+VLOOKUP($A344,A:AL,28,FALSE)-50))</f>
        <v>2641</v>
      </c>
      <c r="AD344" s="3">
        <f>IF(ISERROR(VLOOKUP($A344,'SegEnds_NonXtal_BW#'!$A:$Z,21,FALSE)+VLOOKUP($A344,A:AL,31,FALSE)-50),"-",(VLOOKUP($A344,'SegEnds_NonXtal_BW#'!$A:$Z,21,FALSE)+VLOOKUP($A344,A:AL,31,FALSE)-50))</f>
        <v>2649</v>
      </c>
      <c r="AE344" s="3">
        <v>2670</v>
      </c>
      <c r="AF344" s="3">
        <f>IF(ISERROR((VLOOKUP($A344,'SegEnds_NonXtal_BW#'!$A:$Z,22,FALSE)+VLOOKUP($A344,A:AL,31,FALSE)-50)),"-",(VLOOKUP($A344,'SegEnds_NonXtal_BW#'!$A:$Z,22,FALSE)+VLOOKUP($A344,A:AL,31,FALSE)-50))</f>
        <v>2673</v>
      </c>
      <c r="AG344" s="3">
        <f>IF(ISERROR(VLOOKUP($A344,'SegEnds_NonXtal_BW#'!$A:$Z,23,FALSE)+VLOOKUP($A344,A:AL,34,FALSE)-50),"-",(VLOOKUP($A344,'SegEnds_NonXtal_BW#'!$A:$Z,23,FALSE)+VLOOKUP($A344,A:AL,34,FALSE)-50))</f>
        <v>2679</v>
      </c>
      <c r="AH344" s="3">
        <v>2698</v>
      </c>
      <c r="AI344" s="3">
        <f>IF(ISERROR((VLOOKUP($A344,'SegEnds_NonXtal_BW#'!$A:$Z,24,FALSE)+VLOOKUP($A344,A:AL,34,FALSE)-50)),"-",(VLOOKUP($A344,'SegEnds_NonXtal_BW#'!$A:$Z,24,FALSE)+VLOOKUP($A344,A:AL,34,FALSE)-50))</f>
        <v>2704</v>
      </c>
      <c r="AJ344" s="3">
        <f>IF(ISERROR(VLOOKUP($A344,'SegEnds_NonXtal_BW#'!$A:$Z,25,FALSE)+VLOOKUP($A344,A:AL,37,FALSE)-50),"-",(VLOOKUP($A344,'SegEnds_NonXtal_BW#'!$A:$Z,25,FALSE)+VLOOKUP($A344,A:AL,37,FALSE)-50))</f>
        <v>2705</v>
      </c>
      <c r="AK344" s="3">
        <v>2708</v>
      </c>
      <c r="AL344" s="3">
        <f>IF(ISERROR((VLOOKUP($A344,'SegEnds_NonXtal_BW#'!$A:$Z,26,FALSE)+VLOOKUP($A344,A:AL,37,FALSE)-50)),"-",(VLOOKUP($A344,'SegEnds_NonXtal_BW#'!$A:$Z,26,FALSE)+VLOOKUP($A344,A:AL,37,FALSE)-50))</f>
        <v>2721</v>
      </c>
      <c r="AM344" s="28" t="str">
        <f>VLOOKUP(A344,Classification!A:B,2,FALSE)</f>
        <v>B2</v>
      </c>
      <c r="AN344" s="28" t="b">
        <f t="shared" si="195"/>
        <v>1</v>
      </c>
      <c r="AO344" s="3" t="str">
        <f>IF(ISERROR(MATCH(A344,'SegEnds_Xtal_Prot#'!B:B, 0)), "NoXtal", "Xtal")</f>
        <v>NoXtal</v>
      </c>
      <c r="AP344" s="3">
        <f t="shared" si="180"/>
        <v>1</v>
      </c>
      <c r="AQ344" s="3">
        <f t="shared" si="181"/>
        <v>1</v>
      </c>
      <c r="AR344" s="3" t="str">
        <f t="shared" si="182"/>
        <v>-</v>
      </c>
      <c r="AS344" s="3" t="str">
        <f t="shared" si="183"/>
        <v>-</v>
      </c>
      <c r="AT344" s="3" t="str">
        <f t="shared" si="184"/>
        <v>-</v>
      </c>
      <c r="AU344" s="3" t="str">
        <f t="shared" si="185"/>
        <v>-</v>
      </c>
      <c r="AV344" s="3">
        <f t="shared" si="186"/>
        <v>6</v>
      </c>
      <c r="AW344" s="3">
        <f t="shared" si="187"/>
        <v>3</v>
      </c>
      <c r="AX344" s="3">
        <f t="shared" si="188"/>
        <v>8</v>
      </c>
      <c r="AY344" s="3">
        <f t="shared" si="189"/>
        <v>6</v>
      </c>
      <c r="AZ344" s="3">
        <f t="shared" si="190"/>
        <v>1</v>
      </c>
      <c r="BA344" s="3">
        <f>IF(ISERROR(LEN(VLOOKUP(A344,Seqs!A:E,2,FALSE))-AL344),"-",LEN(VLOOKUP(A344,Seqs!A:E,2,FALSE))-AL344)</f>
        <v>293</v>
      </c>
      <c r="BB344" s="16">
        <f t="shared" si="191"/>
        <v>28</v>
      </c>
      <c r="BC344" s="9" t="str">
        <f t="shared" si="192"/>
        <v>-</v>
      </c>
      <c r="BD344" s="3">
        <f t="shared" si="193"/>
        <v>28</v>
      </c>
      <c r="BE344" s="3">
        <f t="shared" si="194"/>
        <v>48</v>
      </c>
    </row>
    <row r="345" spans="1:58" s="3" customFormat="1" x14ac:dyDescent="0.2">
      <c r="A345" s="3" t="s">
        <v>419</v>
      </c>
      <c r="B345" s="3" t="str">
        <f>LOWER(VLOOKUP(A345,Xtal_Templ!A:B,2,FALSE))</f>
        <v>calrl_human</v>
      </c>
      <c r="C345" s="3">
        <f>VLOOKUP($A345,'SegEnds_NonXtal_BW#'!$A:$Z,3,FALSE)+D345-50</f>
        <v>2364</v>
      </c>
      <c r="D345" s="3">
        <v>2391</v>
      </c>
      <c r="E345" s="3">
        <f>IF(ISERROR(VLOOKUP($A345,'SegEnds_NonXtal_BW#'!$A:$Z,4,FALSE)+VLOOKUP($A345,A:AL,4,FALSE)-50),"-",(VLOOKUP($A345,'SegEnds_NonXtal_BW#'!$A:$Z,4,FALSE)+VLOOKUP($A345,A:AL,4,FALSE)-50))</f>
        <v>2401</v>
      </c>
      <c r="F345" s="3">
        <f>G345-2</f>
        <v>2402</v>
      </c>
      <c r="G345" s="3">
        <v>2404</v>
      </c>
      <c r="H345" s="3">
        <f t="shared" si="196"/>
        <v>2405</v>
      </c>
      <c r="I345" s="3">
        <f t="shared" si="196"/>
        <v>2406</v>
      </c>
      <c r="J345" s="3">
        <v>2419</v>
      </c>
      <c r="K345" s="3">
        <f>VLOOKUP($A345,'SegEnds_NonXtal_BW#'!$A:$Z,8,FALSE)+VLOOKUP($A345,A:AL,10,FALSE)-50</f>
        <v>2432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2437</v>
      </c>
      <c r="P345" s="3">
        <v>2464</v>
      </c>
      <c r="Q345" s="3">
        <f>VLOOKUP($A345,'SegEnds_NonXtal_BW#'!$A:$Z,12,FALSE)+VLOOKUP($A345,A:AL,16,FALSE)-50</f>
        <v>2470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2478</v>
      </c>
      <c r="V345" s="3">
        <v>2487</v>
      </c>
      <c r="W345" s="3">
        <f>IF(ISERROR(VLOOKUP($A345,'SegEnds_NonXtal_BW#'!$A:$Z,16,FALSE)+VLOOKUP($A345,A:AL,22,FALSE)-50),"-",(VLOOKUP($A345,'SegEnds_NonXtal_BW#'!$A:$Z,16,FALSE)+VLOOKUP($A345,A:AL,22,FALSE)-50))</f>
        <v>2504</v>
      </c>
      <c r="X345" s="3">
        <f>IF(ISERROR(VLOOKUP($A345,'SegEnds_NonXtal_BW#'!$A:$Z,17,FALSE)+VLOOKUP($A345,A:AL,25,FALSE)-50),"-",(VLOOKUP($A345,'SegEnds_NonXtal_BW#'!$A:$Z,17,FALSE)+VLOOKUP($A345,A:AL,25,FALSE)-50))</f>
        <v>2511</v>
      </c>
      <c r="Y345" s="3">
        <v>2511</v>
      </c>
      <c r="Z345" s="3">
        <f t="shared" si="179"/>
        <v>2513</v>
      </c>
      <c r="AA345" s="3">
        <f>IF(ISERROR(VLOOKUP($A345,'SegEnds_NonXtal_BW#'!$A:$Z,19,FALSE)+VLOOKUP($A345,A:AL,28,FALSE)-50),"-",(VLOOKUP($A345,'SegEnds_NonXtal_BW#'!$A:$Z,19,FALSE)+VLOOKUP($A345,A:AL,28,FALSE)-50))</f>
        <v>2516</v>
      </c>
      <c r="AB345" s="3">
        <v>2530</v>
      </c>
      <c r="AC345" s="3">
        <f>IF(ISERROR((VLOOKUP($A345,'SegEnds_NonXtal_BW#'!$A:$Z,20,FALSE)+VLOOKUP($A345,A:AL,28,FALSE)-50)),"-",(VLOOKUP($A345,'SegEnds_NonXtal_BW#'!$A:$Z,20,FALSE)+VLOOKUP($A345,A:AL,28,FALSE)-50))</f>
        <v>2549</v>
      </c>
      <c r="AD345" s="3">
        <f>IF(ISERROR(VLOOKUP($A345,'SegEnds_NonXtal_BW#'!$A:$Z,21,FALSE)+VLOOKUP($A345,A:AL,31,FALSE)-50),"-",(VLOOKUP($A345,'SegEnds_NonXtal_BW#'!$A:$Z,21,FALSE)+VLOOKUP($A345,A:AL,31,FALSE)-50))</f>
        <v>2557</v>
      </c>
      <c r="AE345" s="3">
        <v>2578</v>
      </c>
      <c r="AF345" s="3">
        <f>IF(ISERROR((VLOOKUP($A345,'SegEnds_NonXtal_BW#'!$A:$Z,22,FALSE)+VLOOKUP($A345,A:AL,31,FALSE)-50)),"-",(VLOOKUP($A345,'SegEnds_NonXtal_BW#'!$A:$Z,22,FALSE)+VLOOKUP($A345,A:AL,31,FALSE)-50))</f>
        <v>2581</v>
      </c>
      <c r="AG345" s="3">
        <f>IF(ISERROR(VLOOKUP($A345,'SegEnds_NonXtal_BW#'!$A:$Z,23,FALSE)+VLOOKUP($A345,A:AL,34,FALSE)-50),"-",(VLOOKUP($A345,'SegEnds_NonXtal_BW#'!$A:$Z,23,FALSE)+VLOOKUP($A345,A:AL,34,FALSE)-50))</f>
        <v>2587</v>
      </c>
      <c r="AH345" s="3">
        <v>2606</v>
      </c>
      <c r="AI345" s="3">
        <f>IF(ISERROR((VLOOKUP($A345,'SegEnds_NonXtal_BW#'!$A:$Z,24,FALSE)+VLOOKUP($A345,A:AL,34,FALSE)-50)),"-",(VLOOKUP($A345,'SegEnds_NonXtal_BW#'!$A:$Z,24,FALSE)+VLOOKUP($A345,A:AL,34,FALSE)-50))</f>
        <v>2612</v>
      </c>
      <c r="AJ345" s="3">
        <f>IF(ISERROR(VLOOKUP($A345,'SegEnds_NonXtal_BW#'!$A:$Z,25,FALSE)+VLOOKUP($A345,A:AL,37,FALSE)-50),"-",(VLOOKUP($A345,'SegEnds_NonXtal_BW#'!$A:$Z,25,FALSE)+VLOOKUP($A345,A:AL,37,FALSE)-50))</f>
        <v>2613</v>
      </c>
      <c r="AK345" s="3">
        <v>2616</v>
      </c>
      <c r="AL345" s="3">
        <f>IF(ISERROR((VLOOKUP($A345,'SegEnds_NonXtal_BW#'!$A:$Z,26,FALSE)+VLOOKUP($A345,A:AL,37,FALSE)-50)),"-",(VLOOKUP($A345,'SegEnds_NonXtal_BW#'!$A:$Z,26,FALSE)+VLOOKUP($A345,A:AL,37,FALSE)-50))</f>
        <v>2629</v>
      </c>
      <c r="AM345" s="28" t="str">
        <f>VLOOKUP(A345,Classification!A:B,2,FALSE)</f>
        <v>B2</v>
      </c>
      <c r="AN345" s="28" t="b">
        <f t="shared" si="195"/>
        <v>1</v>
      </c>
      <c r="AO345" s="3" t="str">
        <f>IF(ISERROR(MATCH(A345,'SegEnds_Xtal_Prot#'!B:B, 0)), "NoXtal", "Xtal")</f>
        <v>NoXtal</v>
      </c>
      <c r="AP345" s="3">
        <f t="shared" si="180"/>
        <v>1</v>
      </c>
      <c r="AQ345" s="3">
        <f t="shared" si="181"/>
        <v>1</v>
      </c>
      <c r="AR345" s="3" t="str">
        <f t="shared" si="182"/>
        <v>-</v>
      </c>
      <c r="AS345" s="3" t="str">
        <f t="shared" si="183"/>
        <v>-</v>
      </c>
      <c r="AT345" s="3" t="str">
        <f t="shared" si="184"/>
        <v>-</v>
      </c>
      <c r="AU345" s="3" t="str">
        <f t="shared" si="185"/>
        <v>-</v>
      </c>
      <c r="AV345" s="3">
        <f t="shared" si="186"/>
        <v>7</v>
      </c>
      <c r="AW345" s="3">
        <f t="shared" si="187"/>
        <v>3</v>
      </c>
      <c r="AX345" s="3">
        <f t="shared" si="188"/>
        <v>8</v>
      </c>
      <c r="AY345" s="3">
        <f t="shared" si="189"/>
        <v>6</v>
      </c>
      <c r="AZ345" s="3">
        <f t="shared" si="190"/>
        <v>1</v>
      </c>
      <c r="BA345" s="3">
        <f>IF(ISERROR(LEN(VLOOKUP(A345,Seqs!A:E,2,FALSE))-AL345),"-",LEN(VLOOKUP(A345,Seqs!A:E,2,FALSE))-AL345)</f>
        <v>294</v>
      </c>
      <c r="BB345" s="16">
        <f t="shared" si="191"/>
        <v>28</v>
      </c>
      <c r="BC345" s="9" t="str">
        <f t="shared" si="192"/>
        <v>-</v>
      </c>
      <c r="BD345" s="3">
        <f t="shared" si="193"/>
        <v>28</v>
      </c>
      <c r="BE345" s="3">
        <f t="shared" si="194"/>
        <v>48</v>
      </c>
    </row>
    <row r="346" spans="1:58" s="3" customFormat="1" x14ac:dyDescent="0.2">
      <c r="A346" s="3" t="s">
        <v>420</v>
      </c>
      <c r="B346" s="3" t="str">
        <f>LOWER(VLOOKUP(A346,Xtal_Templ!A:B,2,FALSE))</f>
        <v>crfr1_human</v>
      </c>
      <c r="C346" s="3">
        <f>VLOOKUP($A346,'SegEnds_NonXtal_BW#'!$A:$Z,3,FALSE)+D346-50</f>
        <v>2527</v>
      </c>
      <c r="D346" s="3">
        <v>2554</v>
      </c>
      <c r="E346" s="3">
        <f>IF(ISERROR(VLOOKUP($A346,'SegEnds_NonXtal_BW#'!$A:$Z,4,FALSE)+VLOOKUP($A346,A:AL,4,FALSE)-50),"-",(VLOOKUP($A346,'SegEnds_NonXtal_BW#'!$A:$Z,4,FALSE)+VLOOKUP($A346,A:AL,4,FALSE)-50))</f>
        <v>2564</v>
      </c>
      <c r="F346" s="3">
        <f>G346-2</f>
        <v>2565</v>
      </c>
      <c r="G346" s="3">
        <v>2567</v>
      </c>
      <c r="H346" s="3">
        <f t="shared" si="196"/>
        <v>2568</v>
      </c>
      <c r="I346" s="3">
        <f t="shared" si="196"/>
        <v>2569</v>
      </c>
      <c r="J346" s="3">
        <v>2582</v>
      </c>
      <c r="K346" s="3">
        <f>VLOOKUP($A346,'SegEnds_NonXtal_BW#'!$A:$Z,8,FALSE)+VLOOKUP($A346,A:AL,10,FALSE)-50</f>
        <v>2595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2600</v>
      </c>
      <c r="P346" s="3">
        <v>2627</v>
      </c>
      <c r="Q346" s="3">
        <f>VLOOKUP($A346,'SegEnds_NonXtal_BW#'!$A:$Z,12,FALSE)+VLOOKUP($A346,A:AL,16,FALSE)-50</f>
        <v>2633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2640</v>
      </c>
      <c r="V346" s="3">
        <v>2650</v>
      </c>
      <c r="W346" s="3">
        <f>IF(ISERROR(VLOOKUP($A346,'SegEnds_NonXtal_BW#'!$A:$Z,16,FALSE)+VLOOKUP($A346,A:AL,22,FALSE)-50),"-",(VLOOKUP($A346,'SegEnds_NonXtal_BW#'!$A:$Z,16,FALSE)+VLOOKUP($A346,A:AL,22,FALSE)-50))</f>
        <v>2668</v>
      </c>
      <c r="X346" s="3">
        <f>IF(ISERROR(VLOOKUP($A346,'SegEnds_NonXtal_BW#'!$A:$Z,17,FALSE)+VLOOKUP($A346,A:AL,25,FALSE)-50),"-",(VLOOKUP($A346,'SegEnds_NonXtal_BW#'!$A:$Z,17,FALSE)+VLOOKUP($A346,A:AL,25,FALSE)-50))</f>
        <v>2674</v>
      </c>
      <c r="Y346" s="3">
        <v>2674</v>
      </c>
      <c r="Z346" s="3">
        <f t="shared" si="179"/>
        <v>2676</v>
      </c>
      <c r="AA346" s="3">
        <f>IF(ISERROR(VLOOKUP($A346,'SegEnds_NonXtal_BW#'!$A:$Z,19,FALSE)+VLOOKUP($A346,A:AL,28,FALSE)-50),"-",(VLOOKUP($A346,'SegEnds_NonXtal_BW#'!$A:$Z,19,FALSE)+VLOOKUP($A346,A:AL,28,FALSE)-50))</f>
        <v>2679</v>
      </c>
      <c r="AB346" s="3">
        <v>2693</v>
      </c>
      <c r="AC346" s="3">
        <f>IF(ISERROR((VLOOKUP($A346,'SegEnds_NonXtal_BW#'!$A:$Z,20,FALSE)+VLOOKUP($A346,A:AL,28,FALSE)-50)),"-",(VLOOKUP($A346,'SegEnds_NonXtal_BW#'!$A:$Z,20,FALSE)+VLOOKUP($A346,A:AL,28,FALSE)-50))</f>
        <v>2712</v>
      </c>
      <c r="AD346" s="3">
        <f>IF(ISERROR(VLOOKUP($A346,'SegEnds_NonXtal_BW#'!$A:$Z,21,FALSE)+VLOOKUP($A346,A:AL,31,FALSE)-50),"-",(VLOOKUP($A346,'SegEnds_NonXtal_BW#'!$A:$Z,21,FALSE)+VLOOKUP($A346,A:AL,31,FALSE)-50))</f>
        <v>2719</v>
      </c>
      <c r="AE346" s="3">
        <v>2740</v>
      </c>
      <c r="AF346" s="3">
        <f>IF(ISERROR((VLOOKUP($A346,'SegEnds_NonXtal_BW#'!$A:$Z,22,FALSE)+VLOOKUP($A346,A:AL,31,FALSE)-50)),"-",(VLOOKUP($A346,'SegEnds_NonXtal_BW#'!$A:$Z,22,FALSE)+VLOOKUP($A346,A:AL,31,FALSE)-50))</f>
        <v>2743</v>
      </c>
      <c r="AG346" s="3">
        <f>IF(ISERROR(VLOOKUP($A346,'SegEnds_NonXtal_BW#'!$A:$Z,23,FALSE)+VLOOKUP($A346,A:AL,34,FALSE)-50),"-",(VLOOKUP($A346,'SegEnds_NonXtal_BW#'!$A:$Z,23,FALSE)+VLOOKUP($A346,A:AL,34,FALSE)-50))</f>
        <v>2749</v>
      </c>
      <c r="AH346" s="3">
        <v>2768</v>
      </c>
      <c r="AI346" s="3">
        <f>IF(ISERROR((VLOOKUP($A346,'SegEnds_NonXtal_BW#'!$A:$Z,24,FALSE)+VLOOKUP($A346,A:AL,34,FALSE)-50)),"-",(VLOOKUP($A346,'SegEnds_NonXtal_BW#'!$A:$Z,24,FALSE)+VLOOKUP($A346,A:AL,34,FALSE)-50))</f>
        <v>2774</v>
      </c>
      <c r="AJ346" s="3">
        <f>IF(ISERROR(VLOOKUP($A346,'SegEnds_NonXtal_BW#'!$A:$Z,25,FALSE)+VLOOKUP($A346,A:AL,37,FALSE)-50),"-",(VLOOKUP($A346,'SegEnds_NonXtal_BW#'!$A:$Z,25,FALSE)+VLOOKUP($A346,A:AL,37,FALSE)-50))</f>
        <v>2775</v>
      </c>
      <c r="AK346" s="3">
        <v>2778</v>
      </c>
      <c r="AL346" s="3">
        <f>IF(ISERROR((VLOOKUP($A346,'SegEnds_NonXtal_BW#'!$A:$Z,26,FALSE)+VLOOKUP($A346,A:AL,37,FALSE)-50)),"-",(VLOOKUP($A346,'SegEnds_NonXtal_BW#'!$A:$Z,26,FALSE)+VLOOKUP($A346,A:AL,37,FALSE)-50))</f>
        <v>2791</v>
      </c>
      <c r="AM346" s="28" t="str">
        <f>VLOOKUP(A346,Classification!A:B,2,FALSE)</f>
        <v>B2</v>
      </c>
      <c r="AN346" s="28" t="b">
        <f t="shared" si="195"/>
        <v>1</v>
      </c>
      <c r="AO346" s="3" t="str">
        <f>IF(ISERROR(MATCH(A346,'SegEnds_Xtal_Prot#'!B:B, 0)), "NoXtal", "Xtal")</f>
        <v>NoXtal</v>
      </c>
      <c r="AP346" s="3">
        <f t="shared" si="180"/>
        <v>1</v>
      </c>
      <c r="AQ346" s="3">
        <f t="shared" si="181"/>
        <v>1</v>
      </c>
      <c r="AR346" s="3" t="str">
        <f t="shared" si="182"/>
        <v>-</v>
      </c>
      <c r="AS346" s="3" t="str">
        <f t="shared" si="183"/>
        <v>-</v>
      </c>
      <c r="AT346" s="3" t="str">
        <f t="shared" si="184"/>
        <v>-</v>
      </c>
      <c r="AU346" s="3" t="str">
        <f t="shared" si="185"/>
        <v>-</v>
      </c>
      <c r="AV346" s="3">
        <f t="shared" si="186"/>
        <v>6</v>
      </c>
      <c r="AW346" s="3">
        <f t="shared" si="187"/>
        <v>3</v>
      </c>
      <c r="AX346" s="3">
        <f t="shared" si="188"/>
        <v>7</v>
      </c>
      <c r="AY346" s="3">
        <f t="shared" si="189"/>
        <v>6</v>
      </c>
      <c r="AZ346" s="3">
        <f t="shared" si="190"/>
        <v>1</v>
      </c>
      <c r="BA346" s="3">
        <f>IF(ISERROR(LEN(VLOOKUP(A346,Seqs!A:E,2,FALSE))-AL346),"-",LEN(VLOOKUP(A346,Seqs!A:E,2,FALSE))-AL346)</f>
        <v>521</v>
      </c>
      <c r="BB346" s="16">
        <f t="shared" si="191"/>
        <v>28</v>
      </c>
      <c r="BC346" s="9" t="str">
        <f t="shared" si="192"/>
        <v>-</v>
      </c>
      <c r="BD346" s="3">
        <f t="shared" si="193"/>
        <v>28</v>
      </c>
      <c r="BE346" s="3">
        <f t="shared" si="194"/>
        <v>47</v>
      </c>
    </row>
    <row r="347" spans="1:58" s="3" customFormat="1" x14ac:dyDescent="0.2">
      <c r="A347" s="3" t="s">
        <v>442</v>
      </c>
      <c r="B347" s="3" t="str">
        <f>LOWER(VLOOKUP(A347,Xtal_Templ!A:B,2,FALSE))</f>
        <v>crfr1_human</v>
      </c>
      <c r="C347" s="3">
        <f>VLOOKUP($A347,'SegEnds_NonXtal_BW#'!$A:$Z,3,FALSE)+D347-50</f>
        <v>5895</v>
      </c>
      <c r="D347" s="3">
        <v>5922</v>
      </c>
      <c r="E347" s="3">
        <f>IF(ISERROR(VLOOKUP($A347,'SegEnds_NonXtal_BW#'!$A:$Z,4,FALSE)+VLOOKUP($A347,A:AL,4,FALSE)-50),"-",(VLOOKUP($A347,'SegEnds_NonXtal_BW#'!$A:$Z,4,FALSE)+VLOOKUP($A347,A:AL,4,FALSE)-50))</f>
        <v>5932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5935</v>
      </c>
      <c r="J347" s="3">
        <v>5948</v>
      </c>
      <c r="K347" s="3">
        <f>VLOOKUP($A347,'SegEnds_NonXtal_BW#'!$A:$Z,8,FALSE)+VLOOKUP($A347,A:AL,10,FALSE)-50</f>
        <v>5961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5968</v>
      </c>
      <c r="P347" s="3">
        <v>5995</v>
      </c>
      <c r="Q347" s="3">
        <f>VLOOKUP($A347,'SegEnds_NonXtal_BW#'!$A:$Z,12,FALSE)+VLOOKUP($A347,A:AL,16,FALSE)-50</f>
        <v>6001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6008</v>
      </c>
      <c r="V347" s="3">
        <v>6018</v>
      </c>
      <c r="W347" s="3">
        <f>IF(ISERROR(VLOOKUP($A347,'SegEnds_NonXtal_BW#'!$A:$Z,16,FALSE)+VLOOKUP($A347,A:AL,22,FALSE)-50),"-",(VLOOKUP($A347,'SegEnds_NonXtal_BW#'!$A:$Z,16,FALSE)+VLOOKUP($A347,A:AL,22,FALSE)-50))</f>
        <v>6036</v>
      </c>
      <c r="X347" s="3">
        <f>IF(ISERROR(VLOOKUP($A347,'SegEnds_NonXtal_BW#'!$A:$Z,17,FALSE)+VLOOKUP($A347,A:AL,25,FALSE)-50),"-",(VLOOKUP($A347,'SegEnds_NonXtal_BW#'!$A:$Z,17,FALSE)+VLOOKUP($A347,A:AL,25,FALSE)-50))</f>
        <v>6052</v>
      </c>
      <c r="Y347" s="3">
        <v>6052</v>
      </c>
      <c r="Z347" s="3">
        <f t="shared" si="179"/>
        <v>6054</v>
      </c>
      <c r="AA347" s="3">
        <f>IF(ISERROR(VLOOKUP($A347,'SegEnds_NonXtal_BW#'!$A:$Z,19,FALSE)+VLOOKUP($A347,A:AL,28,FALSE)-50),"-",(VLOOKUP($A347,'SegEnds_NonXtal_BW#'!$A:$Z,19,FALSE)+VLOOKUP($A347,A:AL,28,FALSE)-50))</f>
        <v>6058</v>
      </c>
      <c r="AB347" s="3">
        <v>6072</v>
      </c>
      <c r="AC347" s="3">
        <f>IF(ISERROR((VLOOKUP($A347,'SegEnds_NonXtal_BW#'!$A:$Z,20,FALSE)+VLOOKUP($A347,A:AL,28,FALSE)-50)),"-",(VLOOKUP($A347,'SegEnds_NonXtal_BW#'!$A:$Z,20,FALSE)+VLOOKUP($A347,A:AL,28,FALSE)-50))</f>
        <v>6091</v>
      </c>
      <c r="AD347" s="3">
        <f>IF(ISERROR(VLOOKUP($A347,'SegEnds_NonXtal_BW#'!$A:$Z,21,FALSE)+VLOOKUP($A347,A:AL,31,FALSE)-50),"-",(VLOOKUP($A347,'SegEnds_NonXtal_BW#'!$A:$Z,21,FALSE)+VLOOKUP($A347,A:AL,31,FALSE)-50))</f>
        <v>6100</v>
      </c>
      <c r="AE347" s="3">
        <v>6121</v>
      </c>
      <c r="AF347" s="3">
        <f>IF(ISERROR((VLOOKUP($A347,'SegEnds_NonXtal_BW#'!$A:$Z,22,FALSE)+VLOOKUP($A347,A:AL,31,FALSE)-50)),"-",(VLOOKUP($A347,'SegEnds_NonXtal_BW#'!$A:$Z,22,FALSE)+VLOOKUP($A347,A:AL,31,FALSE)-50))</f>
        <v>6124</v>
      </c>
      <c r="AG347" s="3">
        <f>IF(ISERROR(VLOOKUP($A347,'SegEnds_NonXtal_BW#'!$A:$Z,23,FALSE)+VLOOKUP($A347,A:AL,34,FALSE)-50),"-",(VLOOKUP($A347,'SegEnds_NonXtal_BW#'!$A:$Z,23,FALSE)+VLOOKUP($A347,A:AL,34,FALSE)-50))</f>
        <v>6130</v>
      </c>
      <c r="AH347" s="3">
        <v>6149</v>
      </c>
      <c r="AI347" s="3">
        <f>IF(ISERROR((VLOOKUP($A347,'SegEnds_NonXtal_BW#'!$A:$Z,24,FALSE)+VLOOKUP($A347,A:AL,34,FALSE)-50)),"-",(VLOOKUP($A347,'SegEnds_NonXtal_BW#'!$A:$Z,24,FALSE)+VLOOKUP($A347,A:AL,34,FALSE)-50))</f>
        <v>6155</v>
      </c>
      <c r="AJ347" s="3">
        <f>IF(ISERROR(VLOOKUP($A347,'SegEnds_NonXtal_BW#'!$A:$Z,25,FALSE)+VLOOKUP($A347,A:AL,37,FALSE)-50),"-",(VLOOKUP($A347,'SegEnds_NonXtal_BW#'!$A:$Z,25,FALSE)+VLOOKUP($A347,A:AL,37,FALSE)-50))</f>
        <v>6156</v>
      </c>
      <c r="AK347" s="3">
        <v>6159</v>
      </c>
      <c r="AL347" s="3">
        <f>IF(ISERROR((VLOOKUP($A347,'SegEnds_NonXtal_BW#'!$A:$Z,26,FALSE)+VLOOKUP($A347,A:AL,37,FALSE)-50)),"-",(VLOOKUP($A347,'SegEnds_NonXtal_BW#'!$A:$Z,26,FALSE)+VLOOKUP($A347,A:AL,37,FALSE)-50))</f>
        <v>6172</v>
      </c>
      <c r="AM347" s="28" t="str">
        <f>VLOOKUP(A347,Classification!A:B,2,FALSE)</f>
        <v>B2</v>
      </c>
      <c r="AN347" s="28" t="b">
        <f t="shared" si="195"/>
        <v>1</v>
      </c>
      <c r="AO347" s="3" t="str">
        <f>IF(ISERROR(MATCH(A347,'SegEnds_Xtal_Prot#'!B:B, 0)), "NoXtal", "Xtal")</f>
        <v>NoXtal</v>
      </c>
      <c r="AP347" s="3" t="str">
        <f t="shared" si="180"/>
        <v>-</v>
      </c>
      <c r="AQ347" s="3" t="str">
        <f t="shared" si="181"/>
        <v>-</v>
      </c>
      <c r="AR347" s="3" t="str">
        <f t="shared" si="182"/>
        <v>-</v>
      </c>
      <c r="AS347" s="3" t="str">
        <f t="shared" si="183"/>
        <v>-</v>
      </c>
      <c r="AT347" s="3" t="str">
        <f t="shared" si="184"/>
        <v>-</v>
      </c>
      <c r="AU347" s="3" t="str">
        <f t="shared" si="185"/>
        <v>-</v>
      </c>
      <c r="AV347" s="3">
        <f t="shared" si="186"/>
        <v>16</v>
      </c>
      <c r="AW347" s="3">
        <f t="shared" si="187"/>
        <v>4</v>
      </c>
      <c r="AX347" s="3">
        <f t="shared" si="188"/>
        <v>9</v>
      </c>
      <c r="AY347" s="3">
        <f t="shared" si="189"/>
        <v>6</v>
      </c>
      <c r="AZ347" s="3">
        <f t="shared" si="190"/>
        <v>1</v>
      </c>
      <c r="BA347" s="3">
        <f>IF(ISERROR(LEN(VLOOKUP(A347,Seqs!A:E,2,FALSE))-AL347),"-",LEN(VLOOKUP(A347,Seqs!A:E,2,FALSE))-AL347)</f>
        <v>134</v>
      </c>
      <c r="BB347" s="16">
        <f t="shared" si="191"/>
        <v>26</v>
      </c>
      <c r="BC347" s="9" t="str">
        <f t="shared" si="192"/>
        <v>-</v>
      </c>
      <c r="BD347" s="3">
        <f t="shared" si="193"/>
        <v>26</v>
      </c>
      <c r="BE347" s="3">
        <f t="shared" si="194"/>
        <v>49</v>
      </c>
    </row>
    <row r="348" spans="1:58" s="3" customFormat="1" x14ac:dyDescent="0.2">
      <c r="A348" s="3" t="s">
        <v>105</v>
      </c>
      <c r="B348" s="3" t="str">
        <f>LOWER(VLOOKUP(A348,Xtal_Templ!A:B,2,FALSE))</f>
        <v>grm5_human</v>
      </c>
      <c r="C348" s="3">
        <f>VLOOKUP($A348,'SegEnds_NonXtal_BW#'!$A:$Z,3,FALSE)+D348-50</f>
        <v>611</v>
      </c>
      <c r="D348" s="3">
        <v>627</v>
      </c>
      <c r="E348" s="3">
        <f>IF(ISERROR(VLOOKUP($A348,'SegEnds_NonXtal_BW#'!$A:$Z,4,FALSE)+VLOOKUP($A348,A:AL,4,FALSE)-50),"-",(VLOOKUP($A348,'SegEnds_NonXtal_BW#'!$A:$Z,4,FALSE)+VLOOKUP($A348,A:AL,4,FALSE)-50))</f>
        <v>637</v>
      </c>
      <c r="F348" s="3">
        <f t="shared" ref="F348:F380" si="197">G348-3</f>
        <v>640</v>
      </c>
      <c r="G348" s="3">
        <v>643</v>
      </c>
      <c r="H348" s="3">
        <f t="shared" ref="H348:H369" si="198">G348+3</f>
        <v>646</v>
      </c>
      <c r="I348" s="3">
        <f t="shared" ref="I348:I380" si="199">H348+1</f>
        <v>647</v>
      </c>
      <c r="J348" s="3">
        <v>658</v>
      </c>
      <c r="K348" s="3">
        <f>VLOOKUP($A348,'SegEnds_NonXtal_BW#'!$A:$Z,8,FALSE)+VLOOKUP($A348,A:AL,10,FALSE)-50</f>
        <v>669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673</v>
      </c>
      <c r="P348" s="3">
        <v>702</v>
      </c>
      <c r="Q348" s="3">
        <f>VLOOKUP($A348,'SegEnds_NonXtal_BW#'!$A:$Z,12,FALSE)+VLOOKUP($A348,A:AL,16,FALSE)-50</f>
        <v>706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720</v>
      </c>
      <c r="V348" s="3">
        <v>732</v>
      </c>
      <c r="W348" s="3">
        <f>IF(ISERROR(VLOOKUP($A348,'SegEnds_NonXtal_BW#'!$A:$Z,16,FALSE)+VLOOKUP($A348,A:AL,22,FALSE)-50),"-",(VLOOKUP($A348,'SegEnds_NonXtal_BW#'!$A:$Z,16,FALSE)+VLOOKUP($A348,A:AL,22,FALSE)-50))</f>
        <v>746</v>
      </c>
      <c r="X348" s="3">
        <f>IF(ISERROR(VLOOKUP($A348,'SegEnds_NonXtal_BW#'!$A:$Z,17,FALSE)+VLOOKUP($A348,A:AL,25,FALSE)-50),"-",(VLOOKUP($A348,'SegEnds_NonXtal_BW#'!$A:$Z,17,FALSE)+VLOOKUP($A348,A:AL,25,FALSE)-50))</f>
        <v>765</v>
      </c>
      <c r="Y348" s="3">
        <v>765</v>
      </c>
      <c r="Z348" s="3">
        <f t="shared" si="179"/>
        <v>767</v>
      </c>
      <c r="AA348" s="3">
        <f>IF(ISERROR(VLOOKUP($A348,'SegEnds_NonXtal_BW#'!$A:$Z,19,FALSE)+VLOOKUP($A348,A:AL,28,FALSE)-50),"-",(VLOOKUP($A348,'SegEnds_NonXtal_BW#'!$A:$Z,19,FALSE)+VLOOKUP($A348,A:AL,28,FALSE)-50))</f>
        <v>769</v>
      </c>
      <c r="AB348" s="3">
        <v>783</v>
      </c>
      <c r="AC348" s="3">
        <f>IF(ISERROR((VLOOKUP($A348,'SegEnds_NonXtal_BW#'!$A:$Z,20,FALSE)+VLOOKUP($A348,A:AL,28,FALSE)-50)),"-",(VLOOKUP($A348,'SegEnds_NonXtal_BW#'!$A:$Z,20,FALSE)+VLOOKUP($A348,A:AL,28,FALSE)-50))</f>
        <v>794</v>
      </c>
      <c r="AD348" s="3">
        <f>IF(ISERROR(VLOOKUP($A348,'SegEnds_NonXtal_BW#'!$A:$Z,21,FALSE)+VLOOKUP($A348,A:AL,31,FALSE)-50),"-",(VLOOKUP($A348,'SegEnds_NonXtal_BW#'!$A:$Z,21,FALSE)+VLOOKUP($A348,A:AL,31,FALSE)-50))</f>
        <v>803</v>
      </c>
      <c r="AE348" s="3">
        <v>820</v>
      </c>
      <c r="AF348" s="3">
        <f>IF(ISERROR((VLOOKUP($A348,'SegEnds_NonXtal_BW#'!$A:$Z,22,FALSE)+VLOOKUP($A348,A:AL,31,FALSE)-50)),"-",(VLOOKUP($A348,'SegEnds_NonXtal_BW#'!$A:$Z,22,FALSE)+VLOOKUP($A348,A:AL,31,FALSE)-50))</f>
        <v>827</v>
      </c>
      <c r="AG348" s="3">
        <f>IF(ISERROR(VLOOKUP($A348,'SegEnds_NonXtal_BW#'!$A:$Z,23,FALSE)+VLOOKUP($A348,A:AL,34,FALSE)-50),"-",(VLOOKUP($A348,'SegEnds_NonXtal_BW#'!$A:$Z,23,FALSE)+VLOOKUP($A348,A:AL,34,FALSE)-50))</f>
        <v>832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195"/>
        <v>1</v>
      </c>
      <c r="AO348" s="3" t="str">
        <f>IF(ISERROR(MATCH(A348,'SegEnds_Xtal_Prot#'!B:B, 0)), "NoXtal", "Xtal")</f>
        <v>NoXtal</v>
      </c>
      <c r="AP348" s="3">
        <f t="shared" si="180"/>
        <v>3</v>
      </c>
      <c r="AQ348" s="3">
        <f t="shared" si="181"/>
        <v>1</v>
      </c>
      <c r="AR348" s="3" t="str">
        <f t="shared" si="182"/>
        <v>-</v>
      </c>
      <c r="AS348" s="3" t="str">
        <f t="shared" si="183"/>
        <v>-</v>
      </c>
      <c r="AT348" s="3" t="str">
        <f t="shared" si="184"/>
        <v>-</v>
      </c>
      <c r="AU348" s="3" t="str">
        <f t="shared" si="185"/>
        <v>-</v>
      </c>
      <c r="AV348" s="3">
        <f t="shared" si="186"/>
        <v>19</v>
      </c>
      <c r="AW348" s="3">
        <f t="shared" si="187"/>
        <v>2</v>
      </c>
      <c r="AX348" s="3">
        <f t="shared" si="188"/>
        <v>9</v>
      </c>
      <c r="AY348" s="3">
        <f t="shared" si="189"/>
        <v>5</v>
      </c>
      <c r="AZ348" s="3">
        <f t="shared" si="190"/>
        <v>1</v>
      </c>
      <c r="BA348" s="3">
        <f>IF(ISERROR(LEN(VLOOKUP(A348,Seqs!A:E,2,FALSE))-AL348),"-",LEN(VLOOKUP(A348,Seqs!A:E,2,FALSE))-AL348)</f>
        <v>203</v>
      </c>
      <c r="BB348" s="16">
        <f t="shared" si="191"/>
        <v>31</v>
      </c>
      <c r="BC348" s="9" t="str">
        <f t="shared" si="192"/>
        <v>-</v>
      </c>
      <c r="BD348" s="3">
        <f t="shared" si="193"/>
        <v>31</v>
      </c>
      <c r="BE348" s="3">
        <f t="shared" si="194"/>
        <v>37</v>
      </c>
    </row>
    <row r="349" spans="1:58" s="3" customFormat="1" x14ac:dyDescent="0.2">
      <c r="A349" s="3" t="s">
        <v>106</v>
      </c>
      <c r="B349" s="3" t="str">
        <f>LOWER(VLOOKUP(A349,Xtal_Templ!A:B,2,FALSE))</f>
        <v>grm5_human</v>
      </c>
      <c r="C349" s="3">
        <f>VLOOKUP($A349,'SegEnds_NonXtal_BW#'!$A:$Z,3,FALSE)+D349-50</f>
        <v>590</v>
      </c>
      <c r="D349" s="3">
        <v>606</v>
      </c>
      <c r="E349" s="3">
        <f>IF(ISERROR(VLOOKUP($A349,'SegEnds_NonXtal_BW#'!$A:$Z,4,FALSE)+VLOOKUP($A349,A:AL,4,FALSE)-50),"-",(VLOOKUP($A349,'SegEnds_NonXtal_BW#'!$A:$Z,4,FALSE)+VLOOKUP($A349,A:AL,4,FALSE)-50))</f>
        <v>616</v>
      </c>
      <c r="F349" s="3">
        <f t="shared" si="197"/>
        <v>619</v>
      </c>
      <c r="G349" s="3">
        <v>622</v>
      </c>
      <c r="H349" s="3">
        <f t="shared" si="198"/>
        <v>625</v>
      </c>
      <c r="I349" s="3">
        <f t="shared" si="199"/>
        <v>626</v>
      </c>
      <c r="J349" s="3">
        <v>637</v>
      </c>
      <c r="K349" s="3">
        <f>VLOOKUP($A349,'SegEnds_NonXtal_BW#'!$A:$Z,8,FALSE)+VLOOKUP($A349,A:AL,10,FALSE)-50</f>
        <v>648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659</v>
      </c>
      <c r="P349" s="3">
        <v>688</v>
      </c>
      <c r="Q349" s="3">
        <f>VLOOKUP($A349,'SegEnds_NonXtal_BW#'!$A:$Z,12,FALSE)+VLOOKUP($A349,A:AL,16,FALSE)-50</f>
        <v>692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706</v>
      </c>
      <c r="V349" s="3">
        <v>718</v>
      </c>
      <c r="W349" s="3">
        <f>IF(ISERROR(VLOOKUP($A349,'SegEnds_NonXtal_BW#'!$A:$Z,16,FALSE)+VLOOKUP($A349,A:AL,22,FALSE)-50),"-",(VLOOKUP($A349,'SegEnds_NonXtal_BW#'!$A:$Z,16,FALSE)+VLOOKUP($A349,A:AL,22,FALSE)-50))</f>
        <v>732</v>
      </c>
      <c r="X349" s="3">
        <f>IF(ISERROR(VLOOKUP($A349,'SegEnds_NonXtal_BW#'!$A:$Z,17,FALSE)+VLOOKUP($A349,A:AL,25,FALSE)-50),"-",(VLOOKUP($A349,'SegEnds_NonXtal_BW#'!$A:$Z,17,FALSE)+VLOOKUP($A349,A:AL,25,FALSE)-50))</f>
        <v>761</v>
      </c>
      <c r="Y349" s="3">
        <v>761</v>
      </c>
      <c r="Z349" s="3">
        <f t="shared" si="179"/>
        <v>763</v>
      </c>
      <c r="AA349" s="3">
        <f>IF(ISERROR(VLOOKUP($A349,'SegEnds_NonXtal_BW#'!$A:$Z,19,FALSE)+VLOOKUP($A349,A:AL,28,FALSE)-50),"-",(VLOOKUP($A349,'SegEnds_NonXtal_BW#'!$A:$Z,19,FALSE)+VLOOKUP($A349,A:AL,28,FALSE)-50))</f>
        <v>766</v>
      </c>
      <c r="AB349" s="3">
        <v>780</v>
      </c>
      <c r="AC349" s="3">
        <f>IF(ISERROR((VLOOKUP($A349,'SegEnds_NonXtal_BW#'!$A:$Z,20,FALSE)+VLOOKUP($A349,A:AL,28,FALSE)-50)),"-",(VLOOKUP($A349,'SegEnds_NonXtal_BW#'!$A:$Z,20,FALSE)+VLOOKUP($A349,A:AL,28,FALSE)-50))</f>
        <v>791</v>
      </c>
      <c r="AD349" s="3">
        <f>IF(ISERROR(VLOOKUP($A349,'SegEnds_NonXtal_BW#'!$A:$Z,21,FALSE)+VLOOKUP($A349,A:AL,31,FALSE)-50),"-",(VLOOKUP($A349,'SegEnds_NonXtal_BW#'!$A:$Z,21,FALSE)+VLOOKUP($A349,A:AL,31,FALSE)-50))</f>
        <v>801</v>
      </c>
      <c r="AE349" s="3">
        <v>818</v>
      </c>
      <c r="AF349" s="3">
        <f>IF(ISERROR((VLOOKUP($A349,'SegEnds_NonXtal_BW#'!$A:$Z,22,FALSE)+VLOOKUP($A349,A:AL,31,FALSE)-50)),"-",(VLOOKUP($A349,'SegEnds_NonXtal_BW#'!$A:$Z,22,FALSE)+VLOOKUP($A349,A:AL,31,FALSE)-50))</f>
        <v>825</v>
      </c>
      <c r="AG349" s="3">
        <f>IF(ISERROR(VLOOKUP($A349,'SegEnds_NonXtal_BW#'!$A:$Z,23,FALSE)+VLOOKUP($A349,A:AL,34,FALSE)-50),"-",(VLOOKUP($A349,'SegEnds_NonXtal_BW#'!$A:$Z,23,FALSE)+VLOOKUP($A349,A:AL,34,FALSE)-50))</f>
        <v>832</v>
      </c>
      <c r="AH349" s="3">
        <v>849</v>
      </c>
      <c r="AI349" s="3">
        <f>IF(ISERROR((VLOOKUP($A349,'SegEnds_NonXtal_BW#'!$A:$Z,24,FALSE)+VLOOKUP($A349,A:AL,34,FALSE)-50)),"-",(VLOOKUP($A349,'SegEnds_NonXtal_BW#'!$A:$Z,24,FALSE)+VLOOKUP($A349,A:AL,34,FALSE)-50))</f>
        <v>863</v>
      </c>
      <c r="AJ349" s="3">
        <f>IF(ISERROR(VLOOKUP($A349,'SegEnds_NonXtal_BW#'!$A:$Z,25,FALSE)+VLOOKUP($A349,A:AL,37,FALSE)-50),"-",(VLOOKUP($A349,'SegEnds_NonXtal_BW#'!$A:$Z,25,FALSE)+VLOOKUP($A349,A:AL,37,FALSE)-50))</f>
        <v>864</v>
      </c>
      <c r="AK349" s="3">
        <v>868</v>
      </c>
      <c r="AL349" s="3">
        <f>IF(ISERROR((VLOOKUP($A349,'SegEnds_NonXtal_BW#'!$A:$Z,26,FALSE)+VLOOKUP($A349,A:AL,37,FALSE)-50)),"-",(VLOOKUP($A349,'SegEnds_NonXtal_BW#'!$A:$Z,26,FALSE)+VLOOKUP($A349,A:AL,37,FALSE)-50))</f>
        <v>875</v>
      </c>
      <c r="AM349" s="28" t="str">
        <f>VLOOKUP(A349,Classification!A:B,2,FALSE)</f>
        <v>C</v>
      </c>
      <c r="AN349" s="28" t="b">
        <f t="shared" si="195"/>
        <v>1</v>
      </c>
      <c r="AO349" s="3" t="str">
        <f>IF(ISERROR(MATCH(A349,'SegEnds_Xtal_Prot#'!B:B, 0)), "NoXtal", "Xtal")</f>
        <v>NoXtal</v>
      </c>
      <c r="AP349" s="3">
        <f t="shared" si="180"/>
        <v>3</v>
      </c>
      <c r="AQ349" s="3">
        <f t="shared" si="181"/>
        <v>1</v>
      </c>
      <c r="AR349" s="3" t="str">
        <f t="shared" si="182"/>
        <v>-</v>
      </c>
      <c r="AS349" s="3" t="str">
        <f t="shared" si="183"/>
        <v>-</v>
      </c>
      <c r="AT349" s="3" t="str">
        <f t="shared" si="184"/>
        <v>-</v>
      </c>
      <c r="AU349" s="3" t="str">
        <f t="shared" si="185"/>
        <v>-</v>
      </c>
      <c r="AV349" s="3">
        <f t="shared" si="186"/>
        <v>29</v>
      </c>
      <c r="AW349" s="3">
        <f t="shared" si="187"/>
        <v>3</v>
      </c>
      <c r="AX349" s="3">
        <f t="shared" si="188"/>
        <v>10</v>
      </c>
      <c r="AY349" s="3">
        <f t="shared" si="189"/>
        <v>7</v>
      </c>
      <c r="AZ349" s="3">
        <f t="shared" si="190"/>
        <v>1</v>
      </c>
      <c r="BA349" s="3">
        <f>IF(ISERROR(LEN(VLOOKUP(A349,Seqs!A:E,2,FALSE))-AL349),"-",LEN(VLOOKUP(A349,Seqs!A:E,2,FALSE))-AL349)</f>
        <v>86</v>
      </c>
      <c r="BB349" s="16">
        <f t="shared" si="191"/>
        <v>31</v>
      </c>
      <c r="BC349" s="9" t="str">
        <f t="shared" si="192"/>
        <v>-</v>
      </c>
      <c r="BD349" s="3">
        <f t="shared" si="193"/>
        <v>31</v>
      </c>
      <c r="BE349" s="3">
        <f t="shared" si="194"/>
        <v>38</v>
      </c>
    </row>
    <row r="350" spans="1:58" s="3" customFormat="1" x14ac:dyDescent="0.2">
      <c r="A350" s="3" t="s">
        <v>107</v>
      </c>
      <c r="B350" s="3" t="str">
        <f>LOWER(VLOOKUP(A350,Xtal_Templ!A:B,2,FALSE))</f>
        <v>grm5_human</v>
      </c>
      <c r="C350" s="3">
        <f>VLOOKUP($A350,'SegEnds_NonXtal_BW#'!$A:$Z,3,FALSE)+D350-50</f>
        <v>480</v>
      </c>
      <c r="D350" s="3">
        <v>496</v>
      </c>
      <c r="E350" s="3">
        <f>IF(ISERROR(VLOOKUP($A350,'SegEnds_NonXtal_BW#'!$A:$Z,4,FALSE)+VLOOKUP($A350,A:AL,4,FALSE)-50),"-",(VLOOKUP($A350,'SegEnds_NonXtal_BW#'!$A:$Z,4,FALSE)+VLOOKUP($A350,A:AL,4,FALSE)-50))</f>
        <v>506</v>
      </c>
      <c r="F350" s="3">
        <f t="shared" si="197"/>
        <v>509</v>
      </c>
      <c r="G350" s="3">
        <v>512</v>
      </c>
      <c r="H350" s="3">
        <f t="shared" si="198"/>
        <v>515</v>
      </c>
      <c r="I350" s="3">
        <f t="shared" si="199"/>
        <v>516</v>
      </c>
      <c r="J350" s="3">
        <v>527</v>
      </c>
      <c r="K350" s="3">
        <f>VLOOKUP($A350,'SegEnds_NonXtal_BW#'!$A:$Z,8,FALSE)+VLOOKUP($A350,A:AL,10,FALSE)-50</f>
        <v>538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549</v>
      </c>
      <c r="P350" s="3">
        <v>578</v>
      </c>
      <c r="Q350" s="3">
        <f>VLOOKUP($A350,'SegEnds_NonXtal_BW#'!$A:$Z,12,FALSE)+VLOOKUP($A350,A:AL,16,FALSE)-50</f>
        <v>582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593</v>
      </c>
      <c r="V350" s="3">
        <v>605</v>
      </c>
      <c r="W350" s="3">
        <f>IF(ISERROR(VLOOKUP($A350,'SegEnds_NonXtal_BW#'!$A:$Z,16,FALSE)+VLOOKUP($A350,A:AL,22,FALSE)-50),"-",(VLOOKUP($A350,'SegEnds_NonXtal_BW#'!$A:$Z,16,FALSE)+VLOOKUP($A350,A:AL,22,FALSE)-50))</f>
        <v>619</v>
      </c>
      <c r="X350" s="3">
        <f>IF(ISERROR(VLOOKUP($A350,'SegEnds_NonXtal_BW#'!$A:$Z,17,FALSE)+VLOOKUP($A350,A:AL,25,FALSE)-50),"-",(VLOOKUP($A350,'SegEnds_NonXtal_BW#'!$A:$Z,17,FALSE)+VLOOKUP($A350,A:AL,25,FALSE)-50))</f>
        <v>648</v>
      </c>
      <c r="Y350" s="3">
        <v>648</v>
      </c>
      <c r="Z350" s="3">
        <f t="shared" si="179"/>
        <v>650</v>
      </c>
      <c r="AA350" s="3">
        <f>IF(ISERROR(VLOOKUP($A350,'SegEnds_NonXtal_BW#'!$A:$Z,19,FALSE)+VLOOKUP($A350,A:AL,28,FALSE)-50),"-",(VLOOKUP($A350,'SegEnds_NonXtal_BW#'!$A:$Z,19,FALSE)+VLOOKUP($A350,A:AL,28,FALSE)-50))</f>
        <v>653</v>
      </c>
      <c r="AB350" s="3">
        <v>667</v>
      </c>
      <c r="AC350" s="3">
        <f>IF(ISERROR((VLOOKUP($A350,'SegEnds_NonXtal_BW#'!$A:$Z,20,FALSE)+VLOOKUP($A350,A:AL,28,FALSE)-50)),"-",(VLOOKUP($A350,'SegEnds_NonXtal_BW#'!$A:$Z,20,FALSE)+VLOOKUP($A350,A:AL,28,FALSE)-50))</f>
        <v>678</v>
      </c>
      <c r="AD350" s="3">
        <f>IF(ISERROR(VLOOKUP($A350,'SegEnds_NonXtal_BW#'!$A:$Z,21,FALSE)+VLOOKUP($A350,A:AL,31,FALSE)-50),"-",(VLOOKUP($A350,'SegEnds_NonXtal_BW#'!$A:$Z,21,FALSE)+VLOOKUP($A350,A:AL,31,FALSE)-50))</f>
        <v>688</v>
      </c>
      <c r="AE350" s="3">
        <v>705</v>
      </c>
      <c r="AF350" s="3">
        <f>IF(ISERROR((VLOOKUP($A350,'SegEnds_NonXtal_BW#'!$A:$Z,22,FALSE)+VLOOKUP($A350,A:AL,31,FALSE)-50)),"-",(VLOOKUP($A350,'SegEnds_NonXtal_BW#'!$A:$Z,22,FALSE)+VLOOKUP($A350,A:AL,31,FALSE)-50))</f>
        <v>712</v>
      </c>
      <c r="AG350" s="3">
        <f>IF(ISERROR(VLOOKUP($A350,'SegEnds_NonXtal_BW#'!$A:$Z,23,FALSE)+VLOOKUP($A350,A:AL,34,FALSE)-50),"-",(VLOOKUP($A350,'SegEnds_NonXtal_BW#'!$A:$Z,23,FALSE)+VLOOKUP($A350,A:AL,34,FALSE)-50))</f>
        <v>719</v>
      </c>
      <c r="AH350" s="3">
        <v>736</v>
      </c>
      <c r="AI350" s="3">
        <f>IF(ISERROR((VLOOKUP($A350,'SegEnds_NonXtal_BW#'!$A:$Z,24,FALSE)+VLOOKUP($A350,A:AL,34,FALSE)-50)),"-",(VLOOKUP($A350,'SegEnds_NonXtal_BW#'!$A:$Z,24,FALSE)+VLOOKUP($A350,A:AL,34,FALSE)-50))</f>
        <v>750</v>
      </c>
      <c r="AJ350" s="3">
        <f>IF(ISERROR(VLOOKUP($A350,'SegEnds_NonXtal_BW#'!$A:$Z,25,FALSE)+VLOOKUP($A350,A:AL,37,FALSE)-50),"-",(VLOOKUP($A350,'SegEnds_NonXtal_BW#'!$A:$Z,25,FALSE)+VLOOKUP($A350,A:AL,37,FALSE)-50))</f>
        <v>751</v>
      </c>
      <c r="AK350" s="3">
        <v>755</v>
      </c>
      <c r="AL350" s="3">
        <f>IF(ISERROR((VLOOKUP($A350,'SegEnds_NonXtal_BW#'!$A:$Z,26,FALSE)+VLOOKUP($A350,A:AL,37,FALSE)-50)),"-",(VLOOKUP($A350,'SegEnds_NonXtal_BW#'!$A:$Z,26,FALSE)+VLOOKUP($A350,A:AL,37,FALSE)-50))</f>
        <v>762</v>
      </c>
      <c r="AM350" s="28" t="str">
        <f>VLOOKUP(A350,Classification!A:B,2,FALSE)</f>
        <v>C</v>
      </c>
      <c r="AN350" s="28" t="b">
        <f t="shared" si="195"/>
        <v>1</v>
      </c>
      <c r="AO350" s="3" t="str">
        <f>IF(ISERROR(MATCH(A350,'SegEnds_Xtal_Prot#'!B:B, 0)), "NoXtal", "Xtal")</f>
        <v>NoXtal</v>
      </c>
      <c r="AP350" s="3">
        <f t="shared" si="180"/>
        <v>3</v>
      </c>
      <c r="AQ350" s="3">
        <f t="shared" si="181"/>
        <v>1</v>
      </c>
      <c r="AR350" s="3" t="str">
        <f t="shared" si="182"/>
        <v>-</v>
      </c>
      <c r="AS350" s="3" t="str">
        <f t="shared" si="183"/>
        <v>-</v>
      </c>
      <c r="AT350" s="3" t="str">
        <f t="shared" si="184"/>
        <v>-</v>
      </c>
      <c r="AU350" s="3" t="str">
        <f t="shared" si="185"/>
        <v>-</v>
      </c>
      <c r="AV350" s="3">
        <f t="shared" si="186"/>
        <v>29</v>
      </c>
      <c r="AW350" s="3">
        <f t="shared" si="187"/>
        <v>3</v>
      </c>
      <c r="AX350" s="3">
        <f t="shared" si="188"/>
        <v>10</v>
      </c>
      <c r="AY350" s="3">
        <f t="shared" si="189"/>
        <v>7</v>
      </c>
      <c r="AZ350" s="3">
        <f t="shared" si="190"/>
        <v>1</v>
      </c>
      <c r="BA350" s="3">
        <f>IF(ISERROR(LEN(VLOOKUP(A350,Seqs!A:E,2,FALSE))-AL350),"-",LEN(VLOOKUP(A350,Seqs!A:E,2,FALSE))-AL350)</f>
        <v>179</v>
      </c>
      <c r="BB350" s="16">
        <f t="shared" si="191"/>
        <v>31</v>
      </c>
      <c r="BC350" s="9" t="str">
        <f t="shared" si="192"/>
        <v>-</v>
      </c>
      <c r="BD350" s="3">
        <f t="shared" si="193"/>
        <v>31</v>
      </c>
      <c r="BE350" s="3">
        <f t="shared" si="194"/>
        <v>38</v>
      </c>
    </row>
    <row r="351" spans="1:58" s="3" customFormat="1" x14ac:dyDescent="0.2">
      <c r="A351" s="3" t="s">
        <v>108</v>
      </c>
      <c r="B351" s="3" t="str">
        <f>LOWER(VLOOKUP(A351,Xtal_Templ!A:B,2,FALSE))</f>
        <v>grm1_human</v>
      </c>
      <c r="C351" s="3">
        <f>VLOOKUP($A351,'SegEnds_NonXtal_BW#'!$A:$Z,3,FALSE)+D351-50</f>
        <v>48</v>
      </c>
      <c r="D351" s="3">
        <v>64</v>
      </c>
      <c r="E351" s="3">
        <f>IF(ISERROR(VLOOKUP($A351,'SegEnds_NonXtal_BW#'!$A:$Z,4,FALSE)+VLOOKUP($A351,A:AL,4,FALSE)-50),"-",(VLOOKUP($A351,'SegEnds_NonXtal_BW#'!$A:$Z,4,FALSE)+VLOOKUP($A351,A:AL,4,FALSE)-50))</f>
        <v>74</v>
      </c>
      <c r="F351" s="3">
        <f t="shared" si="197"/>
        <v>77</v>
      </c>
      <c r="G351" s="3">
        <v>80</v>
      </c>
      <c r="H351" s="3">
        <f t="shared" si="198"/>
        <v>83</v>
      </c>
      <c r="I351" s="3">
        <f t="shared" si="199"/>
        <v>84</v>
      </c>
      <c r="J351" s="3">
        <v>95</v>
      </c>
      <c r="K351" s="3">
        <f>VLOOKUP($A351,'SegEnds_NonXtal_BW#'!$A:$Z,8,FALSE)+VLOOKUP($A351,A:AL,10,FALSE)-50</f>
        <v>106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117</v>
      </c>
      <c r="P351" s="3">
        <v>145</v>
      </c>
      <c r="Q351" s="3">
        <f>VLOOKUP($A351,'SegEnds_NonXtal_BW#'!$A:$Z,12,FALSE)+VLOOKUP($A351,A:AL,16,FALSE)-50</f>
        <v>149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161</v>
      </c>
      <c r="V351" s="3">
        <v>173</v>
      </c>
      <c r="W351" s="3">
        <f>IF(ISERROR(VLOOKUP($A351,'SegEnds_NonXtal_BW#'!$A:$Z,16,FALSE)+VLOOKUP($A351,A:AL,22,FALSE)-50),"-",(VLOOKUP($A351,'SegEnds_NonXtal_BW#'!$A:$Z,16,FALSE)+VLOOKUP($A351,A:AL,22,FALSE)-50))</f>
        <v>187</v>
      </c>
      <c r="X351" s="3">
        <f>IF(ISERROR(VLOOKUP($A351,'SegEnds_NonXtal_BW#'!$A:$Z,17,FALSE)+VLOOKUP($A351,A:AL,25,FALSE)-50),"-",(VLOOKUP($A351,'SegEnds_NonXtal_BW#'!$A:$Z,17,FALSE)+VLOOKUP($A351,A:AL,25,FALSE)-50))</f>
        <v>216</v>
      </c>
      <c r="Y351" s="105">
        <v>216</v>
      </c>
      <c r="Z351" s="3">
        <f>IF(ISERROR(VLOOKUP($A351,'SegEnds_NonXtal_BW#'!$A:$Z,18,FALSE)+VLOOKUP($A351,A:AL,25,FALSE)-50),"-",(VLOOKUP($A351,'SegEnds_NonXtal_BW#'!$A:$Z,18,FALSE)+VLOOKUP($A351,A:AL,25,FALSE)-50))</f>
        <v>218</v>
      </c>
      <c r="AA351" s="3">
        <f>IF(ISERROR(VLOOKUP($A351,'SegEnds_NonXtal_BW#'!$A:$Z,19,FALSE)+VLOOKUP($A351,A:AL,28,FALSE)-50),"-",(VLOOKUP($A351,'SegEnds_NonXtal_BW#'!$A:$Z,19,FALSE)+VLOOKUP($A351,A:AL,28,FALSE)-50))</f>
        <v>221</v>
      </c>
      <c r="AB351" s="3">
        <v>235</v>
      </c>
      <c r="AC351" s="3">
        <f>IF(ISERROR((VLOOKUP($A351,'SegEnds_NonXtal_BW#'!$A:$Z,20,FALSE)+VLOOKUP($A351,A:AL,28,FALSE)-50)),"-",(VLOOKUP($A351,'SegEnds_NonXtal_BW#'!$A:$Z,20,FALSE)+VLOOKUP($A351,A:AL,28,FALSE)-50))</f>
        <v>246</v>
      </c>
      <c r="AD351" s="3">
        <f>IF(ISERROR(VLOOKUP($A351,'SegEnds_NonXtal_BW#'!$A:$Z,21,FALSE)+VLOOKUP($A351,A:AL,31,FALSE)-50),"-",(VLOOKUP($A351,'SegEnds_NonXtal_BW#'!$A:$Z,21,FALSE)+VLOOKUP($A351,A:AL,31,FALSE)-50))</f>
        <v>257</v>
      </c>
      <c r="AE351" s="3">
        <v>274</v>
      </c>
      <c r="AF351" s="3">
        <f>IF(ISERROR((VLOOKUP($A351,'SegEnds_NonXtal_BW#'!$A:$Z,22,FALSE)+VLOOKUP($A351,A:AL,31,FALSE)-50)),"-",(VLOOKUP($A351,'SegEnds_NonXtal_BW#'!$A:$Z,22,FALSE)+VLOOKUP($A351,A:AL,31,FALSE)-50))</f>
        <v>281</v>
      </c>
      <c r="AG351" s="3">
        <f>IF(ISERROR(VLOOKUP($A351,'SegEnds_NonXtal_BW#'!$A:$Z,23,FALSE)+VLOOKUP($A351,A:AL,34,FALSE)-50),"-",(VLOOKUP($A351,'SegEnds_NonXtal_BW#'!$A:$Z,23,FALSE)+VLOOKUP($A351,A:AL,34,FALSE)-50))</f>
        <v>287</v>
      </c>
      <c r="AH351" s="3">
        <v>304</v>
      </c>
      <c r="AI351" s="3">
        <f>IF(ISERROR((VLOOKUP($A351,'SegEnds_NonXtal_BW#'!$A:$Z,24,FALSE)+VLOOKUP($A351,A:AL,34,FALSE)-50)),"-",(VLOOKUP($A351,'SegEnds_NonXtal_BW#'!$A:$Z,24,FALSE)+VLOOKUP($A351,A:AL,34,FALSE)-50))</f>
        <v>318</v>
      </c>
      <c r="AJ351" s="3">
        <f>IF(ISERROR(VLOOKUP($A351,'SegEnds_NonXtal_BW#'!$A:$Z,25,FALSE)+VLOOKUP($A351,A:AL,37,FALSE)-50),"-",(VLOOKUP($A351,'SegEnds_NonXtal_BW#'!$A:$Z,25,FALSE)+VLOOKUP($A351,A:AL,37,FALSE)-50))</f>
        <v>319</v>
      </c>
      <c r="AK351" s="3">
        <v>323</v>
      </c>
      <c r="AL351" s="3">
        <f>IF(ISERROR((VLOOKUP($A351,'SegEnds_NonXtal_BW#'!$A:$Z,26,FALSE)+VLOOKUP($A351,A:AL,37,FALSE)-50)),"-",(VLOOKUP($A351,'SegEnds_NonXtal_BW#'!$A:$Z,26,FALSE)+VLOOKUP($A351,A:AL,37,FALSE)-50))</f>
        <v>330</v>
      </c>
      <c r="AM351" s="28" t="str">
        <f>VLOOKUP(A351,Classification!A:B,2,FALSE)</f>
        <v>C</v>
      </c>
      <c r="AN351" s="28" t="b">
        <f t="shared" si="195"/>
        <v>1</v>
      </c>
      <c r="AO351" s="3" t="str">
        <f>IF(ISERROR(MATCH(A351,'SegEnds_Xtal_Prot#'!B:B, 0)), "NoXtal", "Xtal")</f>
        <v>NoXtal</v>
      </c>
      <c r="AP351" s="3">
        <f t="shared" si="180"/>
        <v>3</v>
      </c>
      <c r="AQ351" s="3">
        <f t="shared" si="181"/>
        <v>1</v>
      </c>
      <c r="AR351" s="3" t="str">
        <f t="shared" si="182"/>
        <v>-</v>
      </c>
      <c r="AS351" s="3" t="str">
        <f t="shared" si="183"/>
        <v>-</v>
      </c>
      <c r="AT351" s="3" t="str">
        <f t="shared" si="184"/>
        <v>-</v>
      </c>
      <c r="AU351" s="3" t="str">
        <f t="shared" si="185"/>
        <v>-</v>
      </c>
      <c r="AV351" s="3">
        <f t="shared" si="186"/>
        <v>29</v>
      </c>
      <c r="AW351" s="3">
        <f t="shared" si="187"/>
        <v>3</v>
      </c>
      <c r="AX351" s="3">
        <f t="shared" si="188"/>
        <v>11</v>
      </c>
      <c r="AY351" s="3">
        <f t="shared" si="189"/>
        <v>6</v>
      </c>
      <c r="AZ351" s="3">
        <f t="shared" si="190"/>
        <v>1</v>
      </c>
      <c r="BA351" s="3">
        <f>IF(ISERROR(LEN(VLOOKUP(A351,Seqs!A:E,2,FALSE))-AL351),"-",LEN(VLOOKUP(A351,Seqs!A:E,2,FALSE))-AL351)</f>
        <v>484</v>
      </c>
      <c r="BB351" s="16">
        <f t="shared" si="191"/>
        <v>31</v>
      </c>
      <c r="BC351" s="9" t="str">
        <f t="shared" si="192"/>
        <v>-</v>
      </c>
      <c r="BD351" s="3">
        <f t="shared" si="193"/>
        <v>31</v>
      </c>
      <c r="BE351" s="3">
        <f t="shared" si="194"/>
        <v>39</v>
      </c>
    </row>
    <row r="352" spans="1:58" s="3" customFormat="1" x14ac:dyDescent="0.2">
      <c r="A352" s="3" t="s">
        <v>109</v>
      </c>
      <c r="B352" s="3" t="str">
        <f>LOWER(VLOOKUP(A352,Xtal_Templ!A:B,2,FALSE))</f>
        <v>grm1_human</v>
      </c>
      <c r="C352" s="3">
        <f>VLOOKUP($A352,'SegEnds_NonXtal_BW#'!$A:$Z,3,FALSE)+D352-50</f>
        <v>415</v>
      </c>
      <c r="D352" s="3">
        <v>431</v>
      </c>
      <c r="E352" s="3">
        <f>IF(ISERROR(VLOOKUP($A352,'SegEnds_NonXtal_BW#'!$A:$Z,4,FALSE)+VLOOKUP($A352,A:AL,4,FALSE)-50),"-",(VLOOKUP($A352,'SegEnds_NonXtal_BW#'!$A:$Z,4,FALSE)+VLOOKUP($A352,A:AL,4,FALSE)-50))</f>
        <v>441</v>
      </c>
      <c r="F352" s="3">
        <f t="shared" si="197"/>
        <v>444</v>
      </c>
      <c r="G352" s="3">
        <v>447</v>
      </c>
      <c r="H352" s="3">
        <f t="shared" si="198"/>
        <v>450</v>
      </c>
      <c r="I352" s="3">
        <f t="shared" si="199"/>
        <v>451</v>
      </c>
      <c r="J352" s="3">
        <v>462</v>
      </c>
      <c r="K352" s="3">
        <f>VLOOKUP($A352,'SegEnds_NonXtal_BW#'!$A:$Z,8,FALSE)+VLOOKUP($A352,A:AL,10,FALSE)-50</f>
        <v>473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478</v>
      </c>
      <c r="P352" s="3">
        <v>506</v>
      </c>
      <c r="Q352" s="3">
        <f>VLOOKUP($A352,'SegEnds_NonXtal_BW#'!$A:$Z,12,FALSE)+VLOOKUP($A352,A:AL,16,FALSE)-50</f>
        <v>510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512</v>
      </c>
      <c r="V352" s="3">
        <v>524</v>
      </c>
      <c r="W352" s="3">
        <f>IF(ISERROR(VLOOKUP($A352,'SegEnds_NonXtal_BW#'!$A:$Z,16,FALSE)+VLOOKUP($A352,A:AL,22,FALSE)-50),"-",(VLOOKUP($A352,'SegEnds_NonXtal_BW#'!$A:$Z,16,FALSE)+VLOOKUP($A352,A:AL,22,FALSE)-50))</f>
        <v>538</v>
      </c>
      <c r="X352" s="3">
        <f>IF(ISERROR(VLOOKUP($A352,'SegEnds_NonXtal_BW#'!$A:$Z,17,FALSE)+VLOOKUP($A352,A:AL,25,FALSE)-50),"-",(VLOOKUP($A352,'SegEnds_NonXtal_BW#'!$A:$Z,17,FALSE)+VLOOKUP($A352,A:AL,25,FALSE)-50))</f>
        <v>573</v>
      </c>
      <c r="Y352" s="3">
        <v>573</v>
      </c>
      <c r="Z352" s="3">
        <f>Y352+2</f>
        <v>575</v>
      </c>
      <c r="AA352" s="105">
        <v>576</v>
      </c>
      <c r="AB352" s="3">
        <v>589</v>
      </c>
      <c r="AC352" s="3">
        <f>IF(ISERROR((VLOOKUP($A352,'SegEnds_NonXtal_BW#'!$A:$Z,20,FALSE)+VLOOKUP($A352,A:AL,28,FALSE)-50)),"-",(VLOOKUP($A352,'SegEnds_NonXtal_BW#'!$A:$Z,20,FALSE)+VLOOKUP($A352,A:AL,28,FALSE)-50))</f>
        <v>600</v>
      </c>
      <c r="AD352" s="3">
        <f>IF(ISERROR(VLOOKUP($A352,'SegEnds_NonXtal_BW#'!$A:$Z,21,FALSE)+VLOOKUP($A352,A:AL,31,FALSE)-50),"-",(VLOOKUP($A352,'SegEnds_NonXtal_BW#'!$A:$Z,21,FALSE)+VLOOKUP($A352,A:AL,31,FALSE)-50))</f>
        <v>609</v>
      </c>
      <c r="AE352" s="3">
        <v>626</v>
      </c>
      <c r="AF352" s="3">
        <f>IF(ISERROR((VLOOKUP($A352,'SegEnds_NonXtal_BW#'!$A:$Z,22,FALSE)+VLOOKUP($A352,A:AL,31,FALSE)-50)),"-",(VLOOKUP($A352,'SegEnds_NonXtal_BW#'!$A:$Z,22,FALSE)+VLOOKUP($A352,A:AL,31,FALSE)-50))</f>
        <v>633</v>
      </c>
      <c r="AG352" s="3">
        <f>IF(ISERROR(VLOOKUP($A352,'SegEnds_NonXtal_BW#'!$A:$Z,23,FALSE)+VLOOKUP($A352,A:AL,34,FALSE)-50),"-",(VLOOKUP($A352,'SegEnds_NonXtal_BW#'!$A:$Z,23,FALSE)+VLOOKUP($A352,A:AL,34,FALSE)-50))</f>
        <v>642</v>
      </c>
      <c r="AH352" s="3">
        <v>659</v>
      </c>
      <c r="AI352" s="3">
        <f>IF(ISERROR((VLOOKUP($A352,'SegEnds_NonXtal_BW#'!$A:$Z,24,FALSE)+VLOOKUP($A352,A:AL,34,FALSE)-50)),"-",(VLOOKUP($A352,'SegEnds_NonXtal_BW#'!$A:$Z,24,FALSE)+VLOOKUP($A352,A:AL,34,FALSE)-50))</f>
        <v>673</v>
      </c>
      <c r="AJ352" s="3">
        <f>IF(ISERROR(VLOOKUP($A352,'SegEnds_NonXtal_BW#'!$A:$Z,25,FALSE)+VLOOKUP($A352,A:AL,37,FALSE)-50),"-",(VLOOKUP($A352,'SegEnds_NonXtal_BW#'!$A:$Z,25,FALSE)+VLOOKUP($A352,A:AL,37,FALSE)-50))</f>
        <v>674</v>
      </c>
      <c r="AK352" s="3">
        <v>678</v>
      </c>
      <c r="AL352" s="3">
        <f>IF(ISERROR((VLOOKUP($A352,'SegEnds_NonXtal_BW#'!$A:$Z,26,FALSE)+VLOOKUP($A352,A:AL,37,FALSE)-50)),"-",(VLOOKUP($A352,'SegEnds_NonXtal_BW#'!$A:$Z,26,FALSE)+VLOOKUP($A352,A:AL,37,FALSE)-50))</f>
        <v>685</v>
      </c>
      <c r="AM352" s="28" t="str">
        <f>VLOOKUP(A352,Classification!A:B,2,FALSE)</f>
        <v>C</v>
      </c>
      <c r="AN352" s="28" t="b">
        <f t="shared" si="195"/>
        <v>1</v>
      </c>
      <c r="AO352" s="3" t="str">
        <f>IF(ISERROR(MATCH(A352,'SegEnds_Xtal_Prot#'!B:B, 0)), "NoXtal", "Xtal")</f>
        <v>NoXtal</v>
      </c>
      <c r="AP352" s="3">
        <f t="shared" si="180"/>
        <v>3</v>
      </c>
      <c r="AQ352" s="3">
        <f t="shared" si="181"/>
        <v>1</v>
      </c>
      <c r="AR352" s="3" t="str">
        <f t="shared" si="182"/>
        <v>-</v>
      </c>
      <c r="AS352" s="3" t="str">
        <f t="shared" si="183"/>
        <v>-</v>
      </c>
      <c r="AT352" s="3" t="str">
        <f t="shared" si="184"/>
        <v>-</v>
      </c>
      <c r="AU352" s="3" t="str">
        <f t="shared" si="185"/>
        <v>-</v>
      </c>
      <c r="AV352" s="3">
        <f t="shared" si="186"/>
        <v>35</v>
      </c>
      <c r="AW352" s="3">
        <f t="shared" si="187"/>
        <v>1</v>
      </c>
      <c r="AX352" s="3">
        <f t="shared" si="188"/>
        <v>9</v>
      </c>
      <c r="AY352" s="3">
        <f t="shared" si="189"/>
        <v>9</v>
      </c>
      <c r="AZ352" s="3">
        <f t="shared" si="190"/>
        <v>1</v>
      </c>
      <c r="BA352" s="3">
        <f>IF(ISERROR(LEN(VLOOKUP(A352,Seqs!A:E,2,FALSE))-AL352),"-",LEN(VLOOKUP(A352,Seqs!A:E,2,FALSE))-AL352)</f>
        <v>530</v>
      </c>
      <c r="BB352" s="16">
        <f t="shared" si="191"/>
        <v>31</v>
      </c>
      <c r="BC352" s="9" t="str">
        <f t="shared" si="192"/>
        <v>-</v>
      </c>
      <c r="BD352" s="3">
        <f t="shared" si="193"/>
        <v>31</v>
      </c>
      <c r="BE352" s="3">
        <f t="shared" si="194"/>
        <v>37</v>
      </c>
    </row>
    <row r="353" spans="1:58" s="3" customFormat="1" x14ac:dyDescent="0.2">
      <c r="A353" s="3" t="s">
        <v>110</v>
      </c>
      <c r="B353" s="3" t="str">
        <f>LOWER(VLOOKUP(A353,Xtal_Templ!A:B,2,FALSE))</f>
        <v>grm1_human</v>
      </c>
      <c r="C353" s="3">
        <f>VLOOKUP($A353,'SegEnds_NonXtal_BW#'!$A:$Z,3,FALSE)+D353-50</f>
        <v>379</v>
      </c>
      <c r="D353" s="3">
        <v>395</v>
      </c>
      <c r="E353" s="3">
        <f>IF(ISERROR(VLOOKUP($A353,'SegEnds_NonXtal_BW#'!$A:$Z,4,FALSE)+VLOOKUP($A353,A:AL,4,FALSE)-50),"-",(VLOOKUP($A353,'SegEnds_NonXtal_BW#'!$A:$Z,4,FALSE)+VLOOKUP($A353,A:AL,4,FALSE)-50))</f>
        <v>405</v>
      </c>
      <c r="F353" s="3">
        <f t="shared" si="197"/>
        <v>408</v>
      </c>
      <c r="G353" s="3">
        <v>411</v>
      </c>
      <c r="H353" s="3">
        <f t="shared" si="198"/>
        <v>414</v>
      </c>
      <c r="I353" s="3">
        <f t="shared" si="199"/>
        <v>415</v>
      </c>
      <c r="J353" s="3">
        <v>426</v>
      </c>
      <c r="K353" s="3">
        <f>VLOOKUP($A353,'SegEnds_NonXtal_BW#'!$A:$Z,8,FALSE)+VLOOKUP($A353,A:AL,10,FALSE)-50</f>
        <v>437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442</v>
      </c>
      <c r="P353" s="3">
        <v>470</v>
      </c>
      <c r="Q353" s="3">
        <f>VLOOKUP($A353,'SegEnds_NonXtal_BW#'!$A:$Z,12,FALSE)+VLOOKUP($A353,A:AL,16,FALSE)-50</f>
        <v>474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476</v>
      </c>
      <c r="V353" s="3">
        <v>488</v>
      </c>
      <c r="W353" s="3">
        <f>IF(ISERROR(VLOOKUP($A353,'SegEnds_NonXtal_BW#'!$A:$Z,16,FALSE)+VLOOKUP($A353,A:AL,22,FALSE)-50),"-",(VLOOKUP($A353,'SegEnds_NonXtal_BW#'!$A:$Z,16,FALSE)+VLOOKUP($A353,A:AL,22,FALSE)-50))</f>
        <v>502</v>
      </c>
      <c r="X353" s="3">
        <f>IF(ISERROR(VLOOKUP($A353,'SegEnds_NonXtal_BW#'!$A:$Z,17,FALSE)+VLOOKUP($A353,A:AL,25,FALSE)-50),"-",(VLOOKUP($A353,'SegEnds_NonXtal_BW#'!$A:$Z,17,FALSE)+VLOOKUP($A353,A:AL,25,FALSE)-50))</f>
        <v>537</v>
      </c>
      <c r="Y353" s="3">
        <v>537</v>
      </c>
      <c r="Z353" s="3">
        <f>Y353+2</f>
        <v>539</v>
      </c>
      <c r="AA353" s="105">
        <v>540</v>
      </c>
      <c r="AB353" s="3">
        <v>553</v>
      </c>
      <c r="AC353" s="3">
        <f>IF(ISERROR((VLOOKUP($A353,'SegEnds_NonXtal_BW#'!$A:$Z,20,FALSE)+VLOOKUP($A353,A:AL,28,FALSE)-50)),"-",(VLOOKUP($A353,'SegEnds_NonXtal_BW#'!$A:$Z,20,FALSE)+VLOOKUP($A353,A:AL,28,FALSE)-50))</f>
        <v>564</v>
      </c>
      <c r="AD353" s="3">
        <f>IF(ISERROR(VLOOKUP($A353,'SegEnds_NonXtal_BW#'!$A:$Z,21,FALSE)+VLOOKUP($A353,A:AL,31,FALSE)-50),"-",(VLOOKUP($A353,'SegEnds_NonXtal_BW#'!$A:$Z,21,FALSE)+VLOOKUP($A353,A:AL,31,FALSE)-50))</f>
        <v>573</v>
      </c>
      <c r="AE353" s="3">
        <v>590</v>
      </c>
      <c r="AF353" s="3">
        <f>IF(ISERROR((VLOOKUP($A353,'SegEnds_NonXtal_BW#'!$A:$Z,22,FALSE)+VLOOKUP($A353,A:AL,31,FALSE)-50)),"-",(VLOOKUP($A353,'SegEnds_NonXtal_BW#'!$A:$Z,22,FALSE)+VLOOKUP($A353,A:AL,31,FALSE)-50))</f>
        <v>597</v>
      </c>
      <c r="AG353" s="3">
        <f>IF(ISERROR(VLOOKUP($A353,'SegEnds_NonXtal_BW#'!$A:$Z,23,FALSE)+VLOOKUP($A353,A:AL,34,FALSE)-50),"-",(VLOOKUP($A353,'SegEnds_NonXtal_BW#'!$A:$Z,23,FALSE)+VLOOKUP($A353,A:AL,34,FALSE)-50))</f>
        <v>606</v>
      </c>
      <c r="AH353" s="3">
        <v>623</v>
      </c>
      <c r="AI353" s="3">
        <f>IF(ISERROR((VLOOKUP($A353,'SegEnds_NonXtal_BW#'!$A:$Z,24,FALSE)+VLOOKUP($A353,A:AL,34,FALSE)-50)),"-",(VLOOKUP($A353,'SegEnds_NonXtal_BW#'!$A:$Z,24,FALSE)+VLOOKUP($A353,A:AL,34,FALSE)-50))</f>
        <v>637</v>
      </c>
      <c r="AJ353" s="3">
        <f>IF(ISERROR(VLOOKUP($A353,'SegEnds_NonXtal_BW#'!$A:$Z,25,FALSE)+VLOOKUP($A353,A:AL,37,FALSE)-50),"-",(VLOOKUP($A353,'SegEnds_NonXtal_BW#'!$A:$Z,25,FALSE)+VLOOKUP($A353,A:AL,37,FALSE)-50))</f>
        <v>638</v>
      </c>
      <c r="AK353" s="3">
        <v>642</v>
      </c>
      <c r="AL353" s="3">
        <f>IF(ISERROR((VLOOKUP($A353,'SegEnds_NonXtal_BW#'!$A:$Z,26,FALSE)+VLOOKUP($A353,A:AL,37,FALSE)-50)),"-",(VLOOKUP($A353,'SegEnds_NonXtal_BW#'!$A:$Z,26,FALSE)+VLOOKUP($A353,A:AL,37,FALSE)-50))</f>
        <v>649</v>
      </c>
      <c r="AM353" s="28" t="str">
        <f>VLOOKUP(A353,Classification!A:B,2,FALSE)</f>
        <v>C</v>
      </c>
      <c r="AN353" s="28" t="b">
        <f t="shared" si="195"/>
        <v>1</v>
      </c>
      <c r="AO353" s="3" t="str">
        <f>IF(ISERROR(MATCH(A353,'SegEnds_Xtal_Prot#'!B:B, 0)), "NoXtal", "Xtal")</f>
        <v>NoXtal</v>
      </c>
      <c r="AP353" s="3">
        <f t="shared" si="180"/>
        <v>3</v>
      </c>
      <c r="AQ353" s="3">
        <f t="shared" si="181"/>
        <v>1</v>
      </c>
      <c r="AR353" s="3" t="str">
        <f t="shared" si="182"/>
        <v>-</v>
      </c>
      <c r="AS353" s="3" t="str">
        <f t="shared" si="183"/>
        <v>-</v>
      </c>
      <c r="AT353" s="3" t="str">
        <f t="shared" si="184"/>
        <v>-</v>
      </c>
      <c r="AU353" s="3" t="str">
        <f t="shared" si="185"/>
        <v>-</v>
      </c>
      <c r="AV353" s="3">
        <f t="shared" si="186"/>
        <v>35</v>
      </c>
      <c r="AW353" s="3">
        <f t="shared" si="187"/>
        <v>1</v>
      </c>
      <c r="AX353" s="3">
        <f t="shared" si="188"/>
        <v>9</v>
      </c>
      <c r="AY353" s="3">
        <f t="shared" si="189"/>
        <v>9</v>
      </c>
      <c r="AZ353" s="3">
        <f t="shared" si="190"/>
        <v>1</v>
      </c>
      <c r="BA353" s="3">
        <f>IF(ISERROR(LEN(VLOOKUP(A353,Seqs!A:E,2,FALSE))-AL353),"-",LEN(VLOOKUP(A353,Seqs!A:E,2,FALSE))-AL353)</f>
        <v>1718</v>
      </c>
      <c r="BB353" s="16">
        <f t="shared" si="191"/>
        <v>31</v>
      </c>
      <c r="BC353" s="9" t="str">
        <f t="shared" si="192"/>
        <v>-</v>
      </c>
      <c r="BD353" s="3">
        <f t="shared" si="193"/>
        <v>31</v>
      </c>
      <c r="BE353" s="3">
        <f t="shared" si="194"/>
        <v>37</v>
      </c>
    </row>
    <row r="354" spans="1:58" s="3" customFormat="1" x14ac:dyDescent="0.2">
      <c r="A354" s="3" t="s">
        <v>111</v>
      </c>
      <c r="B354" s="3" t="str">
        <f>LOWER(VLOOKUP(A354,Xtal_Templ!A:B,2,FALSE))</f>
        <v>grm1_human</v>
      </c>
      <c r="C354" s="3">
        <f>VLOOKUP($A354,'SegEnds_NonXtal_BW#'!$A:$Z,3,FALSE)+D354-50</f>
        <v>54</v>
      </c>
      <c r="D354" s="3">
        <v>70</v>
      </c>
      <c r="E354" s="3">
        <f>IF(ISERROR(VLOOKUP($A354,'SegEnds_NonXtal_BW#'!$A:$Z,4,FALSE)+VLOOKUP($A354,A:AL,4,FALSE)-50),"-",(VLOOKUP($A354,'SegEnds_NonXtal_BW#'!$A:$Z,4,FALSE)+VLOOKUP($A354,A:AL,4,FALSE)-50))</f>
        <v>80</v>
      </c>
      <c r="F354" s="3">
        <f t="shared" si="197"/>
        <v>81</v>
      </c>
      <c r="G354" s="3">
        <v>84</v>
      </c>
      <c r="H354" s="3">
        <f t="shared" si="198"/>
        <v>87</v>
      </c>
      <c r="I354" s="3">
        <f t="shared" si="199"/>
        <v>88</v>
      </c>
      <c r="J354" s="3">
        <v>103</v>
      </c>
      <c r="K354" s="3">
        <f>VLOOKUP($A354,'SegEnds_NonXtal_BW#'!$A:$Z,8,FALSE)+VLOOKUP($A354,A:AL,10,FALSE)-50</f>
        <v>114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119</v>
      </c>
      <c r="P354" s="3">
        <v>147</v>
      </c>
      <c r="Q354" s="3">
        <f>VLOOKUP($A354,'SegEnds_NonXtal_BW#'!$A:$Z,12,FALSE)+VLOOKUP($A354,A:AL,16,FALSE)-50</f>
        <v>151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158</v>
      </c>
      <c r="V354" s="3">
        <v>170</v>
      </c>
      <c r="W354" s="3">
        <f>IF(ISERROR(VLOOKUP($A354,'SegEnds_NonXtal_BW#'!$A:$Z,16,FALSE)+VLOOKUP($A354,A:AL,22,FALSE)-50),"-",(VLOOKUP($A354,'SegEnds_NonXtal_BW#'!$A:$Z,16,FALSE)+VLOOKUP($A354,A:AL,22,FALSE)-50))</f>
        <v>184</v>
      </c>
      <c r="X354" s="3">
        <f>IF(ISERROR(VLOOKUP($A354,'SegEnds_NonXtal_BW#'!$A:$Z,17,FALSE)+VLOOKUP($A354,A:AL,25,FALSE)-50),"-",(VLOOKUP($A354,'SegEnds_NonXtal_BW#'!$A:$Z,17,FALSE)+VLOOKUP($A354,A:AL,25,FALSE)-50))</f>
        <v>193</v>
      </c>
      <c r="Y354" s="3">
        <v>193</v>
      </c>
      <c r="Z354" s="3">
        <f>Y354+2</f>
        <v>195</v>
      </c>
      <c r="AA354" s="3">
        <f>IF(ISERROR(VLOOKUP($A354,'SegEnds_NonXtal_BW#'!$A:$Z,19,FALSE)+VLOOKUP($A354,A:AL,28,FALSE)-50),"-",(VLOOKUP($A354,'SegEnds_NonXtal_BW#'!$A:$Z,19,FALSE)+VLOOKUP($A354,A:AL,28,FALSE)-50))</f>
        <v>196</v>
      </c>
      <c r="AB354" s="3">
        <v>210</v>
      </c>
      <c r="AC354" s="3">
        <f>IF(ISERROR((VLOOKUP($A354,'SegEnds_NonXtal_BW#'!$A:$Z,20,FALSE)+VLOOKUP($A354,A:AL,28,FALSE)-50)),"-",(VLOOKUP($A354,'SegEnds_NonXtal_BW#'!$A:$Z,20,FALSE)+VLOOKUP($A354,A:AL,28,FALSE)-50))</f>
        <v>221</v>
      </c>
      <c r="AD354" s="3">
        <f>IF(ISERROR(VLOOKUP($A354,'SegEnds_NonXtal_BW#'!$A:$Z,21,FALSE)+VLOOKUP($A354,A:AL,31,FALSE)-50),"-",(VLOOKUP($A354,'SegEnds_NonXtal_BW#'!$A:$Z,21,FALSE)+VLOOKUP($A354,A:AL,31,FALSE)-50))</f>
        <v>232</v>
      </c>
      <c r="AE354" s="3">
        <v>249</v>
      </c>
      <c r="AF354" s="3">
        <f>IF(ISERROR((VLOOKUP($A354,'SegEnds_NonXtal_BW#'!$A:$Z,22,FALSE)+VLOOKUP($A354,A:AL,31,FALSE)-50)),"-",(VLOOKUP($A354,'SegEnds_NonXtal_BW#'!$A:$Z,22,FALSE)+VLOOKUP($A354,A:AL,31,FALSE)-50))</f>
        <v>256</v>
      </c>
      <c r="AG354" s="3">
        <f>IF(ISERROR(VLOOKUP($A354,'SegEnds_NonXtal_BW#'!$A:$Z,23,FALSE)+VLOOKUP($A354,A:AL,34,FALSE)-50),"-",(VLOOKUP($A354,'SegEnds_NonXtal_BW#'!$A:$Z,23,FALSE)+VLOOKUP($A354,A:AL,34,FALSE)-50))</f>
        <v>267</v>
      </c>
      <c r="AH354" s="3">
        <v>284</v>
      </c>
      <c r="AI354" s="3">
        <f>IF(ISERROR((VLOOKUP($A354,'SegEnds_NonXtal_BW#'!$A:$Z,24,FALSE)+VLOOKUP($A354,A:AL,34,FALSE)-50)),"-",(VLOOKUP($A354,'SegEnds_NonXtal_BW#'!$A:$Z,24,FALSE)+VLOOKUP($A354,A:AL,34,FALSE)-50))</f>
        <v>298</v>
      </c>
      <c r="AJ354" s="3">
        <f>IF(ISERROR(VLOOKUP($A354,'SegEnds_NonXtal_BW#'!$A:$Z,25,FALSE)+VLOOKUP($A354,A:AL,37,FALSE)-50),"-",(VLOOKUP($A354,'SegEnds_NonXtal_BW#'!$A:$Z,25,FALSE)+VLOOKUP($A354,A:AL,37,FALSE)-50))</f>
        <v>300</v>
      </c>
      <c r="AK354" s="3">
        <v>304</v>
      </c>
      <c r="AL354" s="3">
        <f>IF(ISERROR((VLOOKUP($A354,'SegEnds_NonXtal_BW#'!$A:$Z,26,FALSE)+VLOOKUP($A354,A:AL,37,FALSE)-50)),"-",(VLOOKUP($A354,'SegEnds_NonXtal_BW#'!$A:$Z,26,FALSE)+VLOOKUP($A354,A:AL,37,FALSE)-50))</f>
        <v>311</v>
      </c>
      <c r="AM354" s="28" t="str">
        <f>VLOOKUP(A354,Classification!A:B,2,FALSE)</f>
        <v>C</v>
      </c>
      <c r="AN354" s="28" t="b">
        <f t="shared" si="195"/>
        <v>1</v>
      </c>
      <c r="AO354" s="3" t="str">
        <f>IF(ISERROR(MATCH(A354,'SegEnds_Xtal_Prot#'!B:B, 0)), "NoXtal", "Xtal")</f>
        <v>NoXtal</v>
      </c>
      <c r="AP354" s="3">
        <f t="shared" si="180"/>
        <v>1</v>
      </c>
      <c r="AQ354" s="3">
        <f t="shared" si="181"/>
        <v>1</v>
      </c>
      <c r="AR354" s="3" t="str">
        <f t="shared" si="182"/>
        <v>-</v>
      </c>
      <c r="AS354" s="3" t="str">
        <f t="shared" si="183"/>
        <v>-</v>
      </c>
      <c r="AT354" s="3" t="str">
        <f t="shared" si="184"/>
        <v>-</v>
      </c>
      <c r="AU354" s="3" t="str">
        <f t="shared" si="185"/>
        <v>-</v>
      </c>
      <c r="AV354" s="3">
        <f t="shared" si="186"/>
        <v>9</v>
      </c>
      <c r="AW354" s="3">
        <f t="shared" si="187"/>
        <v>1</v>
      </c>
      <c r="AX354" s="3">
        <f t="shared" si="188"/>
        <v>11</v>
      </c>
      <c r="AY354" s="3">
        <f t="shared" si="189"/>
        <v>11</v>
      </c>
      <c r="AZ354" s="3">
        <f t="shared" si="190"/>
        <v>2</v>
      </c>
      <c r="BA354" s="3">
        <f>IF(ISERROR(LEN(VLOOKUP(A354,Seqs!A:E,2,FALSE))-AL354),"-",LEN(VLOOKUP(A354,Seqs!A:E,2,FALSE))-AL354)</f>
        <v>92</v>
      </c>
      <c r="BB354" s="16">
        <f t="shared" si="191"/>
        <v>33</v>
      </c>
      <c r="BC354" s="9" t="str">
        <f t="shared" si="192"/>
        <v>-</v>
      </c>
      <c r="BD354" s="3">
        <f t="shared" si="193"/>
        <v>33</v>
      </c>
      <c r="BE354" s="3">
        <f t="shared" si="194"/>
        <v>39</v>
      </c>
    </row>
    <row r="355" spans="1:58" s="3" customFormat="1" x14ac:dyDescent="0.2">
      <c r="A355" s="3" t="s">
        <v>112</v>
      </c>
      <c r="B355" s="3" t="str">
        <f>LOWER(VLOOKUP(A355,Xtal_Templ!A:B,2,FALSE))</f>
        <v>grm1_human</v>
      </c>
      <c r="C355" s="3">
        <f>VLOOKUP($A355,'SegEnds_NonXtal_BW#'!$A:$Z,3,FALSE)+D355-50</f>
        <v>48</v>
      </c>
      <c r="D355" s="3">
        <v>64</v>
      </c>
      <c r="E355" s="3">
        <f>IF(ISERROR(VLOOKUP($A355,'SegEnds_NonXtal_BW#'!$A:$Z,4,FALSE)+VLOOKUP($A355,A:AL,4,FALSE)-50),"-",(VLOOKUP($A355,'SegEnds_NonXtal_BW#'!$A:$Z,4,FALSE)+VLOOKUP($A355,A:AL,4,FALSE)-50))</f>
        <v>74</v>
      </c>
      <c r="F355" s="3">
        <f t="shared" si="197"/>
        <v>75</v>
      </c>
      <c r="G355" s="3">
        <v>78</v>
      </c>
      <c r="H355" s="3">
        <f t="shared" si="198"/>
        <v>81</v>
      </c>
      <c r="I355" s="3">
        <f t="shared" si="199"/>
        <v>82</v>
      </c>
      <c r="J355" s="3">
        <v>97</v>
      </c>
      <c r="K355" s="3">
        <f>VLOOKUP($A355,'SegEnds_NonXtal_BW#'!$A:$Z,8,FALSE)+VLOOKUP($A355,A:AL,10,FALSE)-50</f>
        <v>108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113</v>
      </c>
      <c r="P355" s="3">
        <v>141</v>
      </c>
      <c r="Q355" s="3">
        <f>VLOOKUP($A355,'SegEnds_NonXtal_BW#'!$A:$Z,12,FALSE)+VLOOKUP($A355,A:AL,16,FALSE)-50</f>
        <v>145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152</v>
      </c>
      <c r="V355" s="3">
        <v>164</v>
      </c>
      <c r="W355" s="3">
        <f>IF(ISERROR(VLOOKUP($A355,'SegEnds_NonXtal_BW#'!$A:$Z,16,FALSE)+VLOOKUP($A355,A:AL,22,FALSE)-50),"-",(VLOOKUP($A355,'SegEnds_NonXtal_BW#'!$A:$Z,16,FALSE)+VLOOKUP($A355,A:AL,22,FALSE)-50))</f>
        <v>178</v>
      </c>
      <c r="X355" s="3">
        <f>IF(ISERROR(VLOOKUP($A355,'SegEnds_NonXtal_BW#'!$A:$Z,17,FALSE)+VLOOKUP($A355,A:AL,25,FALSE)-50),"-",(VLOOKUP($A355,'SegEnds_NonXtal_BW#'!$A:$Z,17,FALSE)+VLOOKUP($A355,A:AL,25,FALSE)-50))</f>
        <v>202</v>
      </c>
      <c r="Y355" s="3">
        <v>202</v>
      </c>
      <c r="Z355" s="3">
        <f>Y355+2</f>
        <v>204</v>
      </c>
      <c r="AA355" s="3">
        <f>IF(ISERROR(VLOOKUP($A355,'SegEnds_NonXtal_BW#'!$A:$Z,19,FALSE)+VLOOKUP($A355,A:AL,28,FALSE)-50),"-",(VLOOKUP($A355,'SegEnds_NonXtal_BW#'!$A:$Z,19,FALSE)+VLOOKUP($A355,A:AL,28,FALSE)-50))</f>
        <v>205</v>
      </c>
      <c r="AB355" s="3">
        <v>219</v>
      </c>
      <c r="AC355" s="3">
        <f>IF(ISERROR((VLOOKUP($A355,'SegEnds_NonXtal_BW#'!$A:$Z,20,FALSE)+VLOOKUP($A355,A:AL,28,FALSE)-50)),"-",(VLOOKUP($A355,'SegEnds_NonXtal_BW#'!$A:$Z,20,FALSE)+VLOOKUP($A355,A:AL,28,FALSE)-50))</f>
        <v>230</v>
      </c>
      <c r="AD355" s="3">
        <f>IF(ISERROR(VLOOKUP($A355,'SegEnds_NonXtal_BW#'!$A:$Z,21,FALSE)+VLOOKUP($A355,A:AL,31,FALSE)-50),"-",(VLOOKUP($A355,'SegEnds_NonXtal_BW#'!$A:$Z,21,FALSE)+VLOOKUP($A355,A:AL,31,FALSE)-50))</f>
        <v>241</v>
      </c>
      <c r="AE355" s="3">
        <v>258</v>
      </c>
      <c r="AF355" s="3">
        <f>IF(ISERROR((VLOOKUP($A355,'SegEnds_NonXtal_BW#'!$A:$Z,22,FALSE)+VLOOKUP($A355,A:AL,31,FALSE)-50)),"-",(VLOOKUP($A355,'SegEnds_NonXtal_BW#'!$A:$Z,22,FALSE)+VLOOKUP($A355,A:AL,31,FALSE)-50))</f>
        <v>265</v>
      </c>
      <c r="AG355" s="3">
        <f>IF(ISERROR(VLOOKUP($A355,'SegEnds_NonXtal_BW#'!$A:$Z,23,FALSE)+VLOOKUP($A355,A:AL,34,FALSE)-50),"-",(VLOOKUP($A355,'SegEnds_NonXtal_BW#'!$A:$Z,23,FALSE)+VLOOKUP($A355,A:AL,34,FALSE)-50))</f>
        <v>275</v>
      </c>
      <c r="AH355" s="3">
        <v>292</v>
      </c>
      <c r="AI355" s="3">
        <f>IF(ISERROR((VLOOKUP($A355,'SegEnds_NonXtal_BW#'!$A:$Z,24,FALSE)+VLOOKUP($A355,A:AL,34,FALSE)-50)),"-",(VLOOKUP($A355,'SegEnds_NonXtal_BW#'!$A:$Z,24,FALSE)+VLOOKUP($A355,A:AL,34,FALSE)-50))</f>
        <v>306</v>
      </c>
      <c r="AJ355" s="3">
        <f>IF(ISERROR(VLOOKUP($A355,'SegEnds_NonXtal_BW#'!$A:$Z,25,FALSE)+VLOOKUP($A355,A:AL,37,FALSE)-50),"-",(VLOOKUP($A355,'SegEnds_NonXtal_BW#'!$A:$Z,25,FALSE)+VLOOKUP($A355,A:AL,37,FALSE)-50))</f>
        <v>308</v>
      </c>
      <c r="AK355" s="3">
        <v>312</v>
      </c>
      <c r="AL355" s="3">
        <v>319</v>
      </c>
      <c r="AM355" s="28" t="str">
        <f>VLOOKUP(A355,Classification!A:B,2,FALSE)</f>
        <v>C</v>
      </c>
      <c r="AN355" s="28" t="b">
        <f t="shared" si="195"/>
        <v>1</v>
      </c>
      <c r="AO355" s="3" t="str">
        <f>IF(ISERROR(MATCH(A355,'SegEnds_Xtal_Prot#'!B:B, 0)), "NoXtal", "Xtal")</f>
        <v>NoXtal</v>
      </c>
      <c r="AP355" s="3">
        <f t="shared" si="180"/>
        <v>1</v>
      </c>
      <c r="AQ355" s="3">
        <f t="shared" si="181"/>
        <v>1</v>
      </c>
      <c r="AR355" s="3" t="str">
        <f t="shared" si="182"/>
        <v>-</v>
      </c>
      <c r="AS355" s="3" t="str">
        <f t="shared" si="183"/>
        <v>-</v>
      </c>
      <c r="AT355" s="3" t="str">
        <f t="shared" si="184"/>
        <v>-</v>
      </c>
      <c r="AU355" s="3" t="str">
        <f t="shared" si="185"/>
        <v>-</v>
      </c>
      <c r="AV355" s="3">
        <f t="shared" si="186"/>
        <v>24</v>
      </c>
      <c r="AW355" s="3">
        <f t="shared" si="187"/>
        <v>1</v>
      </c>
      <c r="AX355" s="3">
        <f t="shared" si="188"/>
        <v>11</v>
      </c>
      <c r="AY355" s="3">
        <f t="shared" si="189"/>
        <v>10</v>
      </c>
      <c r="AZ355" s="3">
        <f t="shared" si="190"/>
        <v>2</v>
      </c>
      <c r="BA355" s="3">
        <f>IF(ISERROR(LEN(VLOOKUP(A355,Seqs!A:E,2,FALSE))-AL355),"-",LEN(VLOOKUP(A355,Seqs!A:E,2,FALSE))-AL355)</f>
        <v>122</v>
      </c>
      <c r="BB355" s="16">
        <f t="shared" si="191"/>
        <v>33</v>
      </c>
      <c r="BC355" s="9" t="str">
        <f t="shared" si="192"/>
        <v>-</v>
      </c>
      <c r="BD355" s="3">
        <f t="shared" si="193"/>
        <v>33</v>
      </c>
      <c r="BE355" s="3">
        <f t="shared" si="194"/>
        <v>39</v>
      </c>
    </row>
    <row r="356" spans="1:58" s="3" customFormat="1" x14ac:dyDescent="0.2">
      <c r="A356" s="3" t="s">
        <v>113</v>
      </c>
      <c r="B356" s="3" t="str">
        <f>LOWER(VLOOKUP(A356,Xtal_Templ!A:B,2,FALSE))</f>
        <v>grm1_human</v>
      </c>
      <c r="C356" s="3">
        <f>VLOOKUP($A356,'SegEnds_NonXtal_BW#'!$A:$Z,3,FALSE)+D356-50</f>
        <v>21</v>
      </c>
      <c r="D356" s="3">
        <v>37</v>
      </c>
      <c r="E356" s="3">
        <f>IF(ISERROR(VLOOKUP($A356,'SegEnds_NonXtal_BW#'!$A:$Z,4,FALSE)+VLOOKUP($A356,A:AL,4,FALSE)-50),"-",(VLOOKUP($A356,'SegEnds_NonXtal_BW#'!$A:$Z,4,FALSE)+VLOOKUP($A356,A:AL,4,FALSE)-50))</f>
        <v>47</v>
      </c>
      <c r="F356" s="3">
        <f t="shared" si="197"/>
        <v>48</v>
      </c>
      <c r="G356" s="3">
        <v>51</v>
      </c>
      <c r="H356" s="3">
        <f t="shared" si="198"/>
        <v>54</v>
      </c>
      <c r="I356" s="3">
        <f t="shared" si="199"/>
        <v>55</v>
      </c>
      <c r="J356" s="3">
        <v>70</v>
      </c>
      <c r="K356" s="3">
        <f>VLOOKUP($A356,'SegEnds_NonXtal_BW#'!$A:$Z,8,FALSE)+VLOOKUP($A356,A:AL,10,FALSE)-50</f>
        <v>81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86</v>
      </c>
      <c r="P356" s="3">
        <v>114</v>
      </c>
      <c r="Q356" s="3">
        <f>VLOOKUP($A356,'SegEnds_NonXtal_BW#'!$A:$Z,12,FALSE)+VLOOKUP($A356,A:AL,16,FALSE)-50</f>
        <v>118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125</v>
      </c>
      <c r="V356" s="3">
        <v>137</v>
      </c>
      <c r="W356" s="3">
        <f>IF(ISERROR(VLOOKUP($A356,'SegEnds_NonXtal_BW#'!$A:$Z,16,FALSE)+VLOOKUP($A356,A:AL,22,FALSE)-50),"-",(VLOOKUP($A356,'SegEnds_NonXtal_BW#'!$A:$Z,16,FALSE)+VLOOKUP($A356,A:AL,22,FALSE)-50))</f>
        <v>151</v>
      </c>
      <c r="X356" s="3">
        <f>IF(ISERROR(VLOOKUP($A356,'SegEnds_NonXtal_BW#'!$A:$Z,17,FALSE)+VLOOKUP($A356,A:AL,25,FALSE)-50),"-",(VLOOKUP($A356,'SegEnds_NonXtal_BW#'!$A:$Z,17,FALSE)+VLOOKUP($A356,A:AL,25,FALSE)-50))</f>
        <v>164</v>
      </c>
      <c r="Y356" s="105">
        <v>164</v>
      </c>
      <c r="Z356" s="3">
        <f>IF(ISERROR(VLOOKUP($A356,'SegEnds_NonXtal_BW#'!$A:$Z,18,FALSE)+VLOOKUP($A356,A:AL,25,FALSE)-50),"-",(VLOOKUP($A356,'SegEnds_NonXtal_BW#'!$A:$Z,18,FALSE)+VLOOKUP($A356,A:AL,25,FALSE)-50))</f>
        <v>166</v>
      </c>
      <c r="AA356" s="105">
        <v>167</v>
      </c>
      <c r="AB356" s="3">
        <v>180</v>
      </c>
      <c r="AC356" s="3">
        <f>IF(ISERROR((VLOOKUP($A356,'SegEnds_NonXtal_BW#'!$A:$Z,20,FALSE)+VLOOKUP($A356,A:AL,28,FALSE)-50)),"-",(VLOOKUP($A356,'SegEnds_NonXtal_BW#'!$A:$Z,20,FALSE)+VLOOKUP($A356,A:AL,28,FALSE)-50))</f>
        <v>191</v>
      </c>
      <c r="AD356" s="3">
        <f>IF(ISERROR(VLOOKUP($A356,'SegEnds_NonXtal_BW#'!$A:$Z,21,FALSE)+VLOOKUP($A356,A:AL,31,FALSE)-50),"-",(VLOOKUP($A356,'SegEnds_NonXtal_BW#'!$A:$Z,21,FALSE)+VLOOKUP($A356,A:AL,31,FALSE)-50))</f>
        <v>202</v>
      </c>
      <c r="AE356" s="3">
        <v>219</v>
      </c>
      <c r="AF356" s="3">
        <f>IF(ISERROR((VLOOKUP($A356,'SegEnds_NonXtal_BW#'!$A:$Z,22,FALSE)+VLOOKUP($A356,A:AL,31,FALSE)-50)),"-",(VLOOKUP($A356,'SegEnds_NonXtal_BW#'!$A:$Z,22,FALSE)+VLOOKUP($A356,A:AL,31,FALSE)-50))</f>
        <v>226</v>
      </c>
      <c r="AG356" s="3">
        <f>IF(ISERROR(VLOOKUP($A356,'SegEnds_NonXtal_BW#'!$A:$Z,23,FALSE)+VLOOKUP($A356,A:AL,34,FALSE)-50),"-",(VLOOKUP($A356,'SegEnds_NonXtal_BW#'!$A:$Z,23,FALSE)+VLOOKUP($A356,A:AL,34,FALSE)-50))</f>
        <v>237</v>
      </c>
      <c r="AH356" s="3">
        <v>254</v>
      </c>
      <c r="AI356" s="3">
        <f>IF(ISERROR((VLOOKUP($A356,'SegEnds_NonXtal_BW#'!$A:$Z,24,FALSE)+VLOOKUP($A356,A:AL,34,FALSE)-50)),"-",(VLOOKUP($A356,'SegEnds_NonXtal_BW#'!$A:$Z,24,FALSE)+VLOOKUP($A356,A:AL,34,FALSE)-50))</f>
        <v>268</v>
      </c>
      <c r="AJ356" s="3">
        <f>IF(ISERROR(VLOOKUP($A356,'SegEnds_NonXtal_BW#'!$A:$Z,25,FALSE)+VLOOKUP($A356,A:AL,37,FALSE)-50),"-",(VLOOKUP($A356,'SegEnds_NonXtal_BW#'!$A:$Z,25,FALSE)+VLOOKUP($A356,A:AL,37,FALSE)-50))</f>
        <v>271</v>
      </c>
      <c r="AK356" s="3">
        <v>275</v>
      </c>
      <c r="AL356" s="3">
        <v>281</v>
      </c>
      <c r="AM356" s="28" t="str">
        <f>VLOOKUP(A356,Classification!A:B,2,FALSE)</f>
        <v>C</v>
      </c>
      <c r="AN356" s="28" t="b">
        <f t="shared" si="195"/>
        <v>1</v>
      </c>
      <c r="AO356" s="3" t="str">
        <f>IF(ISERROR(MATCH(A356,'SegEnds_Xtal_Prot#'!B:B, 0)), "NoXtal", "Xtal")</f>
        <v>NoXtal</v>
      </c>
      <c r="AP356" s="3">
        <f t="shared" si="180"/>
        <v>1</v>
      </c>
      <c r="AQ356" s="3">
        <f t="shared" si="181"/>
        <v>1</v>
      </c>
      <c r="AR356" s="3" t="str">
        <f t="shared" si="182"/>
        <v>-</v>
      </c>
      <c r="AS356" s="3" t="str">
        <f t="shared" si="183"/>
        <v>-</v>
      </c>
      <c r="AT356" s="3" t="str">
        <f t="shared" si="184"/>
        <v>-</v>
      </c>
      <c r="AU356" s="3" t="str">
        <f t="shared" si="185"/>
        <v>-</v>
      </c>
      <c r="AV356" s="3">
        <f t="shared" si="186"/>
        <v>13</v>
      </c>
      <c r="AW356" s="3">
        <f t="shared" si="187"/>
        <v>1</v>
      </c>
      <c r="AX356" s="3">
        <f t="shared" si="188"/>
        <v>11</v>
      </c>
      <c r="AY356" s="3">
        <f t="shared" si="189"/>
        <v>11</v>
      </c>
      <c r="AZ356" s="3">
        <f t="shared" si="190"/>
        <v>3</v>
      </c>
      <c r="BA356" s="3">
        <f>IF(ISERROR(LEN(VLOOKUP(A356,Seqs!A:E,2,FALSE))-AL356),"-",LEN(VLOOKUP(A356,Seqs!A:E,2,FALSE))-AL356)</f>
        <v>64</v>
      </c>
      <c r="BB356" s="16">
        <f t="shared" si="191"/>
        <v>33</v>
      </c>
      <c r="BC356" s="9" t="str">
        <f t="shared" si="192"/>
        <v>-</v>
      </c>
      <c r="BD356" s="3">
        <f t="shared" si="193"/>
        <v>33</v>
      </c>
      <c r="BE356" s="3">
        <f t="shared" si="194"/>
        <v>39</v>
      </c>
    </row>
    <row r="357" spans="1:58" s="3" customFormat="1" x14ac:dyDescent="0.2">
      <c r="A357" s="3" t="s">
        <v>114</v>
      </c>
      <c r="B357" s="3" t="str">
        <f>LOWER(VLOOKUP(A357,Xtal_Templ!A:B,2,FALSE))</f>
        <v>grm1_human</v>
      </c>
      <c r="C357" s="3">
        <f>VLOOKUP($A357,'SegEnds_NonXtal_BW#'!$A:$Z,3,FALSE)+D357-50</f>
        <v>592</v>
      </c>
      <c r="D357" s="3">
        <v>608</v>
      </c>
      <c r="E357" s="3">
        <f>IF(ISERROR(VLOOKUP($A357,'SegEnds_NonXtal_BW#'!$A:$Z,4,FALSE)+VLOOKUP($A357,A:AL,4,FALSE)-50),"-",(VLOOKUP($A357,'SegEnds_NonXtal_BW#'!$A:$Z,4,FALSE)+VLOOKUP($A357,A:AL,4,FALSE)-50))</f>
        <v>618</v>
      </c>
      <c r="F357" s="3">
        <f t="shared" si="197"/>
        <v>621</v>
      </c>
      <c r="G357" s="3">
        <v>624</v>
      </c>
      <c r="H357" s="3">
        <f t="shared" si="198"/>
        <v>627</v>
      </c>
      <c r="I357" s="3">
        <f t="shared" si="199"/>
        <v>628</v>
      </c>
      <c r="J357" s="3">
        <v>640</v>
      </c>
      <c r="K357" s="3">
        <f>VLOOKUP($A357,'SegEnds_NonXtal_BW#'!$A:$Z,8,FALSE)+VLOOKUP($A357,A:AL,10,FALSE)-50</f>
        <v>651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656</v>
      </c>
      <c r="P357" s="3">
        <v>684</v>
      </c>
      <c r="Q357" s="3">
        <f>VLOOKUP($A357,'SegEnds_NonXtal_BW#'!$A:$Z,12,FALSE)+VLOOKUP($A357,A:AL,16,FALSE)-50</f>
        <v>688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700</v>
      </c>
      <c r="V357" s="3">
        <v>712</v>
      </c>
      <c r="W357" s="3">
        <f>IF(ISERROR(VLOOKUP($A357,'SegEnds_NonXtal_BW#'!$A:$Z,16,FALSE)+VLOOKUP($A357,A:AL,22,FALSE)-50),"-",(VLOOKUP($A357,'SegEnds_NonXtal_BW#'!$A:$Z,16,FALSE)+VLOOKUP($A357,A:AL,22,FALSE)-50))</f>
        <v>726</v>
      </c>
      <c r="X357" s="3">
        <f>IF(ISERROR(VLOOKUP($A357,'SegEnds_NonXtal_BW#'!$A:$Z,17,FALSE)+VLOOKUP($A357,A:AL,25,FALSE)-50),"-",(VLOOKUP($A357,'SegEnds_NonXtal_BW#'!$A:$Z,17,FALSE)+VLOOKUP($A357,A:AL,25,FALSE)-50))</f>
        <v>744</v>
      </c>
      <c r="Y357" s="3">
        <v>744</v>
      </c>
      <c r="Z357" s="3">
        <f t="shared" ref="Z357:Z365" si="200">Y357+2</f>
        <v>746</v>
      </c>
      <c r="AA357" s="3">
        <f>IF(ISERROR(VLOOKUP($A357,'SegEnds_NonXtal_BW#'!$A:$Z,19,FALSE)+VLOOKUP($A357,A:AL,28,FALSE)-50),"-",(VLOOKUP($A357,'SegEnds_NonXtal_BW#'!$A:$Z,19,FALSE)+VLOOKUP($A357,A:AL,28,FALSE)-50))</f>
        <v>748</v>
      </c>
      <c r="AB357" s="3">
        <v>762</v>
      </c>
      <c r="AC357" s="3">
        <f>IF(ISERROR((VLOOKUP($A357,'SegEnds_NonXtal_BW#'!$A:$Z,20,FALSE)+VLOOKUP($A357,A:AL,28,FALSE)-50)),"-",(VLOOKUP($A357,'SegEnds_NonXtal_BW#'!$A:$Z,20,FALSE)+VLOOKUP($A357,A:AL,28,FALSE)-50))</f>
        <v>773</v>
      </c>
      <c r="AD357" s="3">
        <f>IF(ISERROR(VLOOKUP($A357,'SegEnds_NonXtal_BW#'!$A:$Z,21,FALSE)+VLOOKUP($A357,A:AL,31,FALSE)-50),"-",(VLOOKUP($A357,'SegEnds_NonXtal_BW#'!$A:$Z,21,FALSE)+VLOOKUP($A357,A:AL,31,FALSE)-50))</f>
        <v>780</v>
      </c>
      <c r="AE357" s="3">
        <v>797</v>
      </c>
      <c r="AF357" s="3">
        <f>IF(ISERROR((VLOOKUP($A357,'SegEnds_NonXtal_BW#'!$A:$Z,22,FALSE)+VLOOKUP($A357,A:AL,31,FALSE)-50)),"-",(VLOOKUP($A357,'SegEnds_NonXtal_BW#'!$A:$Z,22,FALSE)+VLOOKUP($A357,A:AL,31,FALSE)-50))</f>
        <v>804</v>
      </c>
      <c r="AG357" s="3">
        <f>IF(ISERROR(VLOOKUP($A357,'SegEnds_NonXtal_BW#'!$A:$Z,23,FALSE)+VLOOKUP($A357,A:AL,34,FALSE)-50),"-",(VLOOKUP($A357,'SegEnds_NonXtal_BW#'!$A:$Z,23,FALSE)+VLOOKUP($A357,A:AL,34,FALSE)-50))</f>
        <v>809</v>
      </c>
      <c r="AH357" s="3">
        <v>826</v>
      </c>
      <c r="AI357" s="3">
        <f>IF(ISERROR((VLOOKUP($A357,'SegEnds_NonXtal_BW#'!$A:$Z,24,FALSE)+VLOOKUP($A357,A:AL,34,FALSE)-50)),"-",(VLOOKUP($A357,'SegEnds_NonXtal_BW#'!$A:$Z,24,FALSE)+VLOOKUP($A357,A:AL,34,FALSE)-50))</f>
        <v>840</v>
      </c>
      <c r="AJ357" s="3">
        <f>IF(ISERROR(VLOOKUP($A357,'SegEnds_NonXtal_BW#'!$A:$Z,25,FALSE)+VLOOKUP($A357,A:AL,37,FALSE)-50),"-",(VLOOKUP($A357,'SegEnds_NonXtal_BW#'!$A:$Z,25,FALSE)+VLOOKUP($A357,A:AL,37,FALSE)-50))</f>
        <v>841</v>
      </c>
      <c r="AK357" s="3">
        <v>845</v>
      </c>
      <c r="AL357" s="3">
        <f>IF(ISERROR((VLOOKUP($A357,'SegEnds_NonXtal_BW#'!$A:$Z,26,FALSE)+VLOOKUP($A357,A:AL,37,FALSE)-50)),"-",(VLOOKUP($A357,'SegEnds_NonXtal_BW#'!$A:$Z,26,FALSE)+VLOOKUP($A357,A:AL,37,FALSE)-50))</f>
        <v>852</v>
      </c>
      <c r="AM357" s="28" t="str">
        <f>VLOOKUP(A357,Classification!A:B,2,FALSE)</f>
        <v>C</v>
      </c>
      <c r="AN357" s="28" t="b">
        <f t="shared" si="195"/>
        <v>1</v>
      </c>
      <c r="AO357" s="3" t="str">
        <f>IF(ISERROR(MATCH(A357,'SegEnds_Xtal_Prot#'!B:B, 0)), "NoXtal", "Xtal")</f>
        <v>NoXtal</v>
      </c>
      <c r="AP357" s="3">
        <f t="shared" si="180"/>
        <v>3</v>
      </c>
      <c r="AQ357" s="3">
        <f t="shared" si="181"/>
        <v>1</v>
      </c>
      <c r="AR357" s="3" t="str">
        <f t="shared" si="182"/>
        <v>-</v>
      </c>
      <c r="AS357" s="3" t="str">
        <f t="shared" si="183"/>
        <v>-</v>
      </c>
      <c r="AT357" s="3" t="str">
        <f t="shared" si="184"/>
        <v>-</v>
      </c>
      <c r="AU357" s="3" t="str">
        <f t="shared" si="185"/>
        <v>-</v>
      </c>
      <c r="AV357" s="3">
        <f t="shared" si="186"/>
        <v>18</v>
      </c>
      <c r="AW357" s="3">
        <f t="shared" si="187"/>
        <v>2</v>
      </c>
      <c r="AX357" s="3">
        <f t="shared" si="188"/>
        <v>7</v>
      </c>
      <c r="AY357" s="3">
        <f t="shared" si="189"/>
        <v>5</v>
      </c>
      <c r="AZ357" s="3">
        <f t="shared" si="190"/>
        <v>1</v>
      </c>
      <c r="BA357" s="3">
        <f>IF(ISERROR(LEN(VLOOKUP(A357,Seqs!A:E,2,FALSE))-AL357),"-",LEN(VLOOKUP(A357,Seqs!A:E,2,FALSE))-AL357)</f>
        <v>74</v>
      </c>
      <c r="BB357" s="16">
        <f t="shared" si="191"/>
        <v>32</v>
      </c>
      <c r="BC357" s="9" t="str">
        <f t="shared" si="192"/>
        <v>-</v>
      </c>
      <c r="BD357" s="3">
        <f t="shared" si="193"/>
        <v>32</v>
      </c>
      <c r="BE357" s="3">
        <f t="shared" si="194"/>
        <v>35</v>
      </c>
    </row>
    <row r="358" spans="1:58" s="3" customFormat="1" x14ac:dyDescent="0.2">
      <c r="A358" s="3" t="s">
        <v>40</v>
      </c>
      <c r="B358" s="3" t="str">
        <f>LOWER(VLOOKUP(A358,Xtal_Templ!A:B,2,FALSE))</f>
        <v>grm1_human</v>
      </c>
      <c r="C358" s="3">
        <f>VLOOKUP($A358,'SegEnds_NonXtal_BW#'!$A:$Z,3,FALSE)+D358-50</f>
        <v>591</v>
      </c>
      <c r="D358" s="3">
        <v>607</v>
      </c>
      <c r="E358" s="3">
        <f>IF(ISERROR(VLOOKUP($A358,'SegEnds_NonXtal_BW#'!$A:$Z,4,FALSE)+VLOOKUP($A358,A:AL,4,FALSE)-50),"-",(VLOOKUP($A358,'SegEnds_NonXtal_BW#'!$A:$Z,4,FALSE)+VLOOKUP($A358,A:AL,4,FALSE)-50))</f>
        <v>617</v>
      </c>
      <c r="F358" s="3">
        <f t="shared" si="197"/>
        <v>620</v>
      </c>
      <c r="G358" s="3">
        <v>623</v>
      </c>
      <c r="H358" s="3">
        <f t="shared" si="198"/>
        <v>626</v>
      </c>
      <c r="I358" s="3">
        <f t="shared" si="199"/>
        <v>627</v>
      </c>
      <c r="J358" s="3">
        <v>638</v>
      </c>
      <c r="K358" s="3">
        <f>VLOOKUP($A358,'SegEnds_NonXtal_BW#'!$A:$Z,8,FALSE)+VLOOKUP($A358,A:AL,10,FALSE)-50</f>
        <v>649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654</v>
      </c>
      <c r="P358" s="3">
        <v>682</v>
      </c>
      <c r="Q358" s="3">
        <f>VLOOKUP($A358,'SegEnds_NonXtal_BW#'!$A:$Z,12,FALSE)+VLOOKUP($A358,A:AL,16,FALSE)-50</f>
        <v>686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702</v>
      </c>
      <c r="V358" s="3">
        <v>714</v>
      </c>
      <c r="W358" s="3">
        <f>IF(ISERROR(VLOOKUP($A358,'SegEnds_NonXtal_BW#'!$A:$Z,16,FALSE)+VLOOKUP($A358,A:AL,22,FALSE)-50),"-",(VLOOKUP($A358,'SegEnds_NonXtal_BW#'!$A:$Z,16,FALSE)+VLOOKUP($A358,A:AL,22,FALSE)-50))</f>
        <v>728</v>
      </c>
      <c r="X358" s="3">
        <f>IF(ISERROR(VLOOKUP($A358,'SegEnds_NonXtal_BW#'!$A:$Z,17,FALSE)+VLOOKUP($A358,A:AL,25,FALSE)-50),"-",(VLOOKUP($A358,'SegEnds_NonXtal_BW#'!$A:$Z,17,FALSE)+VLOOKUP($A358,A:AL,25,FALSE)-50))</f>
        <v>746</v>
      </c>
      <c r="Y358" s="3">
        <v>746</v>
      </c>
      <c r="Z358" s="3">
        <f t="shared" si="200"/>
        <v>748</v>
      </c>
      <c r="AA358" s="3">
        <f>IF(ISERROR(VLOOKUP($A358,'SegEnds_NonXtal_BW#'!$A:$Z,19,FALSE)+VLOOKUP($A358,A:AL,28,FALSE)-50),"-",(VLOOKUP($A358,'SegEnds_NonXtal_BW#'!$A:$Z,19,FALSE)+VLOOKUP($A358,A:AL,28,FALSE)-50))</f>
        <v>749</v>
      </c>
      <c r="AB358" s="3">
        <v>763</v>
      </c>
      <c r="AC358" s="3">
        <f>IF(ISERROR((VLOOKUP($A358,'SegEnds_NonXtal_BW#'!$A:$Z,20,FALSE)+VLOOKUP($A358,A:AL,28,FALSE)-50)),"-",(VLOOKUP($A358,'SegEnds_NonXtal_BW#'!$A:$Z,20,FALSE)+VLOOKUP($A358,A:AL,28,FALSE)-50))</f>
        <v>774</v>
      </c>
      <c r="AD358" s="3">
        <f>IF(ISERROR(VLOOKUP($A358,'SegEnds_NonXtal_BW#'!$A:$Z,21,FALSE)+VLOOKUP($A358,A:AL,31,FALSE)-50),"-",(VLOOKUP($A358,'SegEnds_NonXtal_BW#'!$A:$Z,21,FALSE)+VLOOKUP($A358,A:AL,31,FALSE)-50))</f>
        <v>783</v>
      </c>
      <c r="AE358" s="3">
        <v>800</v>
      </c>
      <c r="AF358" s="3">
        <f>IF(ISERROR((VLOOKUP($A358,'SegEnds_NonXtal_BW#'!$A:$Z,22,FALSE)+VLOOKUP($A358,A:AL,31,FALSE)-50)),"-",(VLOOKUP($A358,'SegEnds_NonXtal_BW#'!$A:$Z,22,FALSE)+VLOOKUP($A358,A:AL,31,FALSE)-50))</f>
        <v>807</v>
      </c>
      <c r="AG358" s="3">
        <f>IF(ISERROR(VLOOKUP($A358,'SegEnds_NonXtal_BW#'!$A:$Z,23,FALSE)+VLOOKUP($A358,A:AL,34,FALSE)-50),"-",(VLOOKUP($A358,'SegEnds_NonXtal_BW#'!$A:$Z,23,FALSE)+VLOOKUP($A358,A:AL,34,FALSE)-50))</f>
        <v>810</v>
      </c>
      <c r="AH358" s="3">
        <v>827</v>
      </c>
      <c r="AI358" s="3">
        <f>IF(ISERROR((VLOOKUP($A358,'SegEnds_NonXtal_BW#'!$A:$Z,24,FALSE)+VLOOKUP($A358,A:AL,34,FALSE)-50)),"-",(VLOOKUP($A358,'SegEnds_NonXtal_BW#'!$A:$Z,24,FALSE)+VLOOKUP($A358,A:AL,34,FALSE)-50))</f>
        <v>841</v>
      </c>
      <c r="AJ358" s="3">
        <f>IF(ISERROR(VLOOKUP($A358,'SegEnds_NonXtal_BW#'!$A:$Z,25,FALSE)+VLOOKUP($A358,A:AL,37,FALSE)-50),"-",(VLOOKUP($A358,'SegEnds_NonXtal_BW#'!$A:$Z,25,FALSE)+VLOOKUP($A358,A:AL,37,FALSE)-50))</f>
        <v>842</v>
      </c>
      <c r="AK358" s="3">
        <v>846</v>
      </c>
      <c r="AL358" s="3">
        <f>IF(ISERROR((VLOOKUP($A358,'SegEnds_NonXtal_BW#'!$A:$Z,26,FALSE)+VLOOKUP($A358,A:AL,37,FALSE)-50)),"-",(VLOOKUP($A358,'SegEnds_NonXtal_BW#'!$A:$Z,26,FALSE)+VLOOKUP($A358,A:AL,37,FALSE)-50))</f>
        <v>853</v>
      </c>
      <c r="AM358" s="28" t="str">
        <f>VLOOKUP(A358,Classification!A:B,2,FALSE)</f>
        <v>C</v>
      </c>
      <c r="AN358" s="28" t="b">
        <f t="shared" si="195"/>
        <v>1</v>
      </c>
      <c r="AO358" s="3" t="str">
        <f>IF(ISERROR(MATCH(A358,'SegEnds_Xtal_Prot#'!B:B, 0)), "NoXtal", "Xtal")</f>
        <v>Xtal</v>
      </c>
      <c r="AP358" s="3">
        <f t="shared" si="180"/>
        <v>3</v>
      </c>
      <c r="AQ358" s="3">
        <f t="shared" si="181"/>
        <v>1</v>
      </c>
      <c r="AR358" s="3" t="str">
        <f t="shared" si="182"/>
        <v>-</v>
      </c>
      <c r="AS358" s="3" t="str">
        <f t="shared" si="183"/>
        <v>-</v>
      </c>
      <c r="AT358" s="3" t="str">
        <f t="shared" si="184"/>
        <v>-</v>
      </c>
      <c r="AU358" s="3" t="str">
        <f t="shared" si="185"/>
        <v>-</v>
      </c>
      <c r="AV358" s="3">
        <f t="shared" si="186"/>
        <v>18</v>
      </c>
      <c r="AW358" s="3">
        <f t="shared" si="187"/>
        <v>1</v>
      </c>
      <c r="AX358" s="3">
        <f t="shared" si="188"/>
        <v>9</v>
      </c>
      <c r="AY358" s="3">
        <f t="shared" si="189"/>
        <v>3</v>
      </c>
      <c r="AZ358" s="3">
        <f t="shared" si="190"/>
        <v>1</v>
      </c>
      <c r="BA358" s="3">
        <f>IF(ISERROR(LEN(VLOOKUP(A358,Seqs!A:E,2,FALSE))-AL358),"-",LEN(VLOOKUP(A358,Seqs!A:E,2,FALSE))-AL358)</f>
        <v>341</v>
      </c>
      <c r="BB358" s="16">
        <f t="shared" si="191"/>
        <v>31</v>
      </c>
      <c r="BC358" s="9" t="str">
        <f t="shared" si="192"/>
        <v>-</v>
      </c>
      <c r="BD358" s="3">
        <f t="shared" si="193"/>
        <v>31</v>
      </c>
      <c r="BE358" s="3">
        <f t="shared" si="194"/>
        <v>37</v>
      </c>
    </row>
    <row r="359" spans="1:58" s="3" customFormat="1" x14ac:dyDescent="0.2">
      <c r="A359" s="3" t="s">
        <v>115</v>
      </c>
      <c r="B359" s="3" t="str">
        <f>LOWER(VLOOKUP(A359,Xtal_Templ!A:B,2,FALSE))</f>
        <v>grm1_human</v>
      </c>
      <c r="C359" s="3">
        <f>VLOOKUP($A359,'SegEnds_NonXtal_BW#'!$A:$Z,3,FALSE)+D359-50</f>
        <v>566</v>
      </c>
      <c r="D359" s="3">
        <v>582</v>
      </c>
      <c r="E359" s="3">
        <f>IF(ISERROR(VLOOKUP($A359,'SegEnds_NonXtal_BW#'!$A:$Z,4,FALSE)+VLOOKUP($A359,A:AL,4,FALSE)-50),"-",(VLOOKUP($A359,'SegEnds_NonXtal_BW#'!$A:$Z,4,FALSE)+VLOOKUP($A359,A:AL,4,FALSE)-50))</f>
        <v>592</v>
      </c>
      <c r="F359" s="3">
        <f t="shared" si="197"/>
        <v>595</v>
      </c>
      <c r="G359" s="3">
        <v>598</v>
      </c>
      <c r="H359" s="3">
        <f t="shared" si="198"/>
        <v>601</v>
      </c>
      <c r="I359" s="3">
        <f t="shared" si="199"/>
        <v>602</v>
      </c>
      <c r="J359" s="3">
        <v>613</v>
      </c>
      <c r="K359" s="3">
        <f>VLOOKUP($A359,'SegEnds_NonXtal_BW#'!$A:$Z,8,FALSE)+VLOOKUP($A359,A:AL,10,FALSE)-50</f>
        <v>624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629</v>
      </c>
      <c r="P359" s="3">
        <v>657</v>
      </c>
      <c r="Q359" s="3">
        <f>VLOOKUP($A359,'SegEnds_NonXtal_BW#'!$A:$Z,12,FALSE)+VLOOKUP($A359,A:AL,16,FALSE)-50</f>
        <v>661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675</v>
      </c>
      <c r="V359" s="3">
        <v>687</v>
      </c>
      <c r="W359" s="3">
        <f>IF(ISERROR(VLOOKUP($A359,'SegEnds_NonXtal_BW#'!$A:$Z,16,FALSE)+VLOOKUP($A359,A:AL,22,FALSE)-50),"-",(VLOOKUP($A359,'SegEnds_NonXtal_BW#'!$A:$Z,16,FALSE)+VLOOKUP($A359,A:AL,22,FALSE)-50))</f>
        <v>701</v>
      </c>
      <c r="X359" s="3">
        <f>IF(ISERROR(VLOOKUP($A359,'SegEnds_NonXtal_BW#'!$A:$Z,17,FALSE)+VLOOKUP($A359,A:AL,25,FALSE)-50),"-",(VLOOKUP($A359,'SegEnds_NonXtal_BW#'!$A:$Z,17,FALSE)+VLOOKUP($A359,A:AL,25,FALSE)-50))</f>
        <v>721</v>
      </c>
      <c r="Y359" s="3">
        <v>721</v>
      </c>
      <c r="Z359" s="3">
        <f t="shared" si="200"/>
        <v>723</v>
      </c>
      <c r="AA359" s="3">
        <f>IF(ISERROR(VLOOKUP($A359,'SegEnds_NonXtal_BW#'!$A:$Z,19,FALSE)+VLOOKUP($A359,A:AL,28,FALSE)-50),"-",(VLOOKUP($A359,'SegEnds_NonXtal_BW#'!$A:$Z,19,FALSE)+VLOOKUP($A359,A:AL,28,FALSE)-50))</f>
        <v>724</v>
      </c>
      <c r="AB359" s="3">
        <v>738</v>
      </c>
      <c r="AC359" s="3">
        <f>IF(ISERROR((VLOOKUP($A359,'SegEnds_NonXtal_BW#'!$A:$Z,20,FALSE)+VLOOKUP($A359,A:AL,28,FALSE)-50)),"-",(VLOOKUP($A359,'SegEnds_NonXtal_BW#'!$A:$Z,20,FALSE)+VLOOKUP($A359,A:AL,28,FALSE)-50))</f>
        <v>749</v>
      </c>
      <c r="AD359" s="3">
        <f>IF(ISERROR(VLOOKUP($A359,'SegEnds_NonXtal_BW#'!$A:$Z,21,FALSE)+VLOOKUP($A359,A:AL,31,FALSE)-50),"-",(VLOOKUP($A359,'SegEnds_NonXtal_BW#'!$A:$Z,21,FALSE)+VLOOKUP($A359,A:AL,31,FALSE)-50))</f>
        <v>758</v>
      </c>
      <c r="AE359" s="3">
        <v>775</v>
      </c>
      <c r="AF359" s="3">
        <f>IF(ISERROR((VLOOKUP($A359,'SegEnds_NonXtal_BW#'!$A:$Z,22,FALSE)+VLOOKUP($A359,A:AL,31,FALSE)-50)),"-",(VLOOKUP($A359,'SegEnds_NonXtal_BW#'!$A:$Z,22,FALSE)+VLOOKUP($A359,A:AL,31,FALSE)-50))</f>
        <v>782</v>
      </c>
      <c r="AG359" s="3">
        <f>IF(ISERROR(VLOOKUP($A359,'SegEnds_NonXtal_BW#'!$A:$Z,23,FALSE)+VLOOKUP($A359,A:AL,34,FALSE)-50),"-",(VLOOKUP($A359,'SegEnds_NonXtal_BW#'!$A:$Z,23,FALSE)+VLOOKUP($A359,A:AL,34,FALSE)-50))</f>
        <v>789</v>
      </c>
      <c r="AH359" s="3">
        <v>806</v>
      </c>
      <c r="AI359" s="3">
        <f>IF(ISERROR((VLOOKUP($A359,'SegEnds_NonXtal_BW#'!$A:$Z,24,FALSE)+VLOOKUP($A359,A:AL,34,FALSE)-50)),"-",(VLOOKUP($A359,'SegEnds_NonXtal_BW#'!$A:$Z,24,FALSE)+VLOOKUP($A359,A:AL,34,FALSE)-50))</f>
        <v>820</v>
      </c>
      <c r="AJ359" s="3">
        <f>IF(ISERROR(VLOOKUP($A359,'SegEnds_NonXtal_BW#'!$A:$Z,25,FALSE)+VLOOKUP($A359,A:AL,37,FALSE)-50),"-",(VLOOKUP($A359,'SegEnds_NonXtal_BW#'!$A:$Z,25,FALSE)+VLOOKUP($A359,A:AL,37,FALSE)-50))</f>
        <v>821</v>
      </c>
      <c r="AK359" s="3">
        <v>825</v>
      </c>
      <c r="AL359" s="3">
        <f>IF(ISERROR((VLOOKUP($A359,'SegEnds_NonXtal_BW#'!$A:$Z,26,FALSE)+VLOOKUP($A359,A:AL,37,FALSE)-50)),"-",(VLOOKUP($A359,'SegEnds_NonXtal_BW#'!$A:$Z,26,FALSE)+VLOOKUP($A359,A:AL,37,FALSE)-50))</f>
        <v>832</v>
      </c>
      <c r="AM359" s="28" t="str">
        <f>VLOOKUP(A359,Classification!A:B,2,FALSE)</f>
        <v>C</v>
      </c>
      <c r="AN359" s="28" t="b">
        <f t="shared" si="195"/>
        <v>1</v>
      </c>
      <c r="AO359" s="3" t="str">
        <f>IF(ISERROR(MATCH(A359,'SegEnds_Xtal_Prot#'!B:B, 0)), "NoXtal", "Xtal")</f>
        <v>NoXtal</v>
      </c>
      <c r="AP359" s="3">
        <f t="shared" si="180"/>
        <v>3</v>
      </c>
      <c r="AQ359" s="3">
        <f t="shared" si="181"/>
        <v>1</v>
      </c>
      <c r="AR359" s="3" t="str">
        <f t="shared" si="182"/>
        <v>-</v>
      </c>
      <c r="AS359" s="3" t="str">
        <f t="shared" si="183"/>
        <v>-</v>
      </c>
      <c r="AT359" s="3" t="str">
        <f t="shared" si="184"/>
        <v>-</v>
      </c>
      <c r="AU359" s="3" t="str">
        <f t="shared" si="185"/>
        <v>-</v>
      </c>
      <c r="AV359" s="3">
        <f t="shared" si="186"/>
        <v>20</v>
      </c>
      <c r="AW359" s="3">
        <f t="shared" si="187"/>
        <v>1</v>
      </c>
      <c r="AX359" s="3">
        <f t="shared" si="188"/>
        <v>9</v>
      </c>
      <c r="AY359" s="3">
        <f t="shared" si="189"/>
        <v>7</v>
      </c>
      <c r="AZ359" s="3">
        <f t="shared" si="190"/>
        <v>1</v>
      </c>
      <c r="BA359" s="3">
        <f>IF(ISERROR(LEN(VLOOKUP(A359,Seqs!A:E,2,FALSE))-AL359),"-",LEN(VLOOKUP(A359,Seqs!A:E,2,FALSE))-AL359)</f>
        <v>40</v>
      </c>
      <c r="BB359" s="16">
        <f t="shared" si="191"/>
        <v>31</v>
      </c>
      <c r="BC359" s="9" t="str">
        <f t="shared" si="192"/>
        <v>-</v>
      </c>
      <c r="BD359" s="3">
        <f t="shared" si="193"/>
        <v>31</v>
      </c>
      <c r="BE359" s="3">
        <f t="shared" si="194"/>
        <v>37</v>
      </c>
    </row>
    <row r="360" spans="1:58" s="3" customFormat="1" x14ac:dyDescent="0.2">
      <c r="A360" s="3" t="s">
        <v>116</v>
      </c>
      <c r="B360" s="3" t="str">
        <f>LOWER(VLOOKUP(A360,Xtal_Templ!A:B,2,FALSE))</f>
        <v>grm5_human</v>
      </c>
      <c r="C360" s="3">
        <f>VLOOKUP($A360,'SegEnds_NonXtal_BW#'!$A:$Z,3,FALSE)+D360-50</f>
        <v>575</v>
      </c>
      <c r="D360" s="3">
        <v>591</v>
      </c>
      <c r="E360" s="3">
        <f>IF(ISERROR(VLOOKUP($A360,'SegEnds_NonXtal_BW#'!$A:$Z,4,FALSE)+VLOOKUP($A360,A:AL,4,FALSE)-50),"-",(VLOOKUP($A360,'SegEnds_NonXtal_BW#'!$A:$Z,4,FALSE)+VLOOKUP($A360,A:AL,4,FALSE)-50))</f>
        <v>601</v>
      </c>
      <c r="F360" s="3">
        <f t="shared" si="197"/>
        <v>604</v>
      </c>
      <c r="G360" s="3">
        <v>607</v>
      </c>
      <c r="H360" s="3">
        <f t="shared" si="198"/>
        <v>610</v>
      </c>
      <c r="I360" s="3">
        <f t="shared" si="199"/>
        <v>611</v>
      </c>
      <c r="J360" s="3">
        <v>622</v>
      </c>
      <c r="K360" s="3">
        <f>VLOOKUP($A360,'SegEnds_NonXtal_BW#'!$A:$Z,8,FALSE)+VLOOKUP($A360,A:AL,10,FALSE)-50</f>
        <v>633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637</v>
      </c>
      <c r="P360" s="3">
        <v>666</v>
      </c>
      <c r="Q360" s="3">
        <f>VLOOKUP($A360,'SegEnds_NonXtal_BW#'!$A:$Z,12,FALSE)+VLOOKUP($A360,A:AL,16,FALSE)-50</f>
        <v>670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684</v>
      </c>
      <c r="V360" s="3">
        <v>696</v>
      </c>
      <c r="W360" s="3">
        <f>IF(ISERROR(VLOOKUP($A360,'SegEnds_NonXtal_BW#'!$A:$Z,16,FALSE)+VLOOKUP($A360,A:AL,22,FALSE)-50),"-",(VLOOKUP($A360,'SegEnds_NonXtal_BW#'!$A:$Z,16,FALSE)+VLOOKUP($A360,A:AL,22,FALSE)-50))</f>
        <v>710</v>
      </c>
      <c r="X360" s="3">
        <f>IF(ISERROR(VLOOKUP($A360,'SegEnds_NonXtal_BW#'!$A:$Z,17,FALSE)+VLOOKUP($A360,A:AL,25,FALSE)-50),"-",(VLOOKUP($A360,'SegEnds_NonXtal_BW#'!$A:$Z,17,FALSE)+VLOOKUP($A360,A:AL,25,FALSE)-50))</f>
        <v>730</v>
      </c>
      <c r="Y360" s="3">
        <v>730</v>
      </c>
      <c r="Z360" s="3">
        <f t="shared" si="200"/>
        <v>732</v>
      </c>
      <c r="AA360" s="3">
        <f>IF(ISERROR(VLOOKUP($A360,'SegEnds_NonXtal_BW#'!$A:$Z,19,FALSE)+VLOOKUP($A360,A:AL,28,FALSE)-50),"-",(VLOOKUP($A360,'SegEnds_NonXtal_BW#'!$A:$Z,19,FALSE)+VLOOKUP($A360,A:AL,28,FALSE)-50))</f>
        <v>733</v>
      </c>
      <c r="AB360" s="3">
        <v>747</v>
      </c>
      <c r="AC360" s="3">
        <f>IF(ISERROR((VLOOKUP($A360,'SegEnds_NonXtal_BW#'!$A:$Z,20,FALSE)+VLOOKUP($A360,A:AL,28,FALSE)-50)),"-",(VLOOKUP($A360,'SegEnds_NonXtal_BW#'!$A:$Z,20,FALSE)+VLOOKUP($A360,A:AL,28,FALSE)-50))</f>
        <v>758</v>
      </c>
      <c r="AD360" s="3">
        <f>IF(ISERROR(VLOOKUP($A360,'SegEnds_NonXtal_BW#'!$A:$Z,21,FALSE)+VLOOKUP($A360,A:AL,31,FALSE)-50),"-",(VLOOKUP($A360,'SegEnds_NonXtal_BW#'!$A:$Z,21,FALSE)+VLOOKUP($A360,A:AL,31,FALSE)-50))</f>
        <v>767</v>
      </c>
      <c r="AE360" s="3">
        <v>784</v>
      </c>
      <c r="AF360" s="3">
        <f>IF(ISERROR((VLOOKUP($A360,'SegEnds_NonXtal_BW#'!$A:$Z,22,FALSE)+VLOOKUP($A360,A:AL,31,FALSE)-50)),"-",(VLOOKUP($A360,'SegEnds_NonXtal_BW#'!$A:$Z,22,FALSE)+VLOOKUP($A360,A:AL,31,FALSE)-50))</f>
        <v>791</v>
      </c>
      <c r="AG360" s="3">
        <f>IF(ISERROR(VLOOKUP($A360,'SegEnds_NonXtal_BW#'!$A:$Z,23,FALSE)+VLOOKUP($A360,A:AL,34,FALSE)-50),"-",(VLOOKUP($A360,'SegEnds_NonXtal_BW#'!$A:$Z,23,FALSE)+VLOOKUP($A360,A:AL,34,FALSE)-50))</f>
        <v>798</v>
      </c>
      <c r="AH360" s="3">
        <v>815</v>
      </c>
      <c r="AI360" s="3">
        <f>IF(ISERROR((VLOOKUP($A360,'SegEnds_NonXtal_BW#'!$A:$Z,24,FALSE)+VLOOKUP($A360,A:AL,34,FALSE)-50)),"-",(VLOOKUP($A360,'SegEnds_NonXtal_BW#'!$A:$Z,24,FALSE)+VLOOKUP($A360,A:AL,34,FALSE)-50))</f>
        <v>829</v>
      </c>
      <c r="AJ360" s="3">
        <f>IF(ISERROR(VLOOKUP($A360,'SegEnds_NonXtal_BW#'!$A:$Z,25,FALSE)+VLOOKUP($A360,A:AL,37,FALSE)-50),"-",(VLOOKUP($A360,'SegEnds_NonXtal_BW#'!$A:$Z,25,FALSE)+VLOOKUP($A360,A:AL,37,FALSE)-50))</f>
        <v>830</v>
      </c>
      <c r="AK360" s="3">
        <v>834</v>
      </c>
      <c r="AL360" s="3">
        <f>IF(ISERROR((VLOOKUP($A360,'SegEnds_NonXtal_BW#'!$A:$Z,26,FALSE)+VLOOKUP($A360,A:AL,37,FALSE)-50)),"-",(VLOOKUP($A360,'SegEnds_NonXtal_BW#'!$A:$Z,26,FALSE)+VLOOKUP($A360,A:AL,37,FALSE)-50))</f>
        <v>841</v>
      </c>
      <c r="AM360" s="28" t="str">
        <f>VLOOKUP(A360,Classification!A:B,2,FALSE)</f>
        <v>C</v>
      </c>
      <c r="AN360" s="28" t="b">
        <f t="shared" si="195"/>
        <v>1</v>
      </c>
      <c r="AO360" s="3" t="str">
        <f>IF(ISERROR(MATCH(A360,'SegEnds_Xtal_Prot#'!B:B, 0)), "NoXtal", "Xtal")</f>
        <v>NoXtal</v>
      </c>
      <c r="AP360" s="3">
        <f t="shared" si="180"/>
        <v>3</v>
      </c>
      <c r="AQ360" s="3">
        <f t="shared" si="181"/>
        <v>1</v>
      </c>
      <c r="AR360" s="3" t="str">
        <f t="shared" si="182"/>
        <v>-</v>
      </c>
      <c r="AS360" s="3" t="str">
        <f t="shared" si="183"/>
        <v>-</v>
      </c>
      <c r="AT360" s="3" t="str">
        <f t="shared" si="184"/>
        <v>-</v>
      </c>
      <c r="AU360" s="3" t="str">
        <f t="shared" si="185"/>
        <v>-</v>
      </c>
      <c r="AV360" s="3">
        <f t="shared" si="186"/>
        <v>20</v>
      </c>
      <c r="AW360" s="3">
        <f t="shared" si="187"/>
        <v>1</v>
      </c>
      <c r="AX360" s="3">
        <f t="shared" si="188"/>
        <v>9</v>
      </c>
      <c r="AY360" s="3">
        <f t="shared" si="189"/>
        <v>7</v>
      </c>
      <c r="AZ360" s="3">
        <f t="shared" si="190"/>
        <v>1</v>
      </c>
      <c r="BA360" s="3">
        <f>IF(ISERROR(LEN(VLOOKUP(A360,Seqs!A:E,2,FALSE))-AL360),"-",LEN(VLOOKUP(A360,Seqs!A:E,2,FALSE))-AL360)</f>
        <v>38</v>
      </c>
      <c r="BB360" s="16">
        <f t="shared" si="191"/>
        <v>31</v>
      </c>
      <c r="BC360" s="9" t="str">
        <f t="shared" si="192"/>
        <v>-</v>
      </c>
      <c r="BD360" s="3">
        <f t="shared" si="193"/>
        <v>31</v>
      </c>
      <c r="BE360" s="3">
        <f t="shared" si="194"/>
        <v>37</v>
      </c>
    </row>
    <row r="361" spans="1:58" s="3" customFormat="1" x14ac:dyDescent="0.2">
      <c r="A361" s="3" t="s">
        <v>117</v>
      </c>
      <c r="B361" s="3" t="str">
        <f>LOWER(VLOOKUP(A361,Xtal_Templ!A:B,2,FALSE))</f>
        <v>grm5_human</v>
      </c>
      <c r="C361" s="3">
        <f>VLOOKUP($A361,'SegEnds_NonXtal_BW#'!$A:$Z,3,FALSE)+D361-50</f>
        <v>586</v>
      </c>
      <c r="D361" s="3">
        <v>602</v>
      </c>
      <c r="E361" s="3">
        <f>IF(ISERROR(VLOOKUP($A361,'SegEnds_NonXtal_BW#'!$A:$Z,4,FALSE)+VLOOKUP($A361,A:AL,4,FALSE)-50),"-",(VLOOKUP($A361,'SegEnds_NonXtal_BW#'!$A:$Z,4,FALSE)+VLOOKUP($A361,A:AL,4,FALSE)-50))</f>
        <v>612</v>
      </c>
      <c r="F361" s="3">
        <f t="shared" si="197"/>
        <v>615</v>
      </c>
      <c r="G361" s="3">
        <v>618</v>
      </c>
      <c r="H361" s="3">
        <f t="shared" si="198"/>
        <v>621</v>
      </c>
      <c r="I361" s="3">
        <f t="shared" si="199"/>
        <v>622</v>
      </c>
      <c r="J361" s="3">
        <v>633</v>
      </c>
      <c r="K361" s="3">
        <f>VLOOKUP($A361,'SegEnds_NonXtal_BW#'!$A:$Z,8,FALSE)+VLOOKUP($A361,A:AL,10,FALSE)-50</f>
        <v>644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648</v>
      </c>
      <c r="P361" s="3">
        <v>677</v>
      </c>
      <c r="Q361" s="3">
        <f>VLOOKUP($A361,'SegEnds_NonXtal_BW#'!$A:$Z,12,FALSE)+VLOOKUP($A361,A:AL,16,FALSE)-50</f>
        <v>681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695</v>
      </c>
      <c r="V361" s="3">
        <v>707</v>
      </c>
      <c r="W361" s="3">
        <f>IF(ISERROR(VLOOKUP($A361,'SegEnds_NonXtal_BW#'!$A:$Z,16,FALSE)+VLOOKUP($A361,A:AL,22,FALSE)-50),"-",(VLOOKUP($A361,'SegEnds_NonXtal_BW#'!$A:$Z,16,FALSE)+VLOOKUP($A361,A:AL,22,FALSE)-50))</f>
        <v>721</v>
      </c>
      <c r="X361" s="3">
        <f>IF(ISERROR(VLOOKUP($A361,'SegEnds_NonXtal_BW#'!$A:$Z,17,FALSE)+VLOOKUP($A361,A:AL,25,FALSE)-50),"-",(VLOOKUP($A361,'SegEnds_NonXtal_BW#'!$A:$Z,17,FALSE)+VLOOKUP($A361,A:AL,25,FALSE)-50))</f>
        <v>746</v>
      </c>
      <c r="Y361" s="3">
        <v>746</v>
      </c>
      <c r="Z361" s="3">
        <f t="shared" si="200"/>
        <v>748</v>
      </c>
      <c r="AA361" s="3">
        <f>IF(ISERROR(VLOOKUP($A361,'SegEnds_NonXtal_BW#'!$A:$Z,19,FALSE)+VLOOKUP($A361,A:AL,28,FALSE)-50),"-",(VLOOKUP($A361,'SegEnds_NonXtal_BW#'!$A:$Z,19,FALSE)+VLOOKUP($A361,A:AL,28,FALSE)-50))</f>
        <v>749</v>
      </c>
      <c r="AB361" s="3">
        <v>763</v>
      </c>
      <c r="AC361" s="3">
        <f>IF(ISERROR((VLOOKUP($A361,'SegEnds_NonXtal_BW#'!$A:$Z,20,FALSE)+VLOOKUP($A361,A:AL,28,FALSE)-50)),"-",(VLOOKUP($A361,'SegEnds_NonXtal_BW#'!$A:$Z,20,FALSE)+VLOOKUP($A361,A:AL,28,FALSE)-50))</f>
        <v>774</v>
      </c>
      <c r="AD361" s="3">
        <f>IF(ISERROR(VLOOKUP($A361,'SegEnds_NonXtal_BW#'!$A:$Z,21,FALSE)+VLOOKUP($A361,A:AL,31,FALSE)-50),"-",(VLOOKUP($A361,'SegEnds_NonXtal_BW#'!$A:$Z,21,FALSE)+VLOOKUP($A361,A:AL,31,FALSE)-50))</f>
        <v>783</v>
      </c>
      <c r="AE361" s="3">
        <v>800</v>
      </c>
      <c r="AF361" s="3">
        <f>IF(ISERROR((VLOOKUP($A361,'SegEnds_NonXtal_BW#'!$A:$Z,22,FALSE)+VLOOKUP($A361,A:AL,31,FALSE)-50)),"-",(VLOOKUP($A361,'SegEnds_NonXtal_BW#'!$A:$Z,22,FALSE)+VLOOKUP($A361,A:AL,31,FALSE)-50))</f>
        <v>807</v>
      </c>
      <c r="AG361" s="3">
        <f>IF(ISERROR(VLOOKUP($A361,'SegEnds_NonXtal_BW#'!$A:$Z,23,FALSE)+VLOOKUP($A361,A:AL,34,FALSE)-50),"-",(VLOOKUP($A361,'SegEnds_NonXtal_BW#'!$A:$Z,23,FALSE)+VLOOKUP($A361,A:AL,34,FALSE)-50))</f>
        <v>817</v>
      </c>
      <c r="AH361" s="3">
        <v>834</v>
      </c>
      <c r="AI361" s="3">
        <f>IF(ISERROR((VLOOKUP($A361,'SegEnds_NonXtal_BW#'!$A:$Z,24,FALSE)+VLOOKUP($A361,A:AL,34,FALSE)-50)),"-",(VLOOKUP($A361,'SegEnds_NonXtal_BW#'!$A:$Z,24,FALSE)+VLOOKUP($A361,A:AL,34,FALSE)-50))</f>
        <v>848</v>
      </c>
      <c r="AJ361" s="3">
        <f>IF(ISERROR(VLOOKUP($A361,'SegEnds_NonXtal_BW#'!$A:$Z,25,FALSE)+VLOOKUP($A361,A:AL,37,FALSE)-50),"-",(VLOOKUP($A361,'SegEnds_NonXtal_BW#'!$A:$Z,25,FALSE)+VLOOKUP($A361,A:AL,37,FALSE)-50))</f>
        <v>849</v>
      </c>
      <c r="AK361" s="3">
        <v>853</v>
      </c>
      <c r="AL361" s="3">
        <f>IF(ISERROR((VLOOKUP($A361,'SegEnds_NonXtal_BW#'!$A:$Z,26,FALSE)+VLOOKUP($A361,A:AL,37,FALSE)-50)),"-",(VLOOKUP($A361,'SegEnds_NonXtal_BW#'!$A:$Z,26,FALSE)+VLOOKUP($A361,A:AL,37,FALSE)-50))</f>
        <v>860</v>
      </c>
      <c r="AM361" s="28" t="str">
        <f>VLOOKUP(A361,Classification!A:B,2,FALSE)</f>
        <v>C</v>
      </c>
      <c r="AN361" s="28" t="b">
        <f t="shared" si="195"/>
        <v>1</v>
      </c>
      <c r="AO361" s="3" t="str">
        <f>IF(ISERROR(MATCH(A361,'SegEnds_Xtal_Prot#'!B:B, 0)), "NoXtal", "Xtal")</f>
        <v>NoXtal</v>
      </c>
      <c r="AP361" s="3">
        <f t="shared" si="180"/>
        <v>3</v>
      </c>
      <c r="AQ361" s="3">
        <f t="shared" si="181"/>
        <v>1</v>
      </c>
      <c r="AR361" s="3" t="str">
        <f t="shared" si="182"/>
        <v>-</v>
      </c>
      <c r="AS361" s="3" t="str">
        <f t="shared" si="183"/>
        <v>-</v>
      </c>
      <c r="AT361" s="3" t="str">
        <f t="shared" si="184"/>
        <v>-</v>
      </c>
      <c r="AU361" s="3" t="str">
        <f t="shared" si="185"/>
        <v>-</v>
      </c>
      <c r="AV361" s="3">
        <f t="shared" si="186"/>
        <v>25</v>
      </c>
      <c r="AW361" s="3">
        <f t="shared" si="187"/>
        <v>1</v>
      </c>
      <c r="AX361" s="3">
        <f t="shared" si="188"/>
        <v>9</v>
      </c>
      <c r="AY361" s="3">
        <f t="shared" si="189"/>
        <v>10</v>
      </c>
      <c r="AZ361" s="3">
        <f t="shared" si="190"/>
        <v>1</v>
      </c>
      <c r="BA361" s="3">
        <f>IF(ISERROR(LEN(VLOOKUP(A361,Seqs!A:E,2,FALSE))-AL361),"-",LEN(VLOOKUP(A361,Seqs!A:E,2,FALSE))-AL361)</f>
        <v>52</v>
      </c>
      <c r="BB361" s="16">
        <f t="shared" si="191"/>
        <v>31</v>
      </c>
      <c r="BC361" s="9" t="str">
        <f t="shared" si="192"/>
        <v>-</v>
      </c>
      <c r="BD361" s="3">
        <f t="shared" si="193"/>
        <v>31</v>
      </c>
      <c r="BE361" s="3">
        <f t="shared" si="194"/>
        <v>37</v>
      </c>
    </row>
    <row r="362" spans="1:58" s="3" customFormat="1" x14ac:dyDescent="0.2">
      <c r="A362" s="3" t="s">
        <v>41</v>
      </c>
      <c r="B362" s="3" t="str">
        <f>LOWER(VLOOKUP(A362,Xtal_Templ!A:B,2,FALSE))</f>
        <v>grm5_human</v>
      </c>
      <c r="C362" s="3">
        <f>VLOOKUP($A362,'SegEnds_NonXtal_BW#'!$A:$Z,3,FALSE)+D362-50</f>
        <v>578</v>
      </c>
      <c r="D362" s="3">
        <v>594</v>
      </c>
      <c r="E362" s="3">
        <f>IF(ISERROR(VLOOKUP($A362,'SegEnds_NonXtal_BW#'!$A:$Z,4,FALSE)+VLOOKUP($A362,A:AL,4,FALSE)-50),"-",(VLOOKUP($A362,'SegEnds_NonXtal_BW#'!$A:$Z,4,FALSE)+VLOOKUP($A362,A:AL,4,FALSE)-50))</f>
        <v>604</v>
      </c>
      <c r="F362" s="3">
        <f t="shared" si="197"/>
        <v>607</v>
      </c>
      <c r="G362" s="3">
        <v>610</v>
      </c>
      <c r="H362" s="3">
        <f t="shared" si="198"/>
        <v>613</v>
      </c>
      <c r="I362" s="3">
        <f t="shared" si="199"/>
        <v>614</v>
      </c>
      <c r="J362" s="3">
        <v>625</v>
      </c>
      <c r="K362" s="3">
        <f>VLOOKUP($A362,'SegEnds_NonXtal_BW#'!$A:$Z,8,FALSE)+VLOOKUP($A362,A:AL,10,FALSE)-50</f>
        <v>636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640</v>
      </c>
      <c r="P362" s="3">
        <v>669</v>
      </c>
      <c r="Q362" s="3">
        <f>VLOOKUP($A362,'SegEnds_NonXtal_BW#'!$A:$Z,12,FALSE)+VLOOKUP($A362,A:AL,16,FALSE)-50</f>
        <v>673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689</v>
      </c>
      <c r="V362" s="3">
        <v>701</v>
      </c>
      <c r="W362" s="3">
        <f>IF(ISERROR(VLOOKUP($A362,'SegEnds_NonXtal_BW#'!$A:$Z,16,FALSE)+VLOOKUP($A362,A:AL,22,FALSE)-50),"-",(VLOOKUP($A362,'SegEnds_NonXtal_BW#'!$A:$Z,16,FALSE)+VLOOKUP($A362,A:AL,22,FALSE)-50))</f>
        <v>715</v>
      </c>
      <c r="X362" s="3">
        <f>IF(ISERROR(VLOOKUP($A362,'SegEnds_NonXtal_BW#'!$A:$Z,17,FALSE)+VLOOKUP($A362,A:AL,25,FALSE)-50),"-",(VLOOKUP($A362,'SegEnds_NonXtal_BW#'!$A:$Z,17,FALSE)+VLOOKUP($A362,A:AL,25,FALSE)-50))</f>
        <v>733</v>
      </c>
      <c r="Y362" s="3">
        <v>733</v>
      </c>
      <c r="Z362" s="3">
        <f t="shared" si="200"/>
        <v>735</v>
      </c>
      <c r="AA362" s="3">
        <f>IF(ISERROR(VLOOKUP($A362,'SegEnds_NonXtal_BW#'!$A:$Z,19,FALSE)+VLOOKUP($A362,A:AL,28,FALSE)-50),"-",(VLOOKUP($A362,'SegEnds_NonXtal_BW#'!$A:$Z,19,FALSE)+VLOOKUP($A362,A:AL,28,FALSE)-50))</f>
        <v>736</v>
      </c>
      <c r="AB362" s="3">
        <v>750</v>
      </c>
      <c r="AC362" s="3">
        <f>IF(ISERROR((VLOOKUP($A362,'SegEnds_NonXtal_BW#'!$A:$Z,20,FALSE)+VLOOKUP($A362,A:AL,28,FALSE)-50)),"-",(VLOOKUP($A362,'SegEnds_NonXtal_BW#'!$A:$Z,20,FALSE)+VLOOKUP($A362,A:AL,28,FALSE)-50))</f>
        <v>761</v>
      </c>
      <c r="AD362" s="3">
        <f>IF(ISERROR(VLOOKUP($A362,'SegEnds_NonXtal_BW#'!$A:$Z,21,FALSE)+VLOOKUP($A362,A:AL,31,FALSE)-50),"-",(VLOOKUP($A362,'SegEnds_NonXtal_BW#'!$A:$Z,21,FALSE)+VLOOKUP($A362,A:AL,31,FALSE)-50))</f>
        <v>770</v>
      </c>
      <c r="AE362" s="3">
        <v>787</v>
      </c>
      <c r="AF362" s="3">
        <f>IF(ISERROR((VLOOKUP($A362,'SegEnds_NonXtal_BW#'!$A:$Z,22,FALSE)+VLOOKUP($A362,A:AL,31,FALSE)-50)),"-",(VLOOKUP($A362,'SegEnds_NonXtal_BW#'!$A:$Z,22,FALSE)+VLOOKUP($A362,A:AL,31,FALSE)-50))</f>
        <v>794</v>
      </c>
      <c r="AG362" s="3">
        <f>IF(ISERROR(VLOOKUP($A362,'SegEnds_NonXtal_BW#'!$A:$Z,23,FALSE)+VLOOKUP($A362,A:AL,34,FALSE)-50),"-",(VLOOKUP($A362,'SegEnds_NonXtal_BW#'!$A:$Z,23,FALSE)+VLOOKUP($A362,A:AL,34,FALSE)-50))</f>
        <v>797</v>
      </c>
      <c r="AH362" s="3">
        <v>814</v>
      </c>
      <c r="AI362" s="3">
        <f>IF(ISERROR((VLOOKUP($A362,'SegEnds_NonXtal_BW#'!$A:$Z,24,FALSE)+VLOOKUP($A362,A:AL,34,FALSE)-50)),"-",(VLOOKUP($A362,'SegEnds_NonXtal_BW#'!$A:$Z,24,FALSE)+VLOOKUP($A362,A:AL,34,FALSE)-50))</f>
        <v>828</v>
      </c>
      <c r="AJ362" s="3">
        <f>IF(ISERROR(VLOOKUP($A362,'SegEnds_NonXtal_BW#'!$A:$Z,25,FALSE)+VLOOKUP($A362,A:AL,37,FALSE)-50),"-",(VLOOKUP($A362,'SegEnds_NonXtal_BW#'!$A:$Z,25,FALSE)+VLOOKUP($A362,A:AL,37,FALSE)-50))</f>
        <v>829</v>
      </c>
      <c r="AK362" s="3">
        <v>833</v>
      </c>
      <c r="AL362" s="3">
        <f>IF(ISERROR((VLOOKUP($A362,'SegEnds_NonXtal_BW#'!$A:$Z,26,FALSE)+VLOOKUP($A362,A:AL,37,FALSE)-50)),"-",(VLOOKUP($A362,'SegEnds_NonXtal_BW#'!$A:$Z,26,FALSE)+VLOOKUP($A362,A:AL,37,FALSE)-50))</f>
        <v>840</v>
      </c>
      <c r="AM362" s="28" t="str">
        <f>VLOOKUP(A362,Classification!A:B,2,FALSE)</f>
        <v>C</v>
      </c>
      <c r="AN362" s="28" t="b">
        <f t="shared" si="195"/>
        <v>1</v>
      </c>
      <c r="AO362" s="3" t="str">
        <f>IF(ISERROR(MATCH(A362,'SegEnds_Xtal_Prot#'!B:B, 0)), "NoXtal", "Xtal")</f>
        <v>Xtal</v>
      </c>
      <c r="AP362" s="3">
        <f t="shared" si="180"/>
        <v>3</v>
      </c>
      <c r="AQ362" s="3">
        <f t="shared" si="181"/>
        <v>1</v>
      </c>
      <c r="AR362" s="3" t="str">
        <f t="shared" si="182"/>
        <v>-</v>
      </c>
      <c r="AS362" s="3" t="str">
        <f t="shared" si="183"/>
        <v>-</v>
      </c>
      <c r="AT362" s="3" t="str">
        <f t="shared" si="184"/>
        <v>-</v>
      </c>
      <c r="AU362" s="3" t="str">
        <f t="shared" si="185"/>
        <v>-</v>
      </c>
      <c r="AV362" s="3">
        <f t="shared" si="186"/>
        <v>18</v>
      </c>
      <c r="AW362" s="3">
        <f t="shared" si="187"/>
        <v>1</v>
      </c>
      <c r="AX362" s="3">
        <f t="shared" si="188"/>
        <v>9</v>
      </c>
      <c r="AY362" s="3">
        <f t="shared" si="189"/>
        <v>3</v>
      </c>
      <c r="AZ362" s="3">
        <f t="shared" si="190"/>
        <v>1</v>
      </c>
      <c r="BA362" s="3">
        <f>IF(ISERROR(LEN(VLOOKUP(A362,Seqs!A:E,2,FALSE))-AL362),"-",LEN(VLOOKUP(A362,Seqs!A:E,2,FALSE))-AL362)</f>
        <v>372</v>
      </c>
      <c r="BB362" s="16">
        <f t="shared" si="191"/>
        <v>31</v>
      </c>
      <c r="BC362" s="9" t="str">
        <f t="shared" si="192"/>
        <v>-</v>
      </c>
      <c r="BD362" s="3">
        <f t="shared" si="193"/>
        <v>31</v>
      </c>
      <c r="BE362" s="3">
        <f t="shared" si="194"/>
        <v>37</v>
      </c>
    </row>
    <row r="363" spans="1:58" s="3" customFormat="1" x14ac:dyDescent="0.2">
      <c r="A363" s="3" t="s">
        <v>118</v>
      </c>
      <c r="B363" s="3" t="str">
        <f>LOWER(VLOOKUP(A363,Xtal_Templ!A:B,2,FALSE))</f>
        <v>grm5_human</v>
      </c>
      <c r="C363" s="3">
        <f>VLOOKUP($A363,'SegEnds_NonXtal_BW#'!$A:$Z,3,FALSE)+D363-50</f>
        <v>584</v>
      </c>
      <c r="D363" s="3">
        <v>600</v>
      </c>
      <c r="E363" s="3">
        <f>IF(ISERROR(VLOOKUP($A363,'SegEnds_NonXtal_BW#'!$A:$Z,4,FALSE)+VLOOKUP($A363,A:AL,4,FALSE)-50),"-",(VLOOKUP($A363,'SegEnds_NonXtal_BW#'!$A:$Z,4,FALSE)+VLOOKUP($A363,A:AL,4,FALSE)-50))</f>
        <v>610</v>
      </c>
      <c r="F363" s="3">
        <f t="shared" si="197"/>
        <v>613</v>
      </c>
      <c r="G363" s="3">
        <v>616</v>
      </c>
      <c r="H363" s="3">
        <f t="shared" si="198"/>
        <v>619</v>
      </c>
      <c r="I363" s="3">
        <f t="shared" si="199"/>
        <v>620</v>
      </c>
      <c r="J363" s="3">
        <v>631</v>
      </c>
      <c r="K363" s="3">
        <f>VLOOKUP($A363,'SegEnds_NonXtal_BW#'!$A:$Z,8,FALSE)+VLOOKUP($A363,A:AL,10,FALSE)-50</f>
        <v>642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646</v>
      </c>
      <c r="P363" s="3">
        <v>675</v>
      </c>
      <c r="Q363" s="3">
        <f>VLOOKUP($A363,'SegEnds_NonXtal_BW#'!$A:$Z,12,FALSE)+VLOOKUP($A363,A:AL,16,FALSE)-50</f>
        <v>679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693</v>
      </c>
      <c r="V363" s="3">
        <v>705</v>
      </c>
      <c r="W363" s="3">
        <f>IF(ISERROR(VLOOKUP($A363,'SegEnds_NonXtal_BW#'!$A:$Z,16,FALSE)+VLOOKUP($A363,A:AL,22,FALSE)-50),"-",(VLOOKUP($A363,'SegEnds_NonXtal_BW#'!$A:$Z,16,FALSE)+VLOOKUP($A363,A:AL,22,FALSE)-50))</f>
        <v>719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si="200"/>
        <v>746</v>
      </c>
      <c r="AA363" s="3">
        <f>IF(ISERROR(VLOOKUP($A363,'SegEnds_NonXtal_BW#'!$A:$Z,19,FALSE)+VLOOKUP($A363,A:AL,28,FALSE)-50),"-",(VLOOKUP($A363,'SegEnds_NonXtal_BW#'!$A:$Z,19,FALSE)+VLOOKUP($A363,A:AL,28,FALSE)-50))</f>
        <v>747</v>
      </c>
      <c r="AB363" s="3">
        <v>761</v>
      </c>
      <c r="AC363" s="3">
        <f>IF(ISERROR((VLOOKUP($A363,'SegEnds_NonXtal_BW#'!$A:$Z,20,FALSE)+VLOOKUP($A363,A:AL,28,FALSE)-50)),"-",(VLOOKUP($A363,'SegEnds_NonXtal_BW#'!$A:$Z,20,FALSE)+VLOOKUP($A363,A:AL,28,FALSE)-50))</f>
        <v>772</v>
      </c>
      <c r="AD363" s="3">
        <f>IF(ISERROR(VLOOKUP($A363,'SegEnds_NonXtal_BW#'!$A:$Z,21,FALSE)+VLOOKUP($A363,A:AL,31,FALSE)-50),"-",(VLOOKUP($A363,'SegEnds_NonXtal_BW#'!$A:$Z,21,FALSE)+VLOOKUP($A363,A:AL,31,FALSE)-50))</f>
        <v>781</v>
      </c>
      <c r="AE363" s="3">
        <v>798</v>
      </c>
      <c r="AF363" s="3">
        <f>IF(ISERROR((VLOOKUP($A363,'SegEnds_NonXtal_BW#'!$A:$Z,22,FALSE)+VLOOKUP($A363,A:AL,31,FALSE)-50)),"-",(VLOOKUP($A363,'SegEnds_NonXtal_BW#'!$A:$Z,22,FALSE)+VLOOKUP($A363,A:AL,31,FALSE)-50))</f>
        <v>805</v>
      </c>
      <c r="AG363" s="3">
        <f>IF(ISERROR(VLOOKUP($A363,'SegEnds_NonXtal_BW#'!$A:$Z,23,FALSE)+VLOOKUP($A363,A:AL,34,FALSE)-50),"-",(VLOOKUP($A363,'SegEnds_NonXtal_BW#'!$A:$Z,23,FALSE)+VLOOKUP($A363,A:AL,34,FALSE)-50))</f>
        <v>815</v>
      </c>
      <c r="AH363" s="3">
        <v>832</v>
      </c>
      <c r="AI363" s="3">
        <f>IF(ISERROR((VLOOKUP($A363,'SegEnds_NonXtal_BW#'!$A:$Z,24,FALSE)+VLOOKUP($A363,A:AL,34,FALSE)-50)),"-",(VLOOKUP($A363,'SegEnds_NonXtal_BW#'!$A:$Z,24,FALSE)+VLOOKUP($A363,A:AL,34,FALSE)-50))</f>
        <v>846</v>
      </c>
      <c r="AJ363" s="3">
        <f>IF(ISERROR(VLOOKUP($A363,'SegEnds_NonXtal_BW#'!$A:$Z,25,FALSE)+VLOOKUP($A363,A:AL,37,FALSE)-50),"-",(VLOOKUP($A363,'SegEnds_NonXtal_BW#'!$A:$Z,25,FALSE)+VLOOKUP($A363,A:AL,37,FALSE)-50))</f>
        <v>847</v>
      </c>
      <c r="AK363" s="3">
        <v>851</v>
      </c>
      <c r="AL363" s="3">
        <f>IF(ISERROR((VLOOKUP($A363,'SegEnds_NonXtal_BW#'!$A:$Z,26,FALSE)+VLOOKUP($A363,A:AL,37,FALSE)-50)),"-",(VLOOKUP($A363,'SegEnds_NonXtal_BW#'!$A:$Z,26,FALSE)+VLOOKUP($A363,A:AL,37,FALSE)-50))</f>
        <v>858</v>
      </c>
      <c r="AM363" s="28" t="str">
        <f>VLOOKUP(A363,Classification!A:B,2,FALSE)</f>
        <v>C</v>
      </c>
      <c r="AN363" s="28" t="b">
        <f t="shared" si="195"/>
        <v>1</v>
      </c>
      <c r="AO363" s="3" t="str">
        <f>IF(ISERROR(MATCH(A363,'SegEnds_Xtal_Prot#'!B:B, 0)), "NoXtal", "Xtal")</f>
        <v>NoXtal</v>
      </c>
      <c r="AP363" s="3">
        <f t="shared" si="180"/>
        <v>3</v>
      </c>
      <c r="AQ363" s="3">
        <f t="shared" si="181"/>
        <v>1</v>
      </c>
      <c r="AR363" s="3" t="str">
        <f t="shared" si="182"/>
        <v>-</v>
      </c>
      <c r="AS363" s="3" t="str">
        <f t="shared" si="183"/>
        <v>-</v>
      </c>
      <c r="AT363" s="3" t="str">
        <f t="shared" si="184"/>
        <v>-</v>
      </c>
      <c r="AU363" s="3" t="str">
        <f t="shared" si="185"/>
        <v>-</v>
      </c>
      <c r="AV363" s="3">
        <f t="shared" si="186"/>
        <v>25</v>
      </c>
      <c r="AW363" s="3">
        <f t="shared" si="187"/>
        <v>1</v>
      </c>
      <c r="AX363" s="3">
        <f t="shared" si="188"/>
        <v>9</v>
      </c>
      <c r="AY363" s="3">
        <f t="shared" si="189"/>
        <v>10</v>
      </c>
      <c r="AZ363" s="3">
        <f t="shared" si="190"/>
        <v>1</v>
      </c>
      <c r="BA363" s="3">
        <f>IF(ISERROR(LEN(VLOOKUP(A363,Seqs!A:E,2,FALSE))-AL363),"-",LEN(VLOOKUP(A363,Seqs!A:E,2,FALSE))-AL363)</f>
        <v>19</v>
      </c>
      <c r="BB363" s="16">
        <f t="shared" si="191"/>
        <v>31</v>
      </c>
      <c r="BC363" s="9" t="str">
        <f t="shared" si="192"/>
        <v>-</v>
      </c>
      <c r="BD363" s="3">
        <f t="shared" si="193"/>
        <v>31</v>
      </c>
      <c r="BE363" s="3">
        <f t="shared" si="194"/>
        <v>37</v>
      </c>
      <c r="BF363" s="3">
        <f>AH363-AE363</f>
        <v>34</v>
      </c>
    </row>
    <row r="364" spans="1:58" s="3" customFormat="1" x14ac:dyDescent="0.2">
      <c r="A364" s="3" t="s">
        <v>119</v>
      </c>
      <c r="B364" s="3" t="str">
        <f>LOWER(VLOOKUP(A364,Xtal_Templ!A:B,2,FALSE))</f>
        <v>grm5_human</v>
      </c>
      <c r="C364" s="3">
        <f>VLOOKUP($A364,'SegEnds_NonXtal_BW#'!$A:$Z,3,FALSE)+D364-50</f>
        <v>589</v>
      </c>
      <c r="D364" s="3">
        <v>605</v>
      </c>
      <c r="E364" s="3">
        <f>IF(ISERROR(VLOOKUP($A364,'SegEnds_NonXtal_BW#'!$A:$Z,4,FALSE)+VLOOKUP($A364,A:AL,4,FALSE)-50),"-",(VLOOKUP($A364,'SegEnds_NonXtal_BW#'!$A:$Z,4,FALSE)+VLOOKUP($A364,A:AL,4,FALSE)-50))</f>
        <v>615</v>
      </c>
      <c r="F364" s="3">
        <f t="shared" si="197"/>
        <v>618</v>
      </c>
      <c r="G364" s="3">
        <v>621</v>
      </c>
      <c r="H364" s="3">
        <f t="shared" si="198"/>
        <v>624</v>
      </c>
      <c r="I364" s="3">
        <f t="shared" si="199"/>
        <v>625</v>
      </c>
      <c r="J364" s="3">
        <v>636</v>
      </c>
      <c r="K364" s="3">
        <f>VLOOKUP($A364,'SegEnds_NonXtal_BW#'!$A:$Z,8,FALSE)+VLOOKUP($A364,A:AL,10,FALSE)-50</f>
        <v>647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651</v>
      </c>
      <c r="P364" s="3">
        <v>680</v>
      </c>
      <c r="Q364" s="3">
        <f>VLOOKUP($A364,'SegEnds_NonXtal_BW#'!$A:$Z,12,FALSE)+VLOOKUP($A364,A:AL,16,FALSE)-50</f>
        <v>684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698</v>
      </c>
      <c r="V364" s="3">
        <v>710</v>
      </c>
      <c r="W364" s="3">
        <f>IF(ISERROR(VLOOKUP($A364,'SegEnds_NonXtal_BW#'!$A:$Z,16,FALSE)+VLOOKUP($A364,A:AL,22,FALSE)-50),"-",(VLOOKUP($A364,'SegEnds_NonXtal_BW#'!$A:$Z,16,FALSE)+VLOOKUP($A364,A:AL,22,FALSE)-50))</f>
        <v>724</v>
      </c>
      <c r="X364" s="3">
        <f>IF(ISERROR(VLOOKUP($A364,'SegEnds_NonXtal_BW#'!$A:$Z,17,FALSE)+VLOOKUP($A364,A:AL,25,FALSE)-50),"-",(VLOOKUP($A364,'SegEnds_NonXtal_BW#'!$A:$Z,17,FALSE)+VLOOKUP($A364,A:AL,25,FALSE)-50))</f>
        <v>749</v>
      </c>
      <c r="Y364" s="3">
        <v>749</v>
      </c>
      <c r="Z364" s="3">
        <f t="shared" si="200"/>
        <v>751</v>
      </c>
      <c r="AA364" s="3">
        <f>IF(ISERROR(VLOOKUP($A364,'SegEnds_NonXtal_BW#'!$A:$Z,19,FALSE)+VLOOKUP($A364,A:AL,28,FALSE)-50),"-",(VLOOKUP($A364,'SegEnds_NonXtal_BW#'!$A:$Z,19,FALSE)+VLOOKUP($A364,A:AL,28,FALSE)-50))</f>
        <v>752</v>
      </c>
      <c r="AB364" s="3">
        <v>766</v>
      </c>
      <c r="AC364" s="3">
        <f>IF(ISERROR((VLOOKUP($A364,'SegEnds_NonXtal_BW#'!$A:$Z,20,FALSE)+VLOOKUP($A364,A:AL,28,FALSE)-50)),"-",(VLOOKUP($A364,'SegEnds_NonXtal_BW#'!$A:$Z,20,FALSE)+VLOOKUP($A364,A:AL,28,FALSE)-50))</f>
        <v>777</v>
      </c>
      <c r="AD364" s="3">
        <f>IF(ISERROR(VLOOKUP($A364,'SegEnds_NonXtal_BW#'!$A:$Z,21,FALSE)+VLOOKUP($A364,A:AL,31,FALSE)-50),"-",(VLOOKUP($A364,'SegEnds_NonXtal_BW#'!$A:$Z,21,FALSE)+VLOOKUP($A364,A:AL,31,FALSE)-50))</f>
        <v>786</v>
      </c>
      <c r="AE364" s="3">
        <v>803</v>
      </c>
      <c r="AF364" s="3">
        <f>IF(ISERROR((VLOOKUP($A364,'SegEnds_NonXtal_BW#'!$A:$Z,22,FALSE)+VLOOKUP($A364,A:AL,31,FALSE)-50)),"-",(VLOOKUP($A364,'SegEnds_NonXtal_BW#'!$A:$Z,22,FALSE)+VLOOKUP($A364,A:AL,31,FALSE)-50))</f>
        <v>810</v>
      </c>
      <c r="AG364" s="3">
        <f>IF(ISERROR(VLOOKUP($A364,'SegEnds_NonXtal_BW#'!$A:$Z,23,FALSE)+VLOOKUP($A364,A:AL,34,FALSE)-50),"-",(VLOOKUP($A364,'SegEnds_NonXtal_BW#'!$A:$Z,23,FALSE)+VLOOKUP($A364,A:AL,34,FALSE)-50))</f>
        <v>820</v>
      </c>
      <c r="AH364" s="3">
        <v>837</v>
      </c>
      <c r="AI364" s="3">
        <f>IF(ISERROR((VLOOKUP($A364,'SegEnds_NonXtal_BW#'!$A:$Z,24,FALSE)+VLOOKUP($A364,A:AL,34,FALSE)-50)),"-",(VLOOKUP($A364,'SegEnds_NonXtal_BW#'!$A:$Z,24,FALSE)+VLOOKUP($A364,A:AL,34,FALSE)-50))</f>
        <v>851</v>
      </c>
      <c r="AJ364" s="3">
        <f>IF(ISERROR(VLOOKUP($A364,'SegEnds_NonXtal_BW#'!$A:$Z,25,FALSE)+VLOOKUP($A364,A:AL,37,FALSE)-50),"-",(VLOOKUP($A364,'SegEnds_NonXtal_BW#'!$A:$Z,25,FALSE)+VLOOKUP($A364,A:AL,37,FALSE)-50))</f>
        <v>852</v>
      </c>
      <c r="AK364" s="3">
        <v>856</v>
      </c>
      <c r="AL364" s="3">
        <f>IF(ISERROR((VLOOKUP($A364,'SegEnds_NonXtal_BW#'!$A:$Z,26,FALSE)+VLOOKUP($A364,A:AL,37,FALSE)-50)),"-",(VLOOKUP($A364,'SegEnds_NonXtal_BW#'!$A:$Z,26,FALSE)+VLOOKUP($A364,A:AL,37,FALSE)-50))</f>
        <v>863</v>
      </c>
      <c r="AM364" s="28" t="str">
        <f>VLOOKUP(A364,Classification!A:B,2,FALSE)</f>
        <v>C</v>
      </c>
      <c r="AN364" s="28" t="b">
        <f t="shared" si="195"/>
        <v>1</v>
      </c>
      <c r="AO364" s="3" t="str">
        <f>IF(ISERROR(MATCH(A364,'SegEnds_Xtal_Prot#'!B:B, 0)), "NoXtal", "Xtal")</f>
        <v>NoXtal</v>
      </c>
      <c r="AP364" s="3">
        <f t="shared" si="180"/>
        <v>3</v>
      </c>
      <c r="AQ364" s="3">
        <f t="shared" si="181"/>
        <v>1</v>
      </c>
      <c r="AR364" s="3" t="str">
        <f t="shared" si="182"/>
        <v>-</v>
      </c>
      <c r="AS364" s="3" t="str">
        <f t="shared" si="183"/>
        <v>-</v>
      </c>
      <c r="AT364" s="3" t="str">
        <f t="shared" si="184"/>
        <v>-</v>
      </c>
      <c r="AU364" s="3" t="str">
        <f t="shared" si="185"/>
        <v>-</v>
      </c>
      <c r="AV364" s="3">
        <f t="shared" si="186"/>
        <v>25</v>
      </c>
      <c r="AW364" s="3">
        <f t="shared" si="187"/>
        <v>1</v>
      </c>
      <c r="AX364" s="3">
        <f t="shared" si="188"/>
        <v>9</v>
      </c>
      <c r="AY364" s="3">
        <f t="shared" si="189"/>
        <v>10</v>
      </c>
      <c r="AZ364" s="3">
        <f t="shared" si="190"/>
        <v>1</v>
      </c>
      <c r="BA364" s="3">
        <f>IF(ISERROR(LEN(VLOOKUP(A364,Seqs!A:E,2,FALSE))-AL364),"-",LEN(VLOOKUP(A364,Seqs!A:E,2,FALSE))-AL364)</f>
        <v>52</v>
      </c>
      <c r="BB364" s="16">
        <f t="shared" si="191"/>
        <v>31</v>
      </c>
      <c r="BC364" s="9" t="str">
        <f t="shared" si="192"/>
        <v>-</v>
      </c>
      <c r="BD364" s="3">
        <f t="shared" si="193"/>
        <v>31</v>
      </c>
      <c r="BE364" s="3">
        <f t="shared" si="194"/>
        <v>37</v>
      </c>
    </row>
    <row r="365" spans="1:58" s="3" customFormat="1" x14ac:dyDescent="0.2">
      <c r="A365" s="3" t="s">
        <v>120</v>
      </c>
      <c r="B365" s="3" t="str">
        <f>LOWER(VLOOKUP(A365,Xtal_Templ!A:B,2,FALSE))</f>
        <v>grm5_human</v>
      </c>
      <c r="C365" s="3">
        <f>VLOOKUP($A365,'SegEnds_NonXtal_BW#'!$A:$Z,3,FALSE)+D365-50</f>
        <v>582</v>
      </c>
      <c r="D365" s="3">
        <v>598</v>
      </c>
      <c r="E365" s="3">
        <f>IF(ISERROR(VLOOKUP($A365,'SegEnds_NonXtal_BW#'!$A:$Z,4,FALSE)+VLOOKUP($A365,A:AL,4,FALSE)-50),"-",(VLOOKUP($A365,'SegEnds_NonXtal_BW#'!$A:$Z,4,FALSE)+VLOOKUP($A365,A:AL,4,FALSE)-50))</f>
        <v>608</v>
      </c>
      <c r="F365" s="3">
        <f t="shared" si="197"/>
        <v>611</v>
      </c>
      <c r="G365" s="3">
        <v>614</v>
      </c>
      <c r="H365" s="3">
        <f t="shared" si="198"/>
        <v>617</v>
      </c>
      <c r="I365" s="3">
        <f t="shared" si="199"/>
        <v>618</v>
      </c>
      <c r="J365" s="3">
        <v>629</v>
      </c>
      <c r="K365" s="3">
        <f>VLOOKUP($A365,'SegEnds_NonXtal_BW#'!$A:$Z,8,FALSE)+VLOOKUP($A365,A:AL,10,FALSE)-50</f>
        <v>640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644</v>
      </c>
      <c r="P365" s="3">
        <v>673</v>
      </c>
      <c r="Q365" s="3">
        <f>VLOOKUP($A365,'SegEnds_NonXtal_BW#'!$A:$Z,12,FALSE)+VLOOKUP($A365,A:AL,16,FALSE)-50</f>
        <v>677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691</v>
      </c>
      <c r="V365" s="3">
        <v>703</v>
      </c>
      <c r="W365" s="3">
        <f>IF(ISERROR(VLOOKUP($A365,'SegEnds_NonXtal_BW#'!$A:$Z,16,FALSE)+VLOOKUP($A365,A:AL,22,FALSE)-50),"-",(VLOOKUP($A365,'SegEnds_NonXtal_BW#'!$A:$Z,16,FALSE)+VLOOKUP($A365,A:AL,22,FALSE)-50))</f>
        <v>717</v>
      </c>
      <c r="X365" s="3">
        <f>IF(ISERROR(VLOOKUP($A365,'SegEnds_NonXtal_BW#'!$A:$Z,17,FALSE)+VLOOKUP($A365,A:AL,25,FALSE)-50),"-",(VLOOKUP($A365,'SegEnds_NonXtal_BW#'!$A:$Z,17,FALSE)+VLOOKUP($A365,A:AL,25,FALSE)-50))</f>
        <v>742</v>
      </c>
      <c r="Y365" s="3">
        <v>742</v>
      </c>
      <c r="Z365" s="3">
        <f t="shared" si="200"/>
        <v>744</v>
      </c>
      <c r="AA365" s="3">
        <f>IF(ISERROR(VLOOKUP($A365,'SegEnds_NonXtal_BW#'!$A:$Z,19,FALSE)+VLOOKUP($A365,A:AL,28,FALSE)-50),"-",(VLOOKUP($A365,'SegEnds_NonXtal_BW#'!$A:$Z,19,FALSE)+VLOOKUP($A365,A:AL,28,FALSE)-50))</f>
        <v>745</v>
      </c>
      <c r="AB365" s="3">
        <v>759</v>
      </c>
      <c r="AC365" s="3">
        <f>IF(ISERROR((VLOOKUP($A365,'SegEnds_NonXtal_BW#'!$A:$Z,20,FALSE)+VLOOKUP($A365,A:AL,28,FALSE)-50)),"-",(VLOOKUP($A365,'SegEnds_NonXtal_BW#'!$A:$Z,20,FALSE)+VLOOKUP($A365,A:AL,28,FALSE)-50))</f>
        <v>770</v>
      </c>
      <c r="AD365" s="3">
        <f>IF(ISERROR(VLOOKUP($A365,'SegEnds_NonXtal_BW#'!$A:$Z,21,FALSE)+VLOOKUP($A365,A:AL,31,FALSE)-50),"-",(VLOOKUP($A365,'SegEnds_NonXtal_BW#'!$A:$Z,21,FALSE)+VLOOKUP($A365,A:AL,31,FALSE)-50))</f>
        <v>779</v>
      </c>
      <c r="AE365" s="3">
        <v>796</v>
      </c>
      <c r="AF365" s="3">
        <f>IF(ISERROR((VLOOKUP($A365,'SegEnds_NonXtal_BW#'!$A:$Z,22,FALSE)+VLOOKUP($A365,A:AL,31,FALSE)-50)),"-",(VLOOKUP($A365,'SegEnds_NonXtal_BW#'!$A:$Z,22,FALSE)+VLOOKUP($A365,A:AL,31,FALSE)-50))</f>
        <v>803</v>
      </c>
      <c r="AG365" s="3">
        <f>IF(ISERROR(VLOOKUP($A365,'SegEnds_NonXtal_BW#'!$A:$Z,23,FALSE)+VLOOKUP($A365,A:AL,34,FALSE)-50),"-",(VLOOKUP($A365,'SegEnds_NonXtal_BW#'!$A:$Z,23,FALSE)+VLOOKUP($A365,A:AL,34,FALSE)-50))</f>
        <v>813</v>
      </c>
      <c r="AH365" s="3">
        <v>830</v>
      </c>
      <c r="AI365" s="3">
        <f>IF(ISERROR((VLOOKUP($A365,'SegEnds_NonXtal_BW#'!$A:$Z,24,FALSE)+VLOOKUP($A365,A:AL,34,FALSE)-50)),"-",(VLOOKUP($A365,'SegEnds_NonXtal_BW#'!$A:$Z,24,FALSE)+VLOOKUP($A365,A:AL,34,FALSE)-50))</f>
        <v>844</v>
      </c>
      <c r="AJ365" s="3">
        <f>IF(ISERROR(VLOOKUP($A365,'SegEnds_NonXtal_BW#'!$A:$Z,25,FALSE)+VLOOKUP($A365,A:AL,37,FALSE)-50),"-",(VLOOKUP($A365,'SegEnds_NonXtal_BW#'!$A:$Z,25,FALSE)+VLOOKUP($A365,A:AL,37,FALSE)-50))</f>
        <v>845</v>
      </c>
      <c r="AK365" s="3">
        <v>849</v>
      </c>
      <c r="AL365" s="3">
        <f>IF(ISERROR((VLOOKUP($A365,'SegEnds_NonXtal_BW#'!$A:$Z,26,FALSE)+VLOOKUP($A365,A:AL,37,FALSE)-50)),"-",(VLOOKUP($A365,'SegEnds_NonXtal_BW#'!$A:$Z,26,FALSE)+VLOOKUP($A365,A:AL,37,FALSE)-50))</f>
        <v>856</v>
      </c>
      <c r="AM365" s="28" t="str">
        <f>VLOOKUP(A365,Classification!A:B,2,FALSE)</f>
        <v>C</v>
      </c>
      <c r="AN365" s="28" t="b">
        <f t="shared" si="195"/>
        <v>1</v>
      </c>
      <c r="AO365" s="3" t="str">
        <f>IF(ISERROR(MATCH(A365,'SegEnds_Xtal_Prot#'!B:B, 0)), "NoXtal", "Xtal")</f>
        <v>NoXtal</v>
      </c>
      <c r="AP365" s="3">
        <f t="shared" si="180"/>
        <v>3</v>
      </c>
      <c r="AQ365" s="3">
        <f t="shared" si="181"/>
        <v>1</v>
      </c>
      <c r="AR365" s="3" t="str">
        <f t="shared" si="182"/>
        <v>-</v>
      </c>
      <c r="AS365" s="3" t="str">
        <f t="shared" si="183"/>
        <v>-</v>
      </c>
      <c r="AT365" s="3" t="str">
        <f t="shared" si="184"/>
        <v>-</v>
      </c>
      <c r="AU365" s="3" t="str">
        <f t="shared" si="185"/>
        <v>-</v>
      </c>
      <c r="AV365" s="3">
        <f t="shared" si="186"/>
        <v>25</v>
      </c>
      <c r="AW365" s="3">
        <f t="shared" si="187"/>
        <v>1</v>
      </c>
      <c r="AX365" s="3">
        <f t="shared" si="188"/>
        <v>9</v>
      </c>
      <c r="AY365" s="3">
        <f t="shared" si="189"/>
        <v>10</v>
      </c>
      <c r="AZ365" s="3">
        <f t="shared" si="190"/>
        <v>1</v>
      </c>
      <c r="BA365" s="3">
        <f>IF(ISERROR(LEN(VLOOKUP(A365,Seqs!A:E,2,FALSE))-AL365),"-",LEN(VLOOKUP(A365,Seqs!A:E,2,FALSE))-AL365)</f>
        <v>52</v>
      </c>
      <c r="BB365" s="16">
        <f t="shared" si="191"/>
        <v>31</v>
      </c>
      <c r="BC365" s="9" t="str">
        <f t="shared" si="192"/>
        <v>-</v>
      </c>
      <c r="BD365" s="3">
        <f t="shared" si="193"/>
        <v>31</v>
      </c>
      <c r="BE365" s="3">
        <f t="shared" si="194"/>
        <v>37</v>
      </c>
    </row>
    <row r="366" spans="1:58" s="3" customFormat="1" x14ac:dyDescent="0.2">
      <c r="A366" s="3" t="s">
        <v>121</v>
      </c>
      <c r="B366" s="3" t="str">
        <f>LOWER(VLOOKUP(A366,Xtal_Templ!A:B,2,FALSE))</f>
        <v>grm1_human</v>
      </c>
      <c r="C366" s="3">
        <f>VLOOKUP($A366,'SegEnds_NonXtal_BW#'!$A:$Z,3,FALSE)+D366-50</f>
        <v>26</v>
      </c>
      <c r="D366" s="3">
        <v>42</v>
      </c>
      <c r="E366" s="3">
        <f>IF(ISERROR(VLOOKUP($A366,'SegEnds_NonXtal_BW#'!$A:$Z,4,FALSE)+VLOOKUP($A366,A:AL,4,FALSE)-50),"-",(VLOOKUP($A366,'SegEnds_NonXtal_BW#'!$A:$Z,4,FALSE)+VLOOKUP($A366,A:AL,4,FALSE)-50))</f>
        <v>52</v>
      </c>
      <c r="F366" s="3">
        <f t="shared" si="197"/>
        <v>53</v>
      </c>
      <c r="G366" s="3">
        <v>56</v>
      </c>
      <c r="H366" s="3">
        <f t="shared" si="198"/>
        <v>59</v>
      </c>
      <c r="I366" s="3">
        <f t="shared" si="199"/>
        <v>60</v>
      </c>
      <c r="J366" s="3">
        <v>75</v>
      </c>
      <c r="K366" s="3">
        <f>VLOOKUP($A366,'SegEnds_NonXtal_BW#'!$A:$Z,8,FALSE)+VLOOKUP($A366,A:AL,10,FALSE)-50</f>
        <v>86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91</v>
      </c>
      <c r="P366" s="3">
        <v>119</v>
      </c>
      <c r="Q366" s="3">
        <f>VLOOKUP($A366,'SegEnds_NonXtal_BW#'!$A:$Z,12,FALSE)+VLOOKUP($A366,A:AL,16,FALSE)-50</f>
        <v>123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130</v>
      </c>
      <c r="V366" s="3">
        <v>142</v>
      </c>
      <c r="W366" s="3">
        <f>IF(ISERROR(VLOOKUP($A366,'SegEnds_NonXtal_BW#'!$A:$Z,16,FALSE)+VLOOKUP($A366,A:AL,22,FALSE)-50),"-",(VLOOKUP($A366,'SegEnds_NonXtal_BW#'!$A:$Z,16,FALSE)+VLOOKUP($A366,A:AL,22,FALSE)-50))</f>
        <v>156</v>
      </c>
      <c r="X366" s="3" t="str">
        <f>IF(ISERROR(VLOOKUP($A366,'SegEnds_NonXtal_BW#'!$A:$Z,17,FALSE)+VLOOKUP($A366,A:AL,25,FALSE)-50),"-",(VLOOKUP($A366,'SegEnds_NonXtal_BW#'!$A:$Z,17,FALSE)+VLOOKUP($A366,A:AL,25,FALSE)-50))</f>
        <v>-</v>
      </c>
      <c r="Y366" s="3" t="s">
        <v>23</v>
      </c>
      <c r="Z366" s="3" t="str">
        <f>IF(ISERROR(VLOOKUP($A366,'SegEnds_NonXtal_BW#'!$A:$Z,18,FALSE)+VLOOKUP($A366,A:AL,25,FALSE)-50),"-",(VLOOKUP($A366,'SegEnds_NonXtal_BW#'!$A:$Z,18,FALSE)+VLOOKUP($A366,A:AL,25,FALSE)-50))</f>
        <v>-</v>
      </c>
      <c r="AA366" s="3">
        <f>IF(ISERROR(VLOOKUP($A366,'SegEnds_NonXtal_BW#'!$A:$Z,19,FALSE)+VLOOKUP($A366,A:AL,28,FALSE)-50),"-",(VLOOKUP($A366,'SegEnds_NonXtal_BW#'!$A:$Z,19,FALSE)+VLOOKUP($A366,A:AL,28,FALSE)-50))</f>
        <v>173</v>
      </c>
      <c r="AB366" s="3">
        <v>187</v>
      </c>
      <c r="AC366" s="3">
        <f>IF(ISERROR((VLOOKUP($A366,'SegEnds_NonXtal_BW#'!$A:$Z,20,FALSE)+VLOOKUP($A366,A:AL,28,FALSE)-50)),"-",(VLOOKUP($A366,'SegEnds_NonXtal_BW#'!$A:$Z,20,FALSE)+VLOOKUP($A366,A:AL,28,FALSE)-50))</f>
        <v>198</v>
      </c>
      <c r="AD366" s="3">
        <f>IF(ISERROR(VLOOKUP($A366,'SegEnds_NonXtal_BW#'!$A:$Z,21,FALSE)+VLOOKUP($A366,A:AL,31,FALSE)-50),"-",(VLOOKUP($A366,'SegEnds_NonXtal_BW#'!$A:$Z,21,FALSE)+VLOOKUP($A366,A:AL,31,FALSE)-50))</f>
        <v>209</v>
      </c>
      <c r="AE366" s="3">
        <v>226</v>
      </c>
      <c r="AF366" s="3">
        <f>IF(ISERROR((VLOOKUP($A366,'SegEnds_NonXtal_BW#'!$A:$Z,22,FALSE)+VLOOKUP($A366,A:AL,31,FALSE)-50)),"-",(VLOOKUP($A366,'SegEnds_NonXtal_BW#'!$A:$Z,22,FALSE)+VLOOKUP($A366,A:AL,31,FALSE)-50))</f>
        <v>233</v>
      </c>
      <c r="AG366" s="3">
        <f>IF(ISERROR(VLOOKUP($A366,'SegEnds_NonXtal_BW#'!$A:$Z,23,FALSE)+VLOOKUP($A366,A:AL,34,FALSE)-50),"-",(VLOOKUP($A366,'SegEnds_NonXtal_BW#'!$A:$Z,23,FALSE)+VLOOKUP($A366,A:AL,34,FALSE)-50))</f>
        <v>240</v>
      </c>
      <c r="AH366" s="3">
        <v>257</v>
      </c>
      <c r="AI366" s="3">
        <f>IF(ISERROR((VLOOKUP($A366,'SegEnds_NonXtal_BW#'!$A:$Z,24,FALSE)+VLOOKUP($A366,A:AL,34,FALSE)-50)),"-",(VLOOKUP($A366,'SegEnds_NonXtal_BW#'!$A:$Z,24,FALSE)+VLOOKUP($A366,A:AL,34,FALSE)-50))</f>
        <v>271</v>
      </c>
      <c r="AJ366" s="3">
        <v>273</v>
      </c>
      <c r="AK366" s="3">
        <v>278</v>
      </c>
      <c r="AL366" s="3">
        <v>285</v>
      </c>
      <c r="AM366" s="28" t="str">
        <f>VLOOKUP(A366,Classification!A:B,2,FALSE)</f>
        <v>C</v>
      </c>
      <c r="AN366" s="28" t="b">
        <f t="shared" si="195"/>
        <v>1</v>
      </c>
      <c r="AO366" s="3" t="str">
        <f>IF(ISERROR(MATCH(A366,'SegEnds_Xtal_Prot#'!B:B, 0)), "NoXtal", "Xtal")</f>
        <v>NoXtal</v>
      </c>
      <c r="AP366" s="3">
        <f t="shared" si="180"/>
        <v>1</v>
      </c>
      <c r="AQ366" s="3">
        <f t="shared" si="181"/>
        <v>1</v>
      </c>
      <c r="AR366" s="3" t="str">
        <f t="shared" si="182"/>
        <v>-</v>
      </c>
      <c r="AS366" s="3" t="str">
        <f t="shared" si="183"/>
        <v>-</v>
      </c>
      <c r="AT366" s="3" t="str">
        <f t="shared" si="184"/>
        <v>-</v>
      </c>
      <c r="AU366" s="3" t="str">
        <f t="shared" si="185"/>
        <v>-</v>
      </c>
      <c r="AV366" s="3" t="str">
        <f t="shared" si="186"/>
        <v>-</v>
      </c>
      <c r="AW366" s="3" t="str">
        <f t="shared" si="187"/>
        <v>-</v>
      </c>
      <c r="AX366" s="3">
        <f t="shared" si="188"/>
        <v>11</v>
      </c>
      <c r="AY366" s="3">
        <f t="shared" si="189"/>
        <v>7</v>
      </c>
      <c r="AZ366" s="3">
        <f t="shared" si="190"/>
        <v>2</v>
      </c>
      <c r="BA366" s="3">
        <f>IF(ISERROR(LEN(VLOOKUP(A366,Seqs!A:E,2,FALSE))-AL366),"-",LEN(VLOOKUP(A366,Seqs!A:E,2,FALSE))-AL366)</f>
        <v>72</v>
      </c>
      <c r="BB366" s="16">
        <f t="shared" si="191"/>
        <v>33</v>
      </c>
      <c r="BC366" s="9" t="str">
        <f t="shared" si="192"/>
        <v>-</v>
      </c>
      <c r="BD366" s="3">
        <f t="shared" si="193"/>
        <v>33</v>
      </c>
      <c r="BE366" s="3">
        <f t="shared" si="194"/>
        <v>39</v>
      </c>
    </row>
    <row r="367" spans="1:58" s="3" customFormat="1" ht="17" customHeight="1" x14ac:dyDescent="0.2">
      <c r="A367" s="3" t="s">
        <v>122</v>
      </c>
      <c r="B367" s="3" t="str">
        <f>LOWER(VLOOKUP(A367,Xtal_Templ!A:B,2,FALSE))</f>
        <v>grm1_human</v>
      </c>
      <c r="C367" s="3">
        <f>VLOOKUP($A367,'SegEnds_NonXtal_BW#'!$A:$Z,3,FALSE)+D367-50</f>
        <v>565</v>
      </c>
      <c r="D367" s="3">
        <v>581</v>
      </c>
      <c r="E367" s="3">
        <f>IF(ISERROR(VLOOKUP($A367,'SegEnds_NonXtal_BW#'!$A:$Z,4,FALSE)+VLOOKUP($A367,A:AL,4,FALSE)-50),"-",(VLOOKUP($A367,'SegEnds_NonXtal_BW#'!$A:$Z,4,FALSE)+VLOOKUP($A367,A:AL,4,FALSE)-50))</f>
        <v>591</v>
      </c>
      <c r="F367" s="3">
        <f t="shared" si="197"/>
        <v>594</v>
      </c>
      <c r="G367" s="3">
        <v>597</v>
      </c>
      <c r="H367" s="3">
        <f t="shared" si="198"/>
        <v>600</v>
      </c>
      <c r="I367" s="3">
        <f t="shared" si="199"/>
        <v>601</v>
      </c>
      <c r="J367" s="3">
        <v>612</v>
      </c>
      <c r="K367" s="3">
        <f>VLOOKUP($A367,'SegEnds_NonXtal_BW#'!$A:$Z,8,FALSE)+VLOOKUP($A367,A:AL,10,FALSE)-50</f>
        <v>623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628</v>
      </c>
      <c r="P367" s="3">
        <v>656</v>
      </c>
      <c r="Q367" s="3">
        <f>VLOOKUP($A367,'SegEnds_NonXtal_BW#'!$A:$Z,12,FALSE)+VLOOKUP($A367,A:AL,16,FALSE)-50</f>
        <v>660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675</v>
      </c>
      <c r="V367" s="3">
        <v>687</v>
      </c>
      <c r="W367" s="3">
        <f>IF(ISERROR(VLOOKUP($A367,'SegEnds_NonXtal_BW#'!$A:$Z,16,FALSE)+VLOOKUP($A367,A:AL,22,FALSE)-50),"-",(VLOOKUP($A367,'SegEnds_NonXtal_BW#'!$A:$Z,16,FALSE)+VLOOKUP($A367,A:AL,22,FALSE)-50))</f>
        <v>701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ref="Z367:Z380" si="201">Y367+2</f>
        <v>722</v>
      </c>
      <c r="AA367" s="3">
        <f>IF(ISERROR(VLOOKUP($A367,'SegEnds_NonXtal_BW#'!$A:$Z,19,FALSE)+VLOOKUP($A367,A:AL,28,FALSE)-50),"-",(VLOOKUP($A367,'SegEnds_NonXtal_BW#'!$A:$Z,19,FALSE)+VLOOKUP($A367,A:AL,28,FALSE)-50))</f>
        <v>724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787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195"/>
        <v>1</v>
      </c>
      <c r="AO367" s="3" t="str">
        <f>IF(ISERROR(MATCH(A367,'SegEnds_Xtal_Prot#'!B:B, 0)), "NoXtal", "Xtal")</f>
        <v>NoXtal</v>
      </c>
      <c r="AP367" s="3">
        <f t="shared" si="180"/>
        <v>3</v>
      </c>
      <c r="AQ367" s="3">
        <f t="shared" si="181"/>
        <v>1</v>
      </c>
      <c r="AR367" s="3" t="str">
        <f t="shared" si="182"/>
        <v>-</v>
      </c>
      <c r="AS367" s="3" t="str">
        <f t="shared" si="183"/>
        <v>-</v>
      </c>
      <c r="AT367" s="3" t="str">
        <f t="shared" si="184"/>
        <v>-</v>
      </c>
      <c r="AU367" s="3" t="str">
        <f t="shared" si="185"/>
        <v>-</v>
      </c>
      <c r="AV367" s="3">
        <f t="shared" si="186"/>
        <v>19</v>
      </c>
      <c r="AW367" s="3">
        <f t="shared" si="187"/>
        <v>2</v>
      </c>
      <c r="AX367" s="3">
        <f t="shared" si="188"/>
        <v>9</v>
      </c>
      <c r="AY367" s="3">
        <f t="shared" si="189"/>
        <v>5</v>
      </c>
      <c r="AZ367" s="3">
        <f t="shared" si="190"/>
        <v>1</v>
      </c>
      <c r="BA367" s="3">
        <f>IF(ISERROR(LEN(VLOOKUP(A367,Seqs!A:E,2,FALSE))-AL367),"-",LEN(VLOOKUP(A367,Seqs!A:E,2,FALSE))-AL367)</f>
        <v>11</v>
      </c>
      <c r="BB367" s="16">
        <f t="shared" si="191"/>
        <v>31</v>
      </c>
      <c r="BC367" s="9" t="str">
        <f t="shared" si="192"/>
        <v>-</v>
      </c>
      <c r="BD367" s="3">
        <f t="shared" si="193"/>
        <v>31</v>
      </c>
      <c r="BE367" s="3">
        <f t="shared" si="194"/>
        <v>37</v>
      </c>
      <c r="BF367" s="3">
        <f>AH367-AE367</f>
        <v>29</v>
      </c>
    </row>
    <row r="368" spans="1:58" s="3" customFormat="1" x14ac:dyDescent="0.2">
      <c r="A368" s="3" t="s">
        <v>123</v>
      </c>
      <c r="B368" s="3" t="str">
        <f>LOWER(VLOOKUP(A368,Xtal_Templ!A:B,2,FALSE))</f>
        <v>grm1_human</v>
      </c>
      <c r="C368" s="3">
        <f>VLOOKUP($A368,'SegEnds_NonXtal_BW#'!$A:$Z,3,FALSE)+D368-50</f>
        <v>564</v>
      </c>
      <c r="D368" s="3">
        <v>580</v>
      </c>
      <c r="E368" s="3">
        <f>IF(ISERROR(VLOOKUP($A368,'SegEnds_NonXtal_BW#'!$A:$Z,4,FALSE)+VLOOKUP($A368,A:AL,4,FALSE)-50),"-",(VLOOKUP($A368,'SegEnds_NonXtal_BW#'!$A:$Z,4,FALSE)+VLOOKUP($A368,A:AL,4,FALSE)-50))</f>
        <v>590</v>
      </c>
      <c r="F368" s="3">
        <f t="shared" si="197"/>
        <v>593</v>
      </c>
      <c r="G368" s="3">
        <v>596</v>
      </c>
      <c r="H368" s="3">
        <f t="shared" si="198"/>
        <v>599</v>
      </c>
      <c r="I368" s="3">
        <f t="shared" si="199"/>
        <v>600</v>
      </c>
      <c r="J368" s="3">
        <v>611</v>
      </c>
      <c r="K368" s="3">
        <f>VLOOKUP($A368,'SegEnds_NonXtal_BW#'!$A:$Z,8,FALSE)+VLOOKUP($A368,A:AL,10,FALSE)-50</f>
        <v>622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627</v>
      </c>
      <c r="P368" s="3">
        <v>655</v>
      </c>
      <c r="Q368" s="3">
        <f>VLOOKUP($A368,'SegEnds_NonXtal_BW#'!$A:$Z,12,FALSE)+VLOOKUP($A368,A:AL,16,FALSE)-50</f>
        <v>659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674</v>
      </c>
      <c r="V368" s="3">
        <v>686</v>
      </c>
      <c r="W368" s="3">
        <f>IF(ISERROR(VLOOKUP($A368,'SegEnds_NonXtal_BW#'!$A:$Z,16,FALSE)+VLOOKUP($A368,A:AL,22,FALSE)-50),"-",(VLOOKUP($A368,'SegEnds_NonXtal_BW#'!$A:$Z,16,FALSE)+VLOOKUP($A368,A:AL,22,FALSE)-50))</f>
        <v>700</v>
      </c>
      <c r="X368" s="3">
        <f>IF(ISERROR(VLOOKUP($A368,'SegEnds_NonXtal_BW#'!$A:$Z,17,FALSE)+VLOOKUP($A368,A:AL,25,FALSE)-50),"-",(VLOOKUP($A368,'SegEnds_NonXtal_BW#'!$A:$Z,17,FALSE)+VLOOKUP($A368,A:AL,25,FALSE)-50))</f>
        <v>720</v>
      </c>
      <c r="Y368" s="3">
        <v>720</v>
      </c>
      <c r="Z368" s="3">
        <f t="shared" si="201"/>
        <v>722</v>
      </c>
      <c r="AA368" s="3">
        <f>IF(ISERROR(VLOOKUP($A368,'SegEnds_NonXtal_BW#'!$A:$Z,19,FALSE)+VLOOKUP($A368,A:AL,28,FALSE)-50),"-",(VLOOKUP($A368,'SegEnds_NonXtal_BW#'!$A:$Z,19,FALSE)+VLOOKUP($A368,A:AL,28,FALSE)-50))</f>
        <v>724</v>
      </c>
      <c r="AB368" s="3">
        <v>738</v>
      </c>
      <c r="AC368" s="3">
        <f>IF(ISERROR((VLOOKUP($A368,'SegEnds_NonXtal_BW#'!$A:$Z,20,FALSE)+VLOOKUP($A368,A:AL,28,FALSE)-50)),"-",(VLOOKUP($A368,'SegEnds_NonXtal_BW#'!$A:$Z,20,FALSE)+VLOOKUP($A368,A:AL,28,FALSE)-50))</f>
        <v>749</v>
      </c>
      <c r="AD368" s="3">
        <f>IF(ISERROR(VLOOKUP($A368,'SegEnds_NonXtal_BW#'!$A:$Z,21,FALSE)+VLOOKUP($A368,A:AL,31,FALSE)-50),"-",(VLOOKUP($A368,'SegEnds_NonXtal_BW#'!$A:$Z,21,FALSE)+VLOOKUP($A368,A:AL,31,FALSE)-50))</f>
        <v>758</v>
      </c>
      <c r="AE368" s="3">
        <v>775</v>
      </c>
      <c r="AF368" s="3">
        <f>IF(ISERROR((VLOOKUP($A368,'SegEnds_NonXtal_BW#'!$A:$Z,22,FALSE)+VLOOKUP($A368,A:AL,31,FALSE)-50)),"-",(VLOOKUP($A368,'SegEnds_NonXtal_BW#'!$A:$Z,22,FALSE)+VLOOKUP($A368,A:AL,31,FALSE)-50))</f>
        <v>782</v>
      </c>
      <c r="AG368" s="3">
        <f>IF(ISERROR(VLOOKUP($A368,'SegEnds_NonXtal_BW#'!$A:$Z,23,FALSE)+VLOOKUP($A368,A:AL,34,FALSE)-50),"-",(VLOOKUP($A368,'SegEnds_NonXtal_BW#'!$A:$Z,23,FALSE)+VLOOKUP($A368,A:AL,34,FALSE)-50))</f>
        <v>787</v>
      </c>
      <c r="AH368" s="3">
        <v>804</v>
      </c>
      <c r="AI368" s="3">
        <f>IF(ISERROR((VLOOKUP($A368,'SegEnds_NonXtal_BW#'!$A:$Z,24,FALSE)+VLOOKUP($A368,A:AL,34,FALSE)-50)),"-",(VLOOKUP($A368,'SegEnds_NonXtal_BW#'!$A:$Z,24,FALSE)+VLOOKUP($A368,A:AL,34,FALSE)-50))</f>
        <v>818</v>
      </c>
      <c r="AJ368" s="3">
        <f>IF(ISERROR(VLOOKUP($A368,'SegEnds_NonXtal_BW#'!$A:$Z,25,FALSE)+VLOOKUP($A368,A:AL,37,FALSE)-50),"-",(VLOOKUP($A368,'SegEnds_NonXtal_BW#'!$A:$Z,25,FALSE)+VLOOKUP($A368,A:AL,37,FALSE)-50))</f>
        <v>819</v>
      </c>
      <c r="AK368" s="3">
        <v>823</v>
      </c>
      <c r="AL368" s="3">
        <f>IF(ISERROR((VLOOKUP($A368,'SegEnds_NonXtal_BW#'!$A:$Z,26,FALSE)+VLOOKUP($A368,A:AL,37,FALSE)-50)),"-",(VLOOKUP($A368,'SegEnds_NonXtal_BW#'!$A:$Z,26,FALSE)+VLOOKUP($A368,A:AL,37,FALSE)-50))</f>
        <v>830</v>
      </c>
      <c r="AM368" s="28" t="str">
        <f>VLOOKUP(A368,Classification!A:B,2,FALSE)</f>
        <v>C</v>
      </c>
      <c r="AN368" s="28" t="b">
        <f t="shared" si="195"/>
        <v>1</v>
      </c>
      <c r="AO368" s="3" t="str">
        <f>IF(ISERROR(MATCH(A368,'SegEnds_Xtal_Prot#'!B:B, 0)), "NoXtal", "Xtal")</f>
        <v>NoXtal</v>
      </c>
      <c r="AP368" s="3">
        <f t="shared" si="180"/>
        <v>3</v>
      </c>
      <c r="AQ368" s="3">
        <f t="shared" si="181"/>
        <v>1</v>
      </c>
      <c r="AR368" s="3" t="str">
        <f t="shared" si="182"/>
        <v>-</v>
      </c>
      <c r="AS368" s="3" t="str">
        <f t="shared" si="183"/>
        <v>-</v>
      </c>
      <c r="AT368" s="3" t="str">
        <f t="shared" si="184"/>
        <v>-</v>
      </c>
      <c r="AU368" s="3" t="str">
        <f t="shared" si="185"/>
        <v>-</v>
      </c>
      <c r="AV368" s="3">
        <f t="shared" si="186"/>
        <v>20</v>
      </c>
      <c r="AW368" s="3">
        <f t="shared" si="187"/>
        <v>2</v>
      </c>
      <c r="AX368" s="3">
        <f t="shared" si="188"/>
        <v>9</v>
      </c>
      <c r="AY368" s="3">
        <f t="shared" si="189"/>
        <v>5</v>
      </c>
      <c r="AZ368" s="3">
        <f t="shared" si="190"/>
        <v>1</v>
      </c>
      <c r="BA368" s="3">
        <f>IF(ISERROR(LEN(VLOOKUP(A368,Seqs!A:E,2,FALSE))-AL368),"-",LEN(VLOOKUP(A368,Seqs!A:E,2,FALSE))-AL368)</f>
        <v>9</v>
      </c>
      <c r="BB368" s="16">
        <f t="shared" si="191"/>
        <v>31</v>
      </c>
      <c r="BC368" s="9" t="str">
        <f t="shared" si="192"/>
        <v>-</v>
      </c>
      <c r="BD368" s="3">
        <f t="shared" si="193"/>
        <v>31</v>
      </c>
      <c r="BE368" s="3">
        <f t="shared" si="194"/>
        <v>37</v>
      </c>
      <c r="BF368" s="3">
        <f>AH368-AE368</f>
        <v>29</v>
      </c>
    </row>
    <row r="369" spans="1:58" s="3" customFormat="1" x14ac:dyDescent="0.2">
      <c r="A369" s="3" t="s">
        <v>124</v>
      </c>
      <c r="B369" s="3" t="str">
        <f>LOWER(VLOOKUP(A369,Xtal_Templ!A:B,2,FALSE))</f>
        <v>grm1_human</v>
      </c>
      <c r="C369" s="3">
        <f>VLOOKUP($A369,'SegEnds_NonXtal_BW#'!$A:$Z,3,FALSE)+D369-50</f>
        <v>567</v>
      </c>
      <c r="D369" s="3">
        <v>583</v>
      </c>
      <c r="E369" s="3">
        <f>IF(ISERROR(VLOOKUP($A369,'SegEnds_NonXtal_BW#'!$A:$Z,4,FALSE)+VLOOKUP($A369,A:AL,4,FALSE)-50),"-",(VLOOKUP($A369,'SegEnds_NonXtal_BW#'!$A:$Z,4,FALSE)+VLOOKUP($A369,A:AL,4,FALSE)-50))</f>
        <v>593</v>
      </c>
      <c r="F369" s="3">
        <f t="shared" si="197"/>
        <v>596</v>
      </c>
      <c r="G369" s="3">
        <v>599</v>
      </c>
      <c r="H369" s="3">
        <f t="shared" si="198"/>
        <v>602</v>
      </c>
      <c r="I369" s="3">
        <f t="shared" si="199"/>
        <v>603</v>
      </c>
      <c r="J369" s="3">
        <v>614</v>
      </c>
      <c r="K369" s="3">
        <f>VLOOKUP($A369,'SegEnds_NonXtal_BW#'!$A:$Z,8,FALSE)+VLOOKUP($A369,A:AL,10,FALSE)-50</f>
        <v>625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630</v>
      </c>
      <c r="P369" s="3">
        <v>658</v>
      </c>
      <c r="Q369" s="3">
        <f>VLOOKUP($A369,'SegEnds_NonXtal_BW#'!$A:$Z,12,FALSE)+VLOOKUP($A369,A:AL,16,FALSE)-50</f>
        <v>662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677</v>
      </c>
      <c r="V369" s="3">
        <v>689</v>
      </c>
      <c r="W369" s="3">
        <f>IF(ISERROR(VLOOKUP($A369,'SegEnds_NonXtal_BW#'!$A:$Z,16,FALSE)+VLOOKUP($A369,A:AL,22,FALSE)-50),"-",(VLOOKUP($A369,'SegEnds_NonXtal_BW#'!$A:$Z,16,FALSE)+VLOOKUP($A369,A:AL,22,FALSE)-50))</f>
        <v>703</v>
      </c>
      <c r="X369" s="3">
        <f>IF(ISERROR(VLOOKUP($A369,'SegEnds_NonXtal_BW#'!$A:$Z,17,FALSE)+VLOOKUP($A369,A:AL,25,FALSE)-50),"-",(VLOOKUP($A369,'SegEnds_NonXtal_BW#'!$A:$Z,17,FALSE)+VLOOKUP($A369,A:AL,25,FALSE)-50))</f>
        <v>722</v>
      </c>
      <c r="Y369" s="3">
        <v>722</v>
      </c>
      <c r="Z369" s="3">
        <f t="shared" si="201"/>
        <v>724</v>
      </c>
      <c r="AA369" s="3">
        <f>IF(ISERROR(VLOOKUP($A369,'SegEnds_NonXtal_BW#'!$A:$Z,19,FALSE)+VLOOKUP($A369,A:AL,28,FALSE)-50),"-",(VLOOKUP($A369,'SegEnds_NonXtal_BW#'!$A:$Z,19,FALSE)+VLOOKUP($A369,A:AL,28,FALSE)-50))</f>
        <v>726</v>
      </c>
      <c r="AB369" s="3">
        <v>740</v>
      </c>
      <c r="AC369" s="3">
        <f>IF(ISERROR((VLOOKUP($A369,'SegEnds_NonXtal_BW#'!$A:$Z,20,FALSE)+VLOOKUP($A369,A:AL,28,FALSE)-50)),"-",(VLOOKUP($A369,'SegEnds_NonXtal_BW#'!$A:$Z,20,FALSE)+VLOOKUP($A369,A:AL,28,FALSE)-50))</f>
        <v>751</v>
      </c>
      <c r="AD369" s="3">
        <f>IF(ISERROR(VLOOKUP($A369,'SegEnds_NonXtal_BW#'!$A:$Z,21,FALSE)+VLOOKUP($A369,A:AL,31,FALSE)-50),"-",(VLOOKUP($A369,'SegEnds_NonXtal_BW#'!$A:$Z,21,FALSE)+VLOOKUP($A369,A:AL,31,FALSE)-50))</f>
        <v>760</v>
      </c>
      <c r="AE369" s="3">
        <v>777</v>
      </c>
      <c r="AF369" s="3">
        <f>IF(ISERROR((VLOOKUP($A369,'SegEnds_NonXtal_BW#'!$A:$Z,22,FALSE)+VLOOKUP($A369,A:AL,31,FALSE)-50)),"-",(VLOOKUP($A369,'SegEnds_NonXtal_BW#'!$A:$Z,22,FALSE)+VLOOKUP($A369,A:AL,31,FALSE)-50))</f>
        <v>784</v>
      </c>
      <c r="AG369" s="3">
        <f>IF(ISERROR(VLOOKUP($A369,'SegEnds_NonXtal_BW#'!$A:$Z,23,FALSE)+VLOOKUP($A369,A:AL,34,FALSE)-50),"-",(VLOOKUP($A369,'SegEnds_NonXtal_BW#'!$A:$Z,23,FALSE)+VLOOKUP($A369,A:AL,34,FALSE)-50))</f>
        <v>789</v>
      </c>
      <c r="AH369" s="3">
        <v>806</v>
      </c>
      <c r="AI369" s="3">
        <f>IF(ISERROR((VLOOKUP($A369,'SegEnds_NonXtal_BW#'!$A:$Z,24,FALSE)+VLOOKUP($A369,A:AL,34,FALSE)-50)),"-",(VLOOKUP($A369,'SegEnds_NonXtal_BW#'!$A:$Z,24,FALSE)+VLOOKUP($A369,A:AL,34,FALSE)-50))</f>
        <v>820</v>
      </c>
      <c r="AJ369" s="3">
        <f>IF(ISERROR(VLOOKUP($A369,'SegEnds_NonXtal_BW#'!$A:$Z,25,FALSE)+VLOOKUP($A369,A:AL,37,FALSE)-50),"-",(VLOOKUP($A369,'SegEnds_NonXtal_BW#'!$A:$Z,25,FALSE)+VLOOKUP($A369,A:AL,37,FALSE)-50))</f>
        <v>821</v>
      </c>
      <c r="AK369" s="3">
        <v>825</v>
      </c>
      <c r="AL369" s="3">
        <f>IF(ISERROR((VLOOKUP($A369,'SegEnds_NonXtal_BW#'!$A:$Z,26,FALSE)+VLOOKUP($A369,A:AL,37,FALSE)-50)),"-",(VLOOKUP($A369,'SegEnds_NonXtal_BW#'!$A:$Z,26,FALSE)+VLOOKUP($A369,A:AL,37,FALSE)-50))</f>
        <v>832</v>
      </c>
      <c r="AM369" s="28" t="str">
        <f>VLOOKUP(A369,Classification!A:B,2,FALSE)</f>
        <v>C</v>
      </c>
      <c r="AN369" s="28" t="b">
        <f t="shared" si="195"/>
        <v>1</v>
      </c>
      <c r="AO369" s="3" t="str">
        <f>IF(ISERROR(MATCH(A369,'SegEnds_Xtal_Prot#'!B:B, 0)), "NoXtal", "Xtal")</f>
        <v>NoXtal</v>
      </c>
      <c r="AP369" s="3">
        <f t="shared" si="180"/>
        <v>3</v>
      </c>
      <c r="AQ369" s="3">
        <f t="shared" si="181"/>
        <v>1</v>
      </c>
      <c r="AR369" s="3" t="str">
        <f t="shared" si="182"/>
        <v>-</v>
      </c>
      <c r="AS369" s="3" t="str">
        <f t="shared" si="183"/>
        <v>-</v>
      </c>
      <c r="AT369" s="3" t="str">
        <f t="shared" si="184"/>
        <v>-</v>
      </c>
      <c r="AU369" s="3" t="str">
        <f t="shared" si="185"/>
        <v>-</v>
      </c>
      <c r="AV369" s="3">
        <f t="shared" si="186"/>
        <v>19</v>
      </c>
      <c r="AW369" s="3">
        <f t="shared" si="187"/>
        <v>2</v>
      </c>
      <c r="AX369" s="3">
        <f t="shared" si="188"/>
        <v>9</v>
      </c>
      <c r="AY369" s="3">
        <f t="shared" si="189"/>
        <v>5</v>
      </c>
      <c r="AZ369" s="3">
        <f t="shared" si="190"/>
        <v>1</v>
      </c>
      <c r="BA369" s="3">
        <f>IF(ISERROR(LEN(VLOOKUP(A369,Seqs!A:E,2,FALSE))-AL369),"-",LEN(VLOOKUP(A369,Seqs!A:E,2,FALSE))-AL369)</f>
        <v>20</v>
      </c>
      <c r="BB369" s="16">
        <f t="shared" si="191"/>
        <v>31</v>
      </c>
      <c r="BC369" s="9" t="str">
        <f t="shared" si="192"/>
        <v>-</v>
      </c>
      <c r="BD369" s="3">
        <f t="shared" si="193"/>
        <v>31</v>
      </c>
      <c r="BE369" s="3">
        <f t="shared" si="194"/>
        <v>37</v>
      </c>
      <c r="BF369" s="3">
        <f>AH369-AE369</f>
        <v>29</v>
      </c>
    </row>
    <row r="370" spans="1:58" s="3" customFormat="1" x14ac:dyDescent="0.2">
      <c r="A370" s="3" t="s">
        <v>446</v>
      </c>
      <c r="B370" s="3" t="str">
        <f>LOWER(VLOOKUP(A370,Xtal_Templ!A:B,2,FALSE))</f>
        <v>fzd4_human</v>
      </c>
      <c r="C370" s="3">
        <f>VLOOKUP($A370,'SegEnds_NonXtal_BW#'!$A:$Z,3,FALSE)+D370-50</f>
        <v>312</v>
      </c>
      <c r="D370" s="3">
        <v>334</v>
      </c>
      <c r="E370" s="3">
        <f>IF(ISERROR(VLOOKUP($A370,'SegEnds_NonXtal_BW#'!$A:$Z,4,FALSE)+VLOOKUP($A370,A:AL,4,FALSE)-50),"-",(VLOOKUP($A370,'SegEnds_NonXtal_BW#'!$A:$Z,4,FALSE)+VLOOKUP($A370,A:AL,4,FALSE)-50))</f>
        <v>344</v>
      </c>
      <c r="F370" s="3">
        <f t="shared" si="197"/>
        <v>345</v>
      </c>
      <c r="G370" s="3">
        <v>348</v>
      </c>
      <c r="H370" s="3">
        <f t="shared" ref="H370:H380" si="202">G370+1</f>
        <v>349</v>
      </c>
      <c r="I370" s="3">
        <f t="shared" si="199"/>
        <v>350</v>
      </c>
      <c r="J370" s="3">
        <v>360</v>
      </c>
      <c r="K370" s="3">
        <f>VLOOKUP($A370,'SegEnds_NonXtal_BW#'!$A:$Z,8,FALSE)+VLOOKUP($A370,A:AL,10,FALSE)-50</f>
        <v>376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399</v>
      </c>
      <c r="P370" s="3">
        <v>427</v>
      </c>
      <c r="Q370" s="3">
        <f>VLOOKUP($A370,'SegEnds_NonXtal_BW#'!$A:$Z,12,FALSE)+VLOOKUP($A370,A:AL,16,FALSE)-50</f>
        <v>432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443</v>
      </c>
      <c r="V370" s="3">
        <v>452</v>
      </c>
      <c r="W370" s="3">
        <f>IF(ISERROR(VLOOKUP($A370,'SegEnds_NonXtal_BW#'!$A:$Z,16,FALSE)+VLOOKUP($A370,A:AL,22,FALSE)-50),"-",(VLOOKUP($A370,'SegEnds_NonXtal_BW#'!$A:$Z,16,FALSE)+VLOOKUP($A370,A:AL,22,FALSE)-50))</f>
        <v>466</v>
      </c>
      <c r="X370" s="3">
        <f>IF(ISERROR(VLOOKUP($A370,'SegEnds_NonXtal_BW#'!$A:$Z,17,FALSE)+VLOOKUP($A370,A:AL,25,FALSE)-50),"-",(VLOOKUP($A370,'SegEnds_NonXtal_BW#'!$A:$Z,17,FALSE)+VLOOKUP($A370,A:AL,25,FALSE)-50))</f>
        <v>477</v>
      </c>
      <c r="Y370" s="3">
        <v>477</v>
      </c>
      <c r="Z370" s="3">
        <f t="shared" si="201"/>
        <v>479</v>
      </c>
      <c r="AA370" s="3">
        <f>IF(ISERROR(VLOOKUP($A370,'SegEnds_NonXtal_BW#'!$A:$Z,19,FALSE)+VLOOKUP($A370,A:AL,28,FALSE)-50),"-",(VLOOKUP($A370,'SegEnds_NonXtal_BW#'!$A:$Z,19,FALSE)+VLOOKUP($A370,A:AL,28,FALSE)-50))</f>
        <v>483</v>
      </c>
      <c r="AB370" s="3">
        <v>498</v>
      </c>
      <c r="AC370" s="3">
        <f>IF(ISERROR((VLOOKUP($A370,'SegEnds_NonXtal_BW#'!$A:$Z,20,FALSE)+VLOOKUP($A370,A:AL,28,FALSE)-50)),"-",(VLOOKUP($A370,'SegEnds_NonXtal_BW#'!$A:$Z,20,FALSE)+VLOOKUP($A370,A:AL,28,FALSE)-50))</f>
        <v>520</v>
      </c>
      <c r="AD370" s="3">
        <f>IF(ISERROR(VLOOKUP($A370,'SegEnds_NonXtal_BW#'!$A:$Z,21,FALSE)+VLOOKUP($A370,A:AL,31,FALSE)-50),"-",(VLOOKUP($A370,'SegEnds_NonXtal_BW#'!$A:$Z,21,FALSE)+VLOOKUP($A370,A:AL,31,FALSE)-50))</f>
        <v>531</v>
      </c>
      <c r="AE370" s="3">
        <v>553</v>
      </c>
      <c r="AF370" s="3">
        <f>IF(ISERROR((VLOOKUP($A370,'SegEnds_NonXtal_BW#'!$A:$Z,22,FALSE)+VLOOKUP($A370,A:AL,31,FALSE)-50)),"-",(VLOOKUP($A370,'SegEnds_NonXtal_BW#'!$A:$Z,22,FALSE)+VLOOKUP($A370,A:AL,31,FALSE)-50))</f>
        <v>581</v>
      </c>
      <c r="AG370" s="3">
        <f>IF(ISERROR(VLOOKUP($A370,'SegEnds_NonXtal_BW#'!$A:$Z,23,FALSE)+VLOOKUP($A370,A:AL,34,FALSE)-50),"-",(VLOOKUP($A370,'SegEnds_NonXtal_BW#'!$A:$Z,23,FALSE)+VLOOKUP($A370,A:AL,34,FALSE)-50))</f>
        <v>599</v>
      </c>
      <c r="AH370" s="3">
        <v>615</v>
      </c>
      <c r="AI370" s="3">
        <f>IF(ISERROR((VLOOKUP($A370,'SegEnds_NonXtal_BW#'!$A:$Z,24,FALSE)+VLOOKUP($A370,A:AL,34,FALSE)-50)),"-",(VLOOKUP($A370,'SegEnds_NonXtal_BW#'!$A:$Z,24,FALSE)+VLOOKUP($A370,A:AL,34,FALSE)-50))</f>
        <v>622</v>
      </c>
      <c r="AJ370" s="3">
        <f>IF(ISERROR(VLOOKUP($A370,'SegEnds_NonXtal_BW#'!$A:$Z,25,FALSE)+VLOOKUP($A370,A:AL,37,FALSE)-50),"-",(VLOOKUP($A370,'SegEnds_NonXtal_BW#'!$A:$Z,25,FALSE)+VLOOKUP($A370,A:AL,37,FALSE)-50))</f>
        <v>623</v>
      </c>
      <c r="AK370" s="3">
        <v>626</v>
      </c>
      <c r="AL370" s="3">
        <f>IF(ISERROR((VLOOKUP($A370,'SegEnds_NonXtal_BW#'!$A:$Z,26,FALSE)+VLOOKUP($A370,A:AL,37,FALSE)-50)),"-",(VLOOKUP($A370,'SegEnds_NonXtal_BW#'!$A:$Z,26,FALSE)+VLOOKUP($A370,A:AL,37,FALSE)-50))</f>
        <v>638</v>
      </c>
      <c r="AM370" s="28" t="str">
        <f>VLOOKUP(A370,Classification!A:B,2,FALSE)</f>
        <v>F</v>
      </c>
      <c r="AN370" s="28" t="b">
        <f t="shared" si="195"/>
        <v>1</v>
      </c>
      <c r="AO370" s="3" t="str">
        <f>IF(ISERROR(MATCH(A370,'SegEnds_Xtal_Prot#'!B:B, 0)), "NoXtal", "Xtal")</f>
        <v>NoXtal</v>
      </c>
      <c r="AP370" s="3">
        <f t="shared" si="180"/>
        <v>1</v>
      </c>
      <c r="AQ370" s="3">
        <f t="shared" si="181"/>
        <v>1</v>
      </c>
      <c r="AR370" s="3" t="str">
        <f t="shared" si="182"/>
        <v>-</v>
      </c>
      <c r="AS370" s="3" t="str">
        <f t="shared" si="183"/>
        <v>-</v>
      </c>
      <c r="AT370" s="3" t="str">
        <f t="shared" si="184"/>
        <v>-</v>
      </c>
      <c r="AU370" s="3" t="str">
        <f t="shared" si="185"/>
        <v>-</v>
      </c>
      <c r="AV370" s="3">
        <f t="shared" si="186"/>
        <v>11</v>
      </c>
      <c r="AW370" s="3">
        <f t="shared" si="187"/>
        <v>4</v>
      </c>
      <c r="AX370" s="3">
        <f t="shared" si="188"/>
        <v>11</v>
      </c>
      <c r="AY370" s="3">
        <f t="shared" si="189"/>
        <v>18</v>
      </c>
      <c r="AZ370" s="3">
        <f t="shared" si="190"/>
        <v>1</v>
      </c>
      <c r="BA370" s="3">
        <f>IF(ISERROR(LEN(VLOOKUP(A370,Seqs!A:E,2,FALSE))-AL370),"-",LEN(VLOOKUP(A370,Seqs!A:E,2,FALSE))-AL370)</f>
        <v>9</v>
      </c>
      <c r="BB370" s="16">
        <f t="shared" si="191"/>
        <v>26</v>
      </c>
      <c r="BC370" s="9" t="str">
        <f t="shared" si="192"/>
        <v>-</v>
      </c>
      <c r="BD370" s="3">
        <f t="shared" si="193"/>
        <v>26</v>
      </c>
      <c r="BE370" s="3">
        <f t="shared" si="194"/>
        <v>55</v>
      </c>
      <c r="BF370" s="3">
        <f>AH370-AE370</f>
        <v>62</v>
      </c>
    </row>
    <row r="371" spans="1:58" s="3" customFormat="1" x14ac:dyDescent="0.2">
      <c r="A371" s="3" t="s">
        <v>447</v>
      </c>
      <c r="B371" s="3" t="str">
        <f>LOWER(VLOOKUP(A371,Xtal_Templ!A:B,2,FALSE))</f>
        <v>fzd4_human</v>
      </c>
      <c r="C371" s="3">
        <f>VLOOKUP($A371,'SegEnds_NonXtal_BW#'!$A:$Z,3,FALSE)+D371-50</f>
        <v>220</v>
      </c>
      <c r="D371" s="3">
        <v>242</v>
      </c>
      <c r="E371" s="3">
        <f>IF(ISERROR(VLOOKUP($A371,'SegEnds_NonXtal_BW#'!$A:$Z,4,FALSE)+VLOOKUP($A371,A:AL,4,FALSE)-50),"-",(VLOOKUP($A371,'SegEnds_NonXtal_BW#'!$A:$Z,4,FALSE)+VLOOKUP($A371,A:AL,4,FALSE)-50))</f>
        <v>252</v>
      </c>
      <c r="F371" s="3">
        <f t="shared" si="197"/>
        <v>253</v>
      </c>
      <c r="G371" s="3">
        <v>256</v>
      </c>
      <c r="H371" s="3">
        <f t="shared" si="202"/>
        <v>257</v>
      </c>
      <c r="I371" s="3">
        <f t="shared" si="199"/>
        <v>258</v>
      </c>
      <c r="J371" s="3">
        <v>268</v>
      </c>
      <c r="K371" s="3">
        <f>VLOOKUP($A371,'SegEnds_NonXtal_BW#'!$A:$Z,8,FALSE)+VLOOKUP($A371,A:AL,10,FALSE)-50</f>
        <v>284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306</v>
      </c>
      <c r="P371" s="3">
        <v>334</v>
      </c>
      <c r="Q371" s="3">
        <f>VLOOKUP($A371,'SegEnds_NonXtal_BW#'!$A:$Z,12,FALSE)+VLOOKUP($A371,A:AL,16,FALSE)-50</f>
        <v>339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350</v>
      </c>
      <c r="V371" s="3">
        <v>359</v>
      </c>
      <c r="W371" s="3">
        <f>IF(ISERROR(VLOOKUP($A371,'SegEnds_NonXtal_BW#'!$A:$Z,16,FALSE)+VLOOKUP($A371,A:AL,22,FALSE)-50),"-",(VLOOKUP($A371,'SegEnds_NonXtal_BW#'!$A:$Z,16,FALSE)+VLOOKUP($A371,A:AL,22,FALSE)-50))</f>
        <v>373</v>
      </c>
      <c r="X371" s="3">
        <f>IF(ISERROR(VLOOKUP($A371,'SegEnds_NonXtal_BW#'!$A:$Z,17,FALSE)+VLOOKUP($A371,A:AL,25,FALSE)-50),"-",(VLOOKUP($A371,'SegEnds_NonXtal_BW#'!$A:$Z,17,FALSE)+VLOOKUP($A371,A:AL,25,FALSE)-50))</f>
        <v>384</v>
      </c>
      <c r="Y371" s="3">
        <v>384</v>
      </c>
      <c r="Z371" s="3">
        <f t="shared" si="201"/>
        <v>386</v>
      </c>
      <c r="AA371" s="3">
        <f>IF(ISERROR(VLOOKUP($A371,'SegEnds_NonXtal_BW#'!$A:$Z,19,FALSE)+VLOOKUP($A371,A:AL,28,FALSE)-50),"-",(VLOOKUP($A371,'SegEnds_NonXtal_BW#'!$A:$Z,19,FALSE)+VLOOKUP($A371,A:AL,28,FALSE)-50))</f>
        <v>390</v>
      </c>
      <c r="AB371" s="3">
        <v>405</v>
      </c>
      <c r="AC371" s="3">
        <f>IF(ISERROR((VLOOKUP($A371,'SegEnds_NonXtal_BW#'!$A:$Z,20,FALSE)+VLOOKUP($A371,A:AL,28,FALSE)-50)),"-",(VLOOKUP($A371,'SegEnds_NonXtal_BW#'!$A:$Z,20,FALSE)+VLOOKUP($A371,A:AL,28,FALSE)-50))</f>
        <v>427</v>
      </c>
      <c r="AD371" s="3">
        <f>IF(ISERROR(VLOOKUP($A371,'SegEnds_NonXtal_BW#'!$A:$Z,21,FALSE)+VLOOKUP($A371,A:AL,31,FALSE)-50),"-",(VLOOKUP($A371,'SegEnds_NonXtal_BW#'!$A:$Z,21,FALSE)+VLOOKUP($A371,A:AL,31,FALSE)-50))</f>
        <v>438</v>
      </c>
      <c r="AE371" s="3">
        <v>460</v>
      </c>
      <c r="AF371" s="3">
        <f>IF(ISERROR((VLOOKUP($A371,'SegEnds_NonXtal_BW#'!$A:$Z,22,FALSE)+VLOOKUP($A371,A:AL,31,FALSE)-50)),"-",(VLOOKUP($A371,'SegEnds_NonXtal_BW#'!$A:$Z,22,FALSE)+VLOOKUP($A371,A:AL,31,FALSE)-50))</f>
        <v>488</v>
      </c>
      <c r="AG371" s="3">
        <f>IF(ISERROR(VLOOKUP($A371,'SegEnds_NonXtal_BW#'!$A:$Z,23,FALSE)+VLOOKUP($A371,A:AL,34,FALSE)-50),"-",(VLOOKUP($A371,'SegEnds_NonXtal_BW#'!$A:$Z,23,FALSE)+VLOOKUP($A371,A:AL,34,FALSE)-50))</f>
        <v>500</v>
      </c>
      <c r="AH371" s="3">
        <v>516</v>
      </c>
      <c r="AI371" s="3">
        <f>IF(ISERROR((VLOOKUP($A371,'SegEnds_NonXtal_BW#'!$A:$Z,24,FALSE)+VLOOKUP($A371,A:AL,34,FALSE)-50)),"-",(VLOOKUP($A371,'SegEnds_NonXtal_BW#'!$A:$Z,24,FALSE)+VLOOKUP($A371,A:AL,34,FALSE)-50))</f>
        <v>523</v>
      </c>
      <c r="AJ371" s="3">
        <f>IF(ISERROR(VLOOKUP($A371,'SegEnds_NonXtal_BW#'!$A:$Z,25,FALSE)+VLOOKUP($A371,A:AL,37,FALSE)-50),"-",(VLOOKUP($A371,'SegEnds_NonXtal_BW#'!$A:$Z,25,FALSE)+VLOOKUP($A371,A:AL,37,FALSE)-50))</f>
        <v>524</v>
      </c>
      <c r="AK371" s="3">
        <v>527</v>
      </c>
      <c r="AL371" s="3">
        <f>IF(ISERROR((VLOOKUP($A371,'SegEnds_NonXtal_BW#'!$A:$Z,26,FALSE)+VLOOKUP($A371,A:AL,37,FALSE)-50)),"-",(VLOOKUP($A371,'SegEnds_NonXtal_BW#'!$A:$Z,26,FALSE)+VLOOKUP($A371,A:AL,37,FALSE)-50))</f>
        <v>539</v>
      </c>
      <c r="AM371" s="28" t="str">
        <f>VLOOKUP(A371,Classification!A:B,2,FALSE)</f>
        <v>F</v>
      </c>
      <c r="AN371" s="28" t="b">
        <f t="shared" si="195"/>
        <v>1</v>
      </c>
      <c r="AO371" s="3" t="str">
        <f>IF(ISERROR(MATCH(A371,'SegEnds_Xtal_Prot#'!B:B, 0)), "NoXtal", "Xtal")</f>
        <v>NoXtal</v>
      </c>
      <c r="AP371" s="3">
        <f t="shared" si="180"/>
        <v>1</v>
      </c>
      <c r="AQ371" s="3">
        <f t="shared" si="181"/>
        <v>1</v>
      </c>
      <c r="AR371" s="3" t="str">
        <f t="shared" si="182"/>
        <v>-</v>
      </c>
      <c r="AS371" s="3" t="str">
        <f t="shared" si="183"/>
        <v>-</v>
      </c>
      <c r="AT371" s="3" t="str">
        <f t="shared" si="184"/>
        <v>-</v>
      </c>
      <c r="AU371" s="3" t="str">
        <f t="shared" si="185"/>
        <v>-</v>
      </c>
      <c r="AV371" s="3">
        <f t="shared" si="186"/>
        <v>11</v>
      </c>
      <c r="AW371" s="3">
        <f t="shared" si="187"/>
        <v>4</v>
      </c>
      <c r="AX371" s="3">
        <f t="shared" si="188"/>
        <v>11</v>
      </c>
      <c r="AY371" s="3">
        <f t="shared" si="189"/>
        <v>12</v>
      </c>
      <c r="AZ371" s="3">
        <f t="shared" si="190"/>
        <v>1</v>
      </c>
      <c r="BA371" s="3">
        <f>IF(ISERROR(LEN(VLOOKUP(A371,Seqs!A:E,2,FALSE))-AL371),"-",LEN(VLOOKUP(A371,Seqs!A:E,2,FALSE))-AL371)</f>
        <v>42</v>
      </c>
      <c r="BB371" s="16">
        <f t="shared" si="191"/>
        <v>26</v>
      </c>
      <c r="BC371" s="9" t="str">
        <f t="shared" si="192"/>
        <v>-</v>
      </c>
      <c r="BD371" s="3">
        <f t="shared" si="193"/>
        <v>26</v>
      </c>
      <c r="BE371" s="3">
        <f t="shared" si="194"/>
        <v>55</v>
      </c>
    </row>
    <row r="372" spans="1:58" s="3" customFormat="1" x14ac:dyDescent="0.2">
      <c r="A372" s="3" t="s">
        <v>448</v>
      </c>
      <c r="B372" s="3" t="str">
        <f>LOWER(VLOOKUP(A372,Xtal_Templ!A:B,2,FALSE))</f>
        <v>fzd4_human</v>
      </c>
      <c r="C372" s="3">
        <f>VLOOKUP($A372,'SegEnds_NonXtal_BW#'!$A:$Z,3,FALSE)+D372-50</f>
        <v>237</v>
      </c>
      <c r="D372" s="3">
        <v>259</v>
      </c>
      <c r="E372" s="3">
        <f>IF(ISERROR(VLOOKUP($A372,'SegEnds_NonXtal_BW#'!$A:$Z,4,FALSE)+VLOOKUP($A372,A:AL,4,FALSE)-50),"-",(VLOOKUP($A372,'SegEnds_NonXtal_BW#'!$A:$Z,4,FALSE)+VLOOKUP($A372,A:AL,4,FALSE)-50))</f>
        <v>269</v>
      </c>
      <c r="F372" s="3">
        <f t="shared" si="197"/>
        <v>270</v>
      </c>
      <c r="G372" s="3">
        <v>273</v>
      </c>
      <c r="H372" s="3">
        <f t="shared" si="202"/>
        <v>274</v>
      </c>
      <c r="I372" s="3">
        <f t="shared" si="199"/>
        <v>275</v>
      </c>
      <c r="J372" s="3">
        <v>285</v>
      </c>
      <c r="K372" s="3">
        <f>VLOOKUP($A372,'SegEnds_NonXtal_BW#'!$A:$Z,8,FALSE)+VLOOKUP($A372,A:AL,10,FALSE)-50</f>
        <v>301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324</v>
      </c>
      <c r="P372" s="3">
        <v>352</v>
      </c>
      <c r="Q372" s="3">
        <f>VLOOKUP($A372,'SegEnds_NonXtal_BW#'!$A:$Z,12,FALSE)+VLOOKUP($A372,A:AL,16,FALSE)-50</f>
        <v>357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368</v>
      </c>
      <c r="V372" s="3">
        <v>377</v>
      </c>
      <c r="W372" s="3">
        <f>IF(ISERROR(VLOOKUP($A372,'SegEnds_NonXtal_BW#'!$A:$Z,16,FALSE)+VLOOKUP($A372,A:AL,22,FALSE)-50),"-",(VLOOKUP($A372,'SegEnds_NonXtal_BW#'!$A:$Z,16,FALSE)+VLOOKUP($A372,A:AL,22,FALSE)-50))</f>
        <v>391</v>
      </c>
      <c r="X372" s="3">
        <f>IF(ISERROR(VLOOKUP($A372,'SegEnds_NonXtal_BW#'!$A:$Z,17,FALSE)+VLOOKUP($A372,A:AL,25,FALSE)-50),"-",(VLOOKUP($A372,'SegEnds_NonXtal_BW#'!$A:$Z,17,FALSE)+VLOOKUP($A372,A:AL,25,FALSE)-50))</f>
        <v>402</v>
      </c>
      <c r="Y372" s="3">
        <v>402</v>
      </c>
      <c r="Z372" s="3">
        <f t="shared" si="201"/>
        <v>404</v>
      </c>
      <c r="AA372" s="3">
        <f>IF(ISERROR(VLOOKUP($A372,'SegEnds_NonXtal_BW#'!$A:$Z,19,FALSE)+VLOOKUP($A372,A:AL,28,FALSE)-50),"-",(VLOOKUP($A372,'SegEnds_NonXtal_BW#'!$A:$Z,19,FALSE)+VLOOKUP($A372,A:AL,28,FALSE)-50))</f>
        <v>408</v>
      </c>
      <c r="AB372" s="3">
        <v>423</v>
      </c>
      <c r="AC372" s="3">
        <f>IF(ISERROR((VLOOKUP($A372,'SegEnds_NonXtal_BW#'!$A:$Z,20,FALSE)+VLOOKUP($A372,A:AL,28,FALSE)-50)),"-",(VLOOKUP($A372,'SegEnds_NonXtal_BW#'!$A:$Z,20,FALSE)+VLOOKUP($A372,A:AL,28,FALSE)-50))</f>
        <v>445</v>
      </c>
      <c r="AD372" s="3">
        <f>IF(ISERROR(VLOOKUP($A372,'SegEnds_NonXtal_BW#'!$A:$Z,21,FALSE)+VLOOKUP($A372,A:AL,31,FALSE)-50),"-",(VLOOKUP($A372,'SegEnds_NonXtal_BW#'!$A:$Z,21,FALSE)+VLOOKUP($A372,A:AL,31,FALSE)-50))</f>
        <v>456</v>
      </c>
      <c r="AE372" s="3">
        <v>478</v>
      </c>
      <c r="AF372" s="3">
        <f>IF(ISERROR((VLOOKUP($A372,'SegEnds_NonXtal_BW#'!$A:$Z,22,FALSE)+VLOOKUP($A372,A:AL,31,FALSE)-50)),"-",(VLOOKUP($A372,'SegEnds_NonXtal_BW#'!$A:$Z,22,FALSE)+VLOOKUP($A372,A:AL,31,FALSE)-50))</f>
        <v>506</v>
      </c>
      <c r="AG372" s="3">
        <f>IF(ISERROR(VLOOKUP($A372,'SegEnds_NonXtal_BW#'!$A:$Z,23,FALSE)+VLOOKUP($A372,A:AL,34,FALSE)-50),"-",(VLOOKUP($A372,'SegEnds_NonXtal_BW#'!$A:$Z,23,FALSE)+VLOOKUP($A372,A:AL,34,FALSE)-50))</f>
        <v>517</v>
      </c>
      <c r="AH372" s="3">
        <v>533</v>
      </c>
      <c r="AI372" s="3">
        <f>IF(ISERROR((VLOOKUP($A372,'SegEnds_NonXtal_BW#'!$A:$Z,24,FALSE)+VLOOKUP($A372,A:AL,34,FALSE)-50)),"-",(VLOOKUP($A372,'SegEnds_NonXtal_BW#'!$A:$Z,24,FALSE)+VLOOKUP($A372,A:AL,34,FALSE)-50))</f>
        <v>540</v>
      </c>
      <c r="AJ372" s="3">
        <f>IF(ISERROR(VLOOKUP($A372,'SegEnds_NonXtal_BW#'!$A:$Z,25,FALSE)+VLOOKUP($A372,A:AL,37,FALSE)-50),"-",(VLOOKUP($A372,'SegEnds_NonXtal_BW#'!$A:$Z,25,FALSE)+VLOOKUP($A372,A:AL,37,FALSE)-50))</f>
        <v>541</v>
      </c>
      <c r="AK372" s="3">
        <v>544</v>
      </c>
      <c r="AL372" s="3">
        <f>IF(ISERROR((VLOOKUP($A372,'SegEnds_NonXtal_BW#'!$A:$Z,26,FALSE)+VLOOKUP($A372,A:AL,37,FALSE)-50)),"-",(VLOOKUP($A372,'SegEnds_NonXtal_BW#'!$A:$Z,26,FALSE)+VLOOKUP($A372,A:AL,37,FALSE)-50))</f>
        <v>556</v>
      </c>
      <c r="AM372" s="28" t="str">
        <f>VLOOKUP(A372,Classification!A:B,2,FALSE)</f>
        <v>F</v>
      </c>
      <c r="AN372" s="28" t="b">
        <f t="shared" si="195"/>
        <v>1</v>
      </c>
      <c r="AO372" s="3" t="str">
        <f>IF(ISERROR(MATCH(A372,'SegEnds_Xtal_Prot#'!B:B, 0)), "NoXtal", "Xtal")</f>
        <v>NoXtal</v>
      </c>
      <c r="AP372" s="3">
        <f t="shared" si="180"/>
        <v>1</v>
      </c>
      <c r="AQ372" s="3">
        <f t="shared" si="181"/>
        <v>1</v>
      </c>
      <c r="AR372" s="3" t="str">
        <f t="shared" si="182"/>
        <v>-</v>
      </c>
      <c r="AS372" s="3" t="str">
        <f t="shared" si="183"/>
        <v>-</v>
      </c>
      <c r="AT372" s="3" t="str">
        <f t="shared" si="184"/>
        <v>-</v>
      </c>
      <c r="AU372" s="3" t="str">
        <f t="shared" si="185"/>
        <v>-</v>
      </c>
      <c r="AV372" s="3">
        <f t="shared" si="186"/>
        <v>11</v>
      </c>
      <c r="AW372" s="3">
        <f t="shared" si="187"/>
        <v>4</v>
      </c>
      <c r="AX372" s="3">
        <f t="shared" si="188"/>
        <v>11</v>
      </c>
      <c r="AY372" s="3">
        <f t="shared" si="189"/>
        <v>11</v>
      </c>
      <c r="AZ372" s="3">
        <f t="shared" si="190"/>
        <v>1</v>
      </c>
      <c r="BA372" s="3">
        <f>IF(ISERROR(LEN(VLOOKUP(A372,Seqs!A:E,2,FALSE))-AL372),"-",LEN(VLOOKUP(A372,Seqs!A:E,2,FALSE))-AL372)</f>
        <v>9</v>
      </c>
      <c r="BB372" s="16">
        <f t="shared" si="191"/>
        <v>26</v>
      </c>
      <c r="BC372" s="9" t="str">
        <f t="shared" si="192"/>
        <v>-</v>
      </c>
      <c r="BD372" s="3">
        <f t="shared" si="193"/>
        <v>26</v>
      </c>
      <c r="BE372" s="3">
        <f t="shared" si="194"/>
        <v>55</v>
      </c>
      <c r="BF372" s="3">
        <f>AH372-AE372</f>
        <v>55</v>
      </c>
    </row>
    <row r="373" spans="1:58" s="3" customFormat="1" x14ac:dyDescent="0.2">
      <c r="A373" s="3" t="s">
        <v>449</v>
      </c>
      <c r="B373" s="3" t="str">
        <f>LOWER(VLOOKUP(A373,Xtal_Templ!A:B,2,FALSE))</f>
        <v>fzd4_human</v>
      </c>
      <c r="C373" s="3">
        <f>VLOOKUP($A373,'SegEnds_NonXtal_BW#'!$A:$Z,3,FALSE)+D373-50</f>
        <v>195</v>
      </c>
      <c r="D373" s="3">
        <v>217</v>
      </c>
      <c r="E373" s="3">
        <f>IF(ISERROR(VLOOKUP($A373,'SegEnds_NonXtal_BW#'!$A:$Z,4,FALSE)+VLOOKUP($A373,A:AL,4,FALSE)-50),"-",(VLOOKUP($A373,'SegEnds_NonXtal_BW#'!$A:$Z,4,FALSE)+VLOOKUP($A373,A:AL,4,FALSE)-50))</f>
        <v>227</v>
      </c>
      <c r="F373" s="3">
        <f t="shared" si="197"/>
        <v>228</v>
      </c>
      <c r="G373" s="3">
        <v>231</v>
      </c>
      <c r="H373" s="3">
        <f t="shared" si="202"/>
        <v>232</v>
      </c>
      <c r="I373" s="3">
        <f t="shared" si="199"/>
        <v>233</v>
      </c>
      <c r="J373" s="3">
        <v>243</v>
      </c>
      <c r="K373" s="3">
        <f>VLOOKUP($A373,'SegEnds_NonXtal_BW#'!$A:$Z,8,FALSE)+VLOOKUP($A373,A:AL,10,FALSE)-50</f>
        <v>259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283</v>
      </c>
      <c r="P373" s="3">
        <v>311</v>
      </c>
      <c r="Q373" s="3">
        <f>VLOOKUP($A373,'SegEnds_NonXtal_BW#'!$A:$Z,12,FALSE)+VLOOKUP($A373,A:AL,16,FALSE)-50</f>
        <v>316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327</v>
      </c>
      <c r="V373" s="3">
        <v>336</v>
      </c>
      <c r="W373" s="3">
        <f>IF(ISERROR(VLOOKUP($A373,'SegEnds_NonXtal_BW#'!$A:$Z,16,FALSE)+VLOOKUP($A373,A:AL,22,FALSE)-50),"-",(VLOOKUP($A373,'SegEnds_NonXtal_BW#'!$A:$Z,16,FALSE)+VLOOKUP($A373,A:AL,22,FALSE)-50))</f>
        <v>350</v>
      </c>
      <c r="X373" s="3">
        <f>IF(ISERROR(VLOOKUP($A373,'SegEnds_NonXtal_BW#'!$A:$Z,17,FALSE)+VLOOKUP($A373,A:AL,25,FALSE)-50),"-",(VLOOKUP($A373,'SegEnds_NonXtal_BW#'!$A:$Z,17,FALSE)+VLOOKUP($A373,A:AL,25,FALSE)-50))</f>
        <v>361</v>
      </c>
      <c r="Y373" s="3">
        <v>361</v>
      </c>
      <c r="Z373" s="3">
        <f t="shared" si="201"/>
        <v>363</v>
      </c>
      <c r="AA373" s="3">
        <f>IF(ISERROR(VLOOKUP($A373,'SegEnds_NonXtal_BW#'!$A:$Z,19,FALSE)+VLOOKUP($A373,A:AL,28,FALSE)-50),"-",(VLOOKUP($A373,'SegEnds_NonXtal_BW#'!$A:$Z,19,FALSE)+VLOOKUP($A373,A:AL,28,FALSE)-50))</f>
        <v>367</v>
      </c>
      <c r="AB373" s="3">
        <v>382</v>
      </c>
      <c r="AC373" s="3">
        <f>IF(ISERROR((VLOOKUP($A373,'SegEnds_NonXtal_BW#'!$A:$Z,20,FALSE)+VLOOKUP($A373,A:AL,28,FALSE)-50)),"-",(VLOOKUP($A373,'SegEnds_NonXtal_BW#'!$A:$Z,20,FALSE)+VLOOKUP($A373,A:AL,28,FALSE)-50))</f>
        <v>404</v>
      </c>
      <c r="AD373" s="3">
        <f>IF(ISERROR(VLOOKUP($A373,'SegEnds_NonXtal_BW#'!$A:$Z,21,FALSE)+VLOOKUP($A373,A:AL,31,FALSE)-50),"-",(VLOOKUP($A373,'SegEnds_NonXtal_BW#'!$A:$Z,21,FALSE)+VLOOKUP($A373,A:AL,31,FALSE)-50))</f>
        <v>415</v>
      </c>
      <c r="AE373" s="3">
        <v>437</v>
      </c>
      <c r="AF373" s="3">
        <f>IF(ISERROR((VLOOKUP($A373,'SegEnds_NonXtal_BW#'!$A:$Z,22,FALSE)+VLOOKUP($A373,A:AL,31,FALSE)-50)),"-",(VLOOKUP($A373,'SegEnds_NonXtal_BW#'!$A:$Z,22,FALSE)+VLOOKUP($A373,A:AL,31,FALSE)-50))</f>
        <v>465</v>
      </c>
      <c r="AG373" s="3">
        <f>IF(ISERROR(VLOOKUP($A373,'SegEnds_NonXtal_BW#'!$A:$Z,23,FALSE)+VLOOKUP($A373,A:AL,34,FALSE)-50),"-",(VLOOKUP($A373,'SegEnds_NonXtal_BW#'!$A:$Z,23,FALSE)+VLOOKUP($A373,A:AL,34,FALSE)-50))</f>
        <v>476</v>
      </c>
      <c r="AH373" s="3">
        <v>492</v>
      </c>
      <c r="AI373" s="3">
        <f>IF(ISERROR((VLOOKUP($A373,'SegEnds_NonXtal_BW#'!$A:$Z,24,FALSE)+VLOOKUP($A373,A:AL,34,FALSE)-50)),"-",(VLOOKUP($A373,'SegEnds_NonXtal_BW#'!$A:$Z,24,FALSE)+VLOOKUP($A373,A:AL,34,FALSE)-50))</f>
        <v>499</v>
      </c>
      <c r="AJ373" s="3">
        <f>IF(ISERROR(VLOOKUP($A373,'SegEnds_NonXtal_BW#'!$A:$Z,25,FALSE)+VLOOKUP($A373,A:AL,37,FALSE)-50),"-",(VLOOKUP($A373,'SegEnds_NonXtal_BW#'!$A:$Z,25,FALSE)+VLOOKUP($A373,A:AL,37,FALSE)-50))</f>
        <v>500</v>
      </c>
      <c r="AK373" s="3">
        <v>503</v>
      </c>
      <c r="AL373" s="3">
        <f>IF(ISERROR((VLOOKUP($A373,'SegEnds_NonXtal_BW#'!$A:$Z,26,FALSE)+VLOOKUP($A373,A:AL,37,FALSE)-50)),"-",(VLOOKUP($A373,'SegEnds_NonXtal_BW#'!$A:$Z,26,FALSE)+VLOOKUP($A373,A:AL,37,FALSE)-50))</f>
        <v>515</v>
      </c>
      <c r="AM373" s="28" t="str">
        <f>VLOOKUP(A373,Classification!A:B,2,FALSE)</f>
        <v>F</v>
      </c>
      <c r="AN373" s="28" t="b">
        <f t="shared" si="195"/>
        <v>1</v>
      </c>
      <c r="AO373" s="3" t="str">
        <f>IF(ISERROR(MATCH(A373,'SegEnds_Xtal_Prot#'!B:B, 0)), "NoXtal", "Xtal")</f>
        <v>NoXtal</v>
      </c>
      <c r="AP373" s="3">
        <f t="shared" si="180"/>
        <v>1</v>
      </c>
      <c r="AQ373" s="3">
        <f t="shared" si="181"/>
        <v>1</v>
      </c>
      <c r="AR373" s="3" t="str">
        <f t="shared" si="182"/>
        <v>-</v>
      </c>
      <c r="AS373" s="3" t="str">
        <f t="shared" si="183"/>
        <v>-</v>
      </c>
      <c r="AT373" s="3" t="str">
        <f t="shared" si="184"/>
        <v>-</v>
      </c>
      <c r="AU373" s="3" t="str">
        <f t="shared" si="185"/>
        <v>-</v>
      </c>
      <c r="AV373" s="3">
        <f t="shared" si="186"/>
        <v>11</v>
      </c>
      <c r="AW373" s="3">
        <f t="shared" si="187"/>
        <v>4</v>
      </c>
      <c r="AX373" s="3">
        <f t="shared" si="188"/>
        <v>11</v>
      </c>
      <c r="AY373" s="3">
        <f t="shared" si="189"/>
        <v>11</v>
      </c>
      <c r="AZ373" s="3">
        <f t="shared" si="190"/>
        <v>1</v>
      </c>
      <c r="BA373" s="3">
        <f>IF(ISERROR(LEN(VLOOKUP(A373,Seqs!A:E,2,FALSE))-AL373),"-",LEN(VLOOKUP(A373,Seqs!A:E,2,FALSE))-AL373)</f>
        <v>151</v>
      </c>
      <c r="BB373" s="16">
        <f t="shared" si="191"/>
        <v>26</v>
      </c>
      <c r="BC373" s="9" t="str">
        <f t="shared" si="192"/>
        <v>-</v>
      </c>
      <c r="BD373" s="3">
        <f t="shared" si="193"/>
        <v>26</v>
      </c>
      <c r="BE373" s="3">
        <f t="shared" si="194"/>
        <v>55</v>
      </c>
    </row>
    <row r="374" spans="1:58" s="3" customFormat="1" x14ac:dyDescent="0.2">
      <c r="A374" s="3" t="s">
        <v>450</v>
      </c>
      <c r="B374" s="3" t="str">
        <f>LOWER(VLOOKUP(A374,Xtal_Templ!A:B,2,FALSE))</f>
        <v>fzd4_human</v>
      </c>
      <c r="C374" s="3">
        <f>VLOOKUP($A374,'SegEnds_NonXtal_BW#'!$A:$Z,3,FALSE)+D374-50</f>
        <v>212</v>
      </c>
      <c r="D374" s="3">
        <v>234</v>
      </c>
      <c r="E374" s="3">
        <f>IF(ISERROR(VLOOKUP($A374,'SegEnds_NonXtal_BW#'!$A:$Z,4,FALSE)+VLOOKUP($A374,A:AL,4,FALSE)-50),"-",(VLOOKUP($A374,'SegEnds_NonXtal_BW#'!$A:$Z,4,FALSE)+VLOOKUP($A374,A:AL,4,FALSE)-50))</f>
        <v>244</v>
      </c>
      <c r="F374" s="3">
        <f t="shared" si="197"/>
        <v>245</v>
      </c>
      <c r="G374" s="3">
        <v>248</v>
      </c>
      <c r="H374" s="3">
        <f t="shared" si="202"/>
        <v>249</v>
      </c>
      <c r="I374" s="3">
        <f t="shared" si="199"/>
        <v>250</v>
      </c>
      <c r="J374" s="3">
        <v>260</v>
      </c>
      <c r="K374" s="3">
        <f>VLOOKUP($A374,'SegEnds_NonXtal_BW#'!$A:$Z,8,FALSE)+VLOOKUP($A374,A:AL,10,FALSE)-50</f>
        <v>276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299</v>
      </c>
      <c r="P374" s="3">
        <v>327</v>
      </c>
      <c r="Q374" s="3">
        <f>VLOOKUP($A374,'SegEnds_NonXtal_BW#'!$A:$Z,12,FALSE)+VLOOKUP($A374,A:AL,16,FALSE)-50</f>
        <v>332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343</v>
      </c>
      <c r="V374" s="3">
        <v>352</v>
      </c>
      <c r="W374" s="3">
        <f>IF(ISERROR(VLOOKUP($A374,'SegEnds_NonXtal_BW#'!$A:$Z,16,FALSE)+VLOOKUP($A374,A:AL,22,FALSE)-50),"-",(VLOOKUP($A374,'SegEnds_NonXtal_BW#'!$A:$Z,16,FALSE)+VLOOKUP($A374,A:AL,22,FALSE)-50))</f>
        <v>366</v>
      </c>
      <c r="X374" s="3">
        <f>IF(ISERROR(VLOOKUP($A374,'SegEnds_NonXtal_BW#'!$A:$Z,17,FALSE)+VLOOKUP($A374,A:AL,25,FALSE)-50),"-",(VLOOKUP($A374,'SegEnds_NonXtal_BW#'!$A:$Z,17,FALSE)+VLOOKUP($A374,A:AL,25,FALSE)-50))</f>
        <v>377</v>
      </c>
      <c r="Y374" s="3">
        <v>377</v>
      </c>
      <c r="Z374" s="3">
        <f t="shared" si="201"/>
        <v>379</v>
      </c>
      <c r="AA374" s="3">
        <f>IF(ISERROR(VLOOKUP($A374,'SegEnds_NonXtal_BW#'!$A:$Z,19,FALSE)+VLOOKUP($A374,A:AL,28,FALSE)-50),"-",(VLOOKUP($A374,'SegEnds_NonXtal_BW#'!$A:$Z,19,FALSE)+VLOOKUP($A374,A:AL,28,FALSE)-50))</f>
        <v>383</v>
      </c>
      <c r="AB374" s="3">
        <v>398</v>
      </c>
      <c r="AC374" s="3">
        <f>IF(ISERROR((VLOOKUP($A374,'SegEnds_NonXtal_BW#'!$A:$Z,20,FALSE)+VLOOKUP($A374,A:AL,28,FALSE)-50)),"-",(VLOOKUP($A374,'SegEnds_NonXtal_BW#'!$A:$Z,20,FALSE)+VLOOKUP($A374,A:AL,28,FALSE)-50))</f>
        <v>420</v>
      </c>
      <c r="AD374" s="3">
        <f>IF(ISERROR(VLOOKUP($A374,'SegEnds_NonXtal_BW#'!$A:$Z,21,FALSE)+VLOOKUP($A374,A:AL,31,FALSE)-50),"-",(VLOOKUP($A374,'SegEnds_NonXtal_BW#'!$A:$Z,21,FALSE)+VLOOKUP($A374,A:AL,31,FALSE)-50))</f>
        <v>431</v>
      </c>
      <c r="AE374" s="3">
        <v>453</v>
      </c>
      <c r="AF374" s="3">
        <f>IF(ISERROR((VLOOKUP($A374,'SegEnds_NonXtal_BW#'!$A:$Z,22,FALSE)+VLOOKUP($A374,A:AL,31,FALSE)-50)),"-",(VLOOKUP($A374,'SegEnds_NonXtal_BW#'!$A:$Z,22,FALSE)+VLOOKUP($A374,A:AL,31,FALSE)-50))</f>
        <v>461</v>
      </c>
      <c r="AG374" s="3">
        <f>IF(ISERROR(VLOOKUP($A374,'SegEnds_NonXtal_BW#'!$A:$Z,23,FALSE)+VLOOKUP($A374,A:AL,34,FALSE)-50),"-",(VLOOKUP($A374,'SegEnds_NonXtal_BW#'!$A:$Z,23,FALSE)+VLOOKUP($A374,A:AL,34,FALSE)-50))</f>
        <v>473</v>
      </c>
      <c r="AH374" s="3">
        <v>489</v>
      </c>
      <c r="AI374" s="3">
        <f>IF(ISERROR((VLOOKUP($A374,'SegEnds_NonXtal_BW#'!$A:$Z,24,FALSE)+VLOOKUP($A374,A:AL,34,FALSE)-50)),"-",(VLOOKUP($A374,'SegEnds_NonXtal_BW#'!$A:$Z,24,FALSE)+VLOOKUP($A374,A:AL,34,FALSE)-50))</f>
        <v>496</v>
      </c>
      <c r="AJ374" s="3">
        <f>IF(ISERROR(VLOOKUP($A374,'SegEnds_NonXtal_BW#'!$A:$Z,25,FALSE)+VLOOKUP($A374,A:AL,37,FALSE)-50),"-",(VLOOKUP($A374,'SegEnds_NonXtal_BW#'!$A:$Z,25,FALSE)+VLOOKUP($A374,A:AL,37,FALSE)-50))</f>
        <v>497</v>
      </c>
      <c r="AK374" s="3">
        <v>500</v>
      </c>
      <c r="AL374" s="3">
        <f>IF(ISERROR((VLOOKUP($A374,'SegEnds_NonXtal_BW#'!$A:$Z,26,FALSE)+VLOOKUP($A374,A:AL,37,FALSE)-50)),"-",(VLOOKUP($A374,'SegEnds_NonXtal_BW#'!$A:$Z,26,FALSE)+VLOOKUP($A374,A:AL,37,FALSE)-50))</f>
        <v>512</v>
      </c>
      <c r="AM374" s="28" t="str">
        <f>VLOOKUP(A374,Classification!A:B,2,FALSE)</f>
        <v>F</v>
      </c>
      <c r="AN374" s="28" t="b">
        <f t="shared" si="195"/>
        <v>1</v>
      </c>
      <c r="AO374" s="3" t="str">
        <f>IF(ISERROR(MATCH(A374,'SegEnds_Xtal_Prot#'!B:B, 0)), "NoXtal", "Xtal")</f>
        <v>Xtal</v>
      </c>
      <c r="AP374" s="3">
        <f t="shared" si="180"/>
        <v>1</v>
      </c>
      <c r="AQ374" s="3">
        <f t="shared" si="181"/>
        <v>1</v>
      </c>
      <c r="AR374" s="3" t="str">
        <f t="shared" si="182"/>
        <v>-</v>
      </c>
      <c r="AS374" s="3" t="str">
        <f t="shared" si="183"/>
        <v>-</v>
      </c>
      <c r="AT374" s="3" t="str">
        <f t="shared" si="184"/>
        <v>-</v>
      </c>
      <c r="AU374" s="3" t="str">
        <f t="shared" si="185"/>
        <v>-</v>
      </c>
      <c r="AV374" s="3">
        <f t="shared" si="186"/>
        <v>11</v>
      </c>
      <c r="AW374" s="3">
        <f t="shared" si="187"/>
        <v>4</v>
      </c>
      <c r="AX374" s="3">
        <f t="shared" si="188"/>
        <v>11</v>
      </c>
      <c r="AY374" s="3">
        <f t="shared" si="189"/>
        <v>12</v>
      </c>
      <c r="AZ374" s="3">
        <f t="shared" si="190"/>
        <v>1</v>
      </c>
      <c r="BA374" s="3">
        <f>IF(ISERROR(LEN(VLOOKUP(A374,Seqs!A:E,2,FALSE))-AL374),"-",LEN(VLOOKUP(A374,Seqs!A:E,2,FALSE))-AL374)</f>
        <v>25</v>
      </c>
      <c r="BB374" s="16">
        <f t="shared" si="191"/>
        <v>26</v>
      </c>
      <c r="BC374" s="9" t="str">
        <f t="shared" si="192"/>
        <v>-</v>
      </c>
      <c r="BD374" s="3">
        <f t="shared" si="193"/>
        <v>26</v>
      </c>
      <c r="BE374" s="3">
        <f t="shared" si="194"/>
        <v>55</v>
      </c>
      <c r="BF374" s="3">
        <f>AH374-AE374</f>
        <v>36</v>
      </c>
    </row>
    <row r="375" spans="1:58" s="3" customFormat="1" x14ac:dyDescent="0.2">
      <c r="A375" s="3" t="s">
        <v>451</v>
      </c>
      <c r="B375" s="3" t="str">
        <f>LOWER(VLOOKUP(A375,Xtal_Templ!A:B,2,FALSE))</f>
        <v>fzd4_human</v>
      </c>
      <c r="C375" s="3">
        <f>VLOOKUP($A375,'SegEnds_NonXtal_BW#'!$A:$Z,3,FALSE)+D375-50</f>
        <v>228</v>
      </c>
      <c r="D375" s="3">
        <v>250</v>
      </c>
      <c r="E375" s="3">
        <f>IF(ISERROR(VLOOKUP($A375,'SegEnds_NonXtal_BW#'!$A:$Z,4,FALSE)+VLOOKUP($A375,A:AL,4,FALSE)-50),"-",(VLOOKUP($A375,'SegEnds_NonXtal_BW#'!$A:$Z,4,FALSE)+VLOOKUP($A375,A:AL,4,FALSE)-50))</f>
        <v>260</v>
      </c>
      <c r="F375" s="3">
        <f t="shared" si="197"/>
        <v>261</v>
      </c>
      <c r="G375" s="3">
        <v>264</v>
      </c>
      <c r="H375" s="3">
        <f t="shared" si="202"/>
        <v>265</v>
      </c>
      <c r="I375" s="3">
        <f t="shared" si="199"/>
        <v>266</v>
      </c>
      <c r="J375" s="3">
        <v>276</v>
      </c>
      <c r="K375" s="3">
        <f>VLOOKUP($A375,'SegEnds_NonXtal_BW#'!$A:$Z,8,FALSE)+VLOOKUP($A375,A:AL,10,FALSE)-50</f>
        <v>292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312</v>
      </c>
      <c r="P375" s="3">
        <v>340</v>
      </c>
      <c r="Q375" s="3">
        <f>VLOOKUP($A375,'SegEnds_NonXtal_BW#'!$A:$Z,12,FALSE)+VLOOKUP($A375,A:AL,16,FALSE)-50</f>
        <v>345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356</v>
      </c>
      <c r="V375" s="3">
        <v>365</v>
      </c>
      <c r="W375" s="3">
        <f>IF(ISERROR(VLOOKUP($A375,'SegEnds_NonXtal_BW#'!$A:$Z,16,FALSE)+VLOOKUP($A375,A:AL,22,FALSE)-50),"-",(VLOOKUP($A375,'SegEnds_NonXtal_BW#'!$A:$Z,16,FALSE)+VLOOKUP($A375,A:AL,22,FALSE)-50))</f>
        <v>379</v>
      </c>
      <c r="X375" s="3">
        <f>IF(ISERROR(VLOOKUP($A375,'SegEnds_NonXtal_BW#'!$A:$Z,17,FALSE)+VLOOKUP($A375,A:AL,25,FALSE)-50),"-",(VLOOKUP($A375,'SegEnds_NonXtal_BW#'!$A:$Z,17,FALSE)+VLOOKUP($A375,A:AL,25,FALSE)-50))</f>
        <v>390</v>
      </c>
      <c r="Y375" s="3">
        <v>390</v>
      </c>
      <c r="Z375" s="3">
        <f t="shared" si="201"/>
        <v>392</v>
      </c>
      <c r="AA375" s="3">
        <f>IF(ISERROR(VLOOKUP($A375,'SegEnds_NonXtal_BW#'!$A:$Z,19,FALSE)+VLOOKUP($A375,A:AL,28,FALSE)-50),"-",(VLOOKUP($A375,'SegEnds_NonXtal_BW#'!$A:$Z,19,FALSE)+VLOOKUP($A375,A:AL,28,FALSE)-50))</f>
        <v>396</v>
      </c>
      <c r="AB375" s="3">
        <v>411</v>
      </c>
      <c r="AC375" s="3">
        <f>IF(ISERROR((VLOOKUP($A375,'SegEnds_NonXtal_BW#'!$A:$Z,20,FALSE)+VLOOKUP($A375,A:AL,28,FALSE)-50)),"-",(VLOOKUP($A375,'SegEnds_NonXtal_BW#'!$A:$Z,20,FALSE)+VLOOKUP($A375,A:AL,28,FALSE)-50))</f>
        <v>433</v>
      </c>
      <c r="AD375" s="3">
        <f>IF(ISERROR(VLOOKUP($A375,'SegEnds_NonXtal_BW#'!$A:$Z,21,FALSE)+VLOOKUP($A375,A:AL,31,FALSE)-50),"-",(VLOOKUP($A375,'SegEnds_NonXtal_BW#'!$A:$Z,21,FALSE)+VLOOKUP($A375,A:AL,31,FALSE)-50))</f>
        <v>444</v>
      </c>
      <c r="AE375" s="3">
        <v>466</v>
      </c>
      <c r="AF375" s="3">
        <f>IF(ISERROR((VLOOKUP($A375,'SegEnds_NonXtal_BW#'!$A:$Z,22,FALSE)+VLOOKUP($A375,A:AL,31,FALSE)-50)),"-",(VLOOKUP($A375,'SegEnds_NonXtal_BW#'!$A:$Z,22,FALSE)+VLOOKUP($A375,A:AL,31,FALSE)-50))</f>
        <v>494</v>
      </c>
      <c r="AG375" s="3">
        <f>IF(ISERROR(VLOOKUP($A375,'SegEnds_NonXtal_BW#'!$A:$Z,23,FALSE)+VLOOKUP($A375,A:AL,34,FALSE)-50),"-",(VLOOKUP($A375,'SegEnds_NonXtal_BW#'!$A:$Z,23,FALSE)+VLOOKUP($A375,A:AL,34,FALSE)-50))</f>
        <v>499</v>
      </c>
      <c r="AH375" s="3">
        <v>515</v>
      </c>
      <c r="AI375" s="3">
        <f>IF(ISERROR((VLOOKUP($A375,'SegEnds_NonXtal_BW#'!$A:$Z,24,FALSE)+VLOOKUP($A375,A:AL,34,FALSE)-50)),"-",(VLOOKUP($A375,'SegEnds_NonXtal_BW#'!$A:$Z,24,FALSE)+VLOOKUP($A375,A:AL,34,FALSE)-50))</f>
        <v>522</v>
      </c>
      <c r="AJ375" s="3">
        <f>IF(ISERROR(VLOOKUP($A375,'SegEnds_NonXtal_BW#'!$A:$Z,25,FALSE)+VLOOKUP($A375,A:AL,37,FALSE)-50),"-",(VLOOKUP($A375,'SegEnds_NonXtal_BW#'!$A:$Z,25,FALSE)+VLOOKUP($A375,A:AL,37,FALSE)-50))</f>
        <v>523</v>
      </c>
      <c r="AK375" s="3">
        <v>526</v>
      </c>
      <c r="AL375" s="3">
        <f>IF(ISERROR((VLOOKUP($A375,'SegEnds_NonXtal_BW#'!$A:$Z,26,FALSE)+VLOOKUP($A375,A:AL,37,FALSE)-50)),"-",(VLOOKUP($A375,'SegEnds_NonXtal_BW#'!$A:$Z,26,FALSE)+VLOOKUP($A375,A:AL,37,FALSE)-50))</f>
        <v>538</v>
      </c>
      <c r="AM375" s="28" t="str">
        <f>VLOOKUP(A375,Classification!A:B,2,FALSE)</f>
        <v>F</v>
      </c>
      <c r="AN375" s="28" t="b">
        <f t="shared" si="195"/>
        <v>1</v>
      </c>
      <c r="AO375" s="3" t="str">
        <f>IF(ISERROR(MATCH(A375,'SegEnds_Xtal_Prot#'!B:B, 0)), "NoXtal", "Xtal")</f>
        <v>NoXtal</v>
      </c>
      <c r="AP375" s="3">
        <f t="shared" si="180"/>
        <v>1</v>
      </c>
      <c r="AQ375" s="3">
        <f t="shared" si="181"/>
        <v>1</v>
      </c>
      <c r="AR375" s="3" t="str">
        <f t="shared" si="182"/>
        <v>-</v>
      </c>
      <c r="AS375" s="3" t="str">
        <f t="shared" si="183"/>
        <v>-</v>
      </c>
      <c r="AT375" s="3" t="str">
        <f t="shared" si="184"/>
        <v>-</v>
      </c>
      <c r="AU375" s="3" t="str">
        <f t="shared" si="185"/>
        <v>-</v>
      </c>
      <c r="AV375" s="3">
        <f t="shared" si="186"/>
        <v>11</v>
      </c>
      <c r="AW375" s="3">
        <f t="shared" si="187"/>
        <v>4</v>
      </c>
      <c r="AX375" s="3">
        <f t="shared" si="188"/>
        <v>11</v>
      </c>
      <c r="AY375" s="3">
        <f t="shared" si="189"/>
        <v>5</v>
      </c>
      <c r="AZ375" s="3">
        <f t="shared" si="190"/>
        <v>1</v>
      </c>
      <c r="BA375" s="3">
        <f>IF(ISERROR(LEN(VLOOKUP(A375,Seqs!A:E,2,FALSE))-AL375),"-",LEN(VLOOKUP(A375,Seqs!A:E,2,FALSE))-AL375)</f>
        <v>47</v>
      </c>
      <c r="BB375" s="16">
        <f t="shared" si="191"/>
        <v>26</v>
      </c>
      <c r="BC375" s="9" t="str">
        <f t="shared" si="192"/>
        <v>-</v>
      </c>
      <c r="BD375" s="3">
        <f t="shared" si="193"/>
        <v>26</v>
      </c>
      <c r="BE375" s="3">
        <f t="shared" si="194"/>
        <v>55</v>
      </c>
    </row>
    <row r="376" spans="1:58" s="3" customFormat="1" x14ac:dyDescent="0.2">
      <c r="A376" s="3" t="s">
        <v>452</v>
      </c>
      <c r="B376" s="3" t="str">
        <f>LOWER(VLOOKUP(A376,Xtal_Templ!A:B,2,FALSE))</f>
        <v>fzd4_human</v>
      </c>
      <c r="C376" s="3">
        <f>VLOOKUP($A376,'SegEnds_NonXtal_BW#'!$A:$Z,3,FALSE)+D376-50</f>
        <v>191</v>
      </c>
      <c r="D376" s="3">
        <v>213</v>
      </c>
      <c r="E376" s="3">
        <f>IF(ISERROR(VLOOKUP($A376,'SegEnds_NonXtal_BW#'!$A:$Z,4,FALSE)+VLOOKUP($A376,A:AL,4,FALSE)-50),"-",(VLOOKUP($A376,'SegEnds_NonXtal_BW#'!$A:$Z,4,FALSE)+VLOOKUP($A376,A:AL,4,FALSE)-50))</f>
        <v>223</v>
      </c>
      <c r="F376" s="3">
        <f t="shared" si="197"/>
        <v>224</v>
      </c>
      <c r="G376" s="3">
        <v>227</v>
      </c>
      <c r="H376" s="3">
        <f t="shared" si="202"/>
        <v>228</v>
      </c>
      <c r="I376" s="3">
        <f t="shared" si="199"/>
        <v>229</v>
      </c>
      <c r="J376" s="3">
        <v>239</v>
      </c>
      <c r="K376" s="3">
        <f>VLOOKUP($A376,'SegEnds_NonXtal_BW#'!$A:$Z,8,FALSE)+VLOOKUP($A376,A:AL,10,FALSE)-50</f>
        <v>255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279</v>
      </c>
      <c r="P376" s="3">
        <v>307</v>
      </c>
      <c r="Q376" s="3">
        <f>VLOOKUP($A376,'SegEnds_NonXtal_BW#'!$A:$Z,12,FALSE)+VLOOKUP($A376,A:AL,16,FALSE)-50</f>
        <v>312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323</v>
      </c>
      <c r="V376" s="3">
        <v>332</v>
      </c>
      <c r="W376" s="3">
        <f>IF(ISERROR(VLOOKUP($A376,'SegEnds_NonXtal_BW#'!$A:$Z,16,FALSE)+VLOOKUP($A376,A:AL,22,FALSE)-50),"-",(VLOOKUP($A376,'SegEnds_NonXtal_BW#'!$A:$Z,16,FALSE)+VLOOKUP($A376,A:AL,22,FALSE)-50))</f>
        <v>346</v>
      </c>
      <c r="X376" s="3">
        <f>IF(ISERROR(VLOOKUP($A376,'SegEnds_NonXtal_BW#'!$A:$Z,17,FALSE)+VLOOKUP($A376,A:AL,25,FALSE)-50),"-",(VLOOKUP($A376,'SegEnds_NonXtal_BW#'!$A:$Z,17,FALSE)+VLOOKUP($A376,A:AL,25,FALSE)-50))</f>
        <v>357</v>
      </c>
      <c r="Y376" s="3">
        <v>357</v>
      </c>
      <c r="Z376" s="3">
        <f t="shared" si="201"/>
        <v>359</v>
      </c>
      <c r="AA376" s="3">
        <f>IF(ISERROR(VLOOKUP($A376,'SegEnds_NonXtal_BW#'!$A:$Z,19,FALSE)+VLOOKUP($A376,A:AL,28,FALSE)-50),"-",(VLOOKUP($A376,'SegEnds_NonXtal_BW#'!$A:$Z,19,FALSE)+VLOOKUP($A376,A:AL,28,FALSE)-50))</f>
        <v>363</v>
      </c>
      <c r="AB376" s="3">
        <v>378</v>
      </c>
      <c r="AC376" s="3">
        <f>IF(ISERROR((VLOOKUP($A376,'SegEnds_NonXtal_BW#'!$A:$Z,20,FALSE)+VLOOKUP($A376,A:AL,28,FALSE)-50)),"-",(VLOOKUP($A376,'SegEnds_NonXtal_BW#'!$A:$Z,20,FALSE)+VLOOKUP($A376,A:AL,28,FALSE)-50))</f>
        <v>400</v>
      </c>
      <c r="AD376" s="3">
        <f>IF(ISERROR(VLOOKUP($A376,'SegEnds_NonXtal_BW#'!$A:$Z,21,FALSE)+VLOOKUP($A376,A:AL,31,FALSE)-50),"-",(VLOOKUP($A376,'SegEnds_NonXtal_BW#'!$A:$Z,21,FALSE)+VLOOKUP($A376,A:AL,31,FALSE)-50))</f>
        <v>411</v>
      </c>
      <c r="AE376" s="3">
        <v>433</v>
      </c>
      <c r="AF376" s="3">
        <f>IF(ISERROR((VLOOKUP($A376,'SegEnds_NonXtal_BW#'!$A:$Z,22,FALSE)+VLOOKUP($A376,A:AL,31,FALSE)-50)),"-",(VLOOKUP($A376,'SegEnds_NonXtal_BW#'!$A:$Z,22,FALSE)+VLOOKUP($A376,A:AL,31,FALSE)-50))</f>
        <v>461</v>
      </c>
      <c r="AG376" s="3">
        <f>IF(ISERROR(VLOOKUP($A376,'SegEnds_NonXtal_BW#'!$A:$Z,23,FALSE)+VLOOKUP($A376,A:AL,34,FALSE)-50),"-",(VLOOKUP($A376,'SegEnds_NonXtal_BW#'!$A:$Z,23,FALSE)+VLOOKUP($A376,A:AL,34,FALSE)-50))</f>
        <v>472</v>
      </c>
      <c r="AH376" s="3">
        <v>488</v>
      </c>
      <c r="AI376" s="3">
        <f>IF(ISERROR((VLOOKUP($A376,'SegEnds_NonXtal_BW#'!$A:$Z,24,FALSE)+VLOOKUP($A376,A:AL,34,FALSE)-50)),"-",(VLOOKUP($A376,'SegEnds_NonXtal_BW#'!$A:$Z,24,FALSE)+VLOOKUP($A376,A:AL,34,FALSE)-50))</f>
        <v>495</v>
      </c>
      <c r="AJ376" s="3">
        <f>IF(ISERROR(VLOOKUP($A376,'SegEnds_NonXtal_BW#'!$A:$Z,25,FALSE)+VLOOKUP($A376,A:AL,37,FALSE)-50),"-",(VLOOKUP($A376,'SegEnds_NonXtal_BW#'!$A:$Z,25,FALSE)+VLOOKUP($A376,A:AL,37,FALSE)-50))</f>
        <v>496</v>
      </c>
      <c r="AK376" s="3">
        <v>499</v>
      </c>
      <c r="AL376" s="3">
        <f>IF(ISERROR((VLOOKUP($A376,'SegEnds_NonXtal_BW#'!$A:$Z,26,FALSE)+VLOOKUP($A376,A:AL,37,FALSE)-50)),"-",(VLOOKUP($A376,'SegEnds_NonXtal_BW#'!$A:$Z,26,FALSE)+VLOOKUP($A376,A:AL,37,FALSE)-50))</f>
        <v>511</v>
      </c>
      <c r="AM376" s="28" t="str">
        <f>VLOOKUP(A376,Classification!A:B,2,FALSE)</f>
        <v>F</v>
      </c>
      <c r="AN376" s="28" t="b">
        <f t="shared" si="195"/>
        <v>1</v>
      </c>
      <c r="AO376" s="3" t="str">
        <f>IF(ISERROR(MATCH(A376,'SegEnds_Xtal_Prot#'!B:B, 0)), "NoXtal", "Xtal")</f>
        <v>NoXtal</v>
      </c>
      <c r="AP376" s="3">
        <f t="shared" si="180"/>
        <v>1</v>
      </c>
      <c r="AQ376" s="3">
        <f t="shared" si="181"/>
        <v>1</v>
      </c>
      <c r="AR376" s="3" t="str">
        <f t="shared" si="182"/>
        <v>-</v>
      </c>
      <c r="AS376" s="3" t="str">
        <f t="shared" si="183"/>
        <v>-</v>
      </c>
      <c r="AT376" s="3" t="str">
        <f t="shared" si="184"/>
        <v>-</v>
      </c>
      <c r="AU376" s="3" t="str">
        <f t="shared" si="185"/>
        <v>-</v>
      </c>
      <c r="AV376" s="3">
        <f t="shared" si="186"/>
        <v>11</v>
      </c>
      <c r="AW376" s="3">
        <f t="shared" si="187"/>
        <v>4</v>
      </c>
      <c r="AX376" s="3">
        <f t="shared" si="188"/>
        <v>11</v>
      </c>
      <c r="AY376" s="3">
        <f t="shared" si="189"/>
        <v>11</v>
      </c>
      <c r="AZ376" s="3">
        <f t="shared" si="190"/>
        <v>1</v>
      </c>
      <c r="BA376" s="3">
        <f>IF(ISERROR(LEN(VLOOKUP(A376,Seqs!A:E,2,FALSE))-AL376),"-",LEN(VLOOKUP(A376,Seqs!A:E,2,FALSE))-AL376)</f>
        <v>195</v>
      </c>
      <c r="BB376" s="16">
        <f t="shared" si="191"/>
        <v>26</v>
      </c>
      <c r="BC376" s="9" t="str">
        <f t="shared" si="192"/>
        <v>-</v>
      </c>
      <c r="BD376" s="3">
        <f t="shared" si="193"/>
        <v>26</v>
      </c>
      <c r="BE376" s="3">
        <f t="shared" si="194"/>
        <v>55</v>
      </c>
    </row>
    <row r="377" spans="1:58" s="3" customFormat="1" x14ac:dyDescent="0.2">
      <c r="A377" s="3" t="s">
        <v>453</v>
      </c>
      <c r="B377" s="3" t="str">
        <f>LOWER(VLOOKUP(A377,Xtal_Templ!A:B,2,FALSE))</f>
        <v>fzd4_human</v>
      </c>
      <c r="C377" s="3">
        <f>VLOOKUP($A377,'SegEnds_NonXtal_BW#'!$A:$Z,3,FALSE)+D377-50</f>
        <v>246</v>
      </c>
      <c r="D377" s="3">
        <v>268</v>
      </c>
      <c r="E377" s="3">
        <f>IF(ISERROR(VLOOKUP($A377,'SegEnds_NonXtal_BW#'!$A:$Z,4,FALSE)+VLOOKUP($A377,A:AL,4,FALSE)-50),"-",(VLOOKUP($A377,'SegEnds_NonXtal_BW#'!$A:$Z,4,FALSE)+VLOOKUP($A377,A:AL,4,FALSE)-50))</f>
        <v>278</v>
      </c>
      <c r="F377" s="3">
        <f t="shared" si="197"/>
        <v>279</v>
      </c>
      <c r="G377" s="3">
        <v>282</v>
      </c>
      <c r="H377" s="3">
        <f t="shared" si="202"/>
        <v>283</v>
      </c>
      <c r="I377" s="3">
        <f t="shared" si="199"/>
        <v>284</v>
      </c>
      <c r="J377" s="3">
        <v>294</v>
      </c>
      <c r="K377" s="3">
        <f>VLOOKUP($A377,'SegEnds_NonXtal_BW#'!$A:$Z,8,FALSE)+VLOOKUP($A377,A:AL,10,FALSE)-50</f>
        <v>310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333</v>
      </c>
      <c r="P377" s="3">
        <v>361</v>
      </c>
      <c r="Q377" s="3">
        <f>VLOOKUP($A377,'SegEnds_NonXtal_BW#'!$A:$Z,12,FALSE)+VLOOKUP($A377,A:AL,16,FALSE)-50</f>
        <v>366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377</v>
      </c>
      <c r="V377" s="3">
        <v>386</v>
      </c>
      <c r="W377" s="3">
        <f>IF(ISERROR(VLOOKUP($A377,'SegEnds_NonXtal_BW#'!$A:$Z,16,FALSE)+VLOOKUP($A377,A:AL,22,FALSE)-50),"-",(VLOOKUP($A377,'SegEnds_NonXtal_BW#'!$A:$Z,16,FALSE)+VLOOKUP($A377,A:AL,22,FALSE)-50))</f>
        <v>400</v>
      </c>
      <c r="X377" s="3">
        <f>IF(ISERROR(VLOOKUP($A377,'SegEnds_NonXtal_BW#'!$A:$Z,17,FALSE)+VLOOKUP($A377,A:AL,25,FALSE)-50),"-",(VLOOKUP($A377,'SegEnds_NonXtal_BW#'!$A:$Z,17,FALSE)+VLOOKUP($A377,A:AL,25,FALSE)-50))</f>
        <v>411</v>
      </c>
      <c r="Y377" s="3">
        <v>411</v>
      </c>
      <c r="Z377" s="3">
        <f t="shared" si="201"/>
        <v>413</v>
      </c>
      <c r="AA377" s="3">
        <f>IF(ISERROR(VLOOKUP($A377,'SegEnds_NonXtal_BW#'!$A:$Z,19,FALSE)+VLOOKUP($A377,A:AL,28,FALSE)-50),"-",(VLOOKUP($A377,'SegEnds_NonXtal_BW#'!$A:$Z,19,FALSE)+VLOOKUP($A377,A:AL,28,FALSE)-50))</f>
        <v>417</v>
      </c>
      <c r="AB377" s="3">
        <v>432</v>
      </c>
      <c r="AC377" s="3">
        <f>IF(ISERROR((VLOOKUP($A377,'SegEnds_NonXtal_BW#'!$A:$Z,20,FALSE)+VLOOKUP($A377,A:AL,28,FALSE)-50)),"-",(VLOOKUP($A377,'SegEnds_NonXtal_BW#'!$A:$Z,20,FALSE)+VLOOKUP($A377,A:AL,28,FALSE)-50))</f>
        <v>454</v>
      </c>
      <c r="AD377" s="3">
        <f>IF(ISERROR(VLOOKUP($A377,'SegEnds_NonXtal_BW#'!$A:$Z,21,FALSE)+VLOOKUP($A377,A:AL,31,FALSE)-50),"-",(VLOOKUP($A377,'SegEnds_NonXtal_BW#'!$A:$Z,21,FALSE)+VLOOKUP($A377,A:AL,31,FALSE)-50))</f>
        <v>465</v>
      </c>
      <c r="AE377" s="3">
        <v>487</v>
      </c>
      <c r="AF377" s="3">
        <f>IF(ISERROR((VLOOKUP($A377,'SegEnds_NonXtal_BW#'!$A:$Z,22,FALSE)+VLOOKUP($A377,A:AL,31,FALSE)-50)),"-",(VLOOKUP($A377,'SegEnds_NonXtal_BW#'!$A:$Z,22,FALSE)+VLOOKUP($A377,A:AL,31,FALSE)-50))</f>
        <v>515</v>
      </c>
      <c r="AG377" s="3">
        <f>IF(ISERROR(VLOOKUP($A377,'SegEnds_NonXtal_BW#'!$A:$Z,23,FALSE)+VLOOKUP($A377,A:AL,34,FALSE)-50),"-",(VLOOKUP($A377,'SegEnds_NonXtal_BW#'!$A:$Z,23,FALSE)+VLOOKUP($A377,A:AL,34,FALSE)-50))</f>
        <v>526</v>
      </c>
      <c r="AH377" s="3">
        <v>542</v>
      </c>
      <c r="AI377" s="3">
        <f>IF(ISERROR((VLOOKUP($A377,'SegEnds_NonXtal_BW#'!$A:$Z,24,FALSE)+VLOOKUP($A377,A:AL,34,FALSE)-50)),"-",(VLOOKUP($A377,'SegEnds_NonXtal_BW#'!$A:$Z,24,FALSE)+VLOOKUP($A377,A:AL,34,FALSE)-50))</f>
        <v>549</v>
      </c>
      <c r="AJ377" s="3">
        <f>IF(ISERROR(VLOOKUP($A377,'SegEnds_NonXtal_BW#'!$A:$Z,25,FALSE)+VLOOKUP($A377,A:AL,37,FALSE)-50),"-",(VLOOKUP($A377,'SegEnds_NonXtal_BW#'!$A:$Z,25,FALSE)+VLOOKUP($A377,A:AL,37,FALSE)-50))</f>
        <v>550</v>
      </c>
      <c r="AK377" s="3">
        <v>553</v>
      </c>
      <c r="AL377" s="3">
        <f>IF(ISERROR((VLOOKUP($A377,'SegEnds_NonXtal_BW#'!$A:$Z,26,FALSE)+VLOOKUP($A377,A:AL,37,FALSE)-50)),"-",(VLOOKUP($A377,'SegEnds_NonXtal_BW#'!$A:$Z,26,FALSE)+VLOOKUP($A377,A:AL,37,FALSE)-50))</f>
        <v>565</v>
      </c>
      <c r="AM377" s="28" t="str">
        <f>VLOOKUP(A377,Classification!A:B,2,FALSE)</f>
        <v>F</v>
      </c>
      <c r="AN377" s="28" t="b">
        <f t="shared" si="195"/>
        <v>1</v>
      </c>
      <c r="AO377" s="3" t="str">
        <f>IF(ISERROR(MATCH(A377,'SegEnds_Xtal_Prot#'!B:B, 0)), "NoXtal", "Xtal")</f>
        <v>NoXtal</v>
      </c>
      <c r="AP377" s="3">
        <f t="shared" si="180"/>
        <v>1</v>
      </c>
      <c r="AQ377" s="3">
        <f t="shared" si="181"/>
        <v>1</v>
      </c>
      <c r="AR377" s="3" t="str">
        <f t="shared" si="182"/>
        <v>-</v>
      </c>
      <c r="AS377" s="3" t="str">
        <f t="shared" si="183"/>
        <v>-</v>
      </c>
      <c r="AT377" s="3" t="str">
        <f t="shared" si="184"/>
        <v>-</v>
      </c>
      <c r="AU377" s="3" t="str">
        <f t="shared" si="185"/>
        <v>-</v>
      </c>
      <c r="AV377" s="3">
        <f t="shared" si="186"/>
        <v>11</v>
      </c>
      <c r="AW377" s="3">
        <f t="shared" si="187"/>
        <v>4</v>
      </c>
      <c r="AX377" s="3">
        <f t="shared" si="188"/>
        <v>11</v>
      </c>
      <c r="AY377" s="3">
        <f t="shared" si="189"/>
        <v>11</v>
      </c>
      <c r="AZ377" s="3">
        <f t="shared" si="190"/>
        <v>1</v>
      </c>
      <c r="BA377" s="3">
        <f>IF(ISERROR(LEN(VLOOKUP(A377,Seqs!A:E,2,FALSE))-AL377),"-",LEN(VLOOKUP(A377,Seqs!A:E,2,FALSE))-AL377)</f>
        <v>9</v>
      </c>
      <c r="BB377" s="16">
        <f t="shared" si="191"/>
        <v>26</v>
      </c>
      <c r="BC377" s="9" t="str">
        <f t="shared" si="192"/>
        <v>-</v>
      </c>
      <c r="BD377" s="3">
        <f t="shared" si="193"/>
        <v>26</v>
      </c>
      <c r="BE377" s="3">
        <f t="shared" si="194"/>
        <v>55</v>
      </c>
      <c r="BF377" s="3">
        <f>AH377-AE377</f>
        <v>55</v>
      </c>
    </row>
    <row r="378" spans="1:58" s="3" customFormat="1" x14ac:dyDescent="0.2">
      <c r="A378" s="3" t="s">
        <v>454</v>
      </c>
      <c r="B378" s="3" t="str">
        <f>LOWER(VLOOKUP(A378,Xtal_Templ!A:B,2,FALSE))</f>
        <v>fzd4_human</v>
      </c>
      <c r="C378" s="3">
        <f>VLOOKUP($A378,'SegEnds_NonXtal_BW#'!$A:$Z,3,FALSE)+D378-50</f>
        <v>270</v>
      </c>
      <c r="D378" s="3">
        <v>292</v>
      </c>
      <c r="E378" s="3">
        <f>IF(ISERROR(VLOOKUP($A378,'SegEnds_NonXtal_BW#'!$A:$Z,4,FALSE)+VLOOKUP($A378,A:AL,4,FALSE)-50),"-",(VLOOKUP($A378,'SegEnds_NonXtal_BW#'!$A:$Z,4,FALSE)+VLOOKUP($A378,A:AL,4,FALSE)-50))</f>
        <v>302</v>
      </c>
      <c r="F378" s="3">
        <f t="shared" si="197"/>
        <v>303</v>
      </c>
      <c r="G378" s="3">
        <v>306</v>
      </c>
      <c r="H378" s="3">
        <f t="shared" si="202"/>
        <v>307</v>
      </c>
      <c r="I378" s="3">
        <f t="shared" si="199"/>
        <v>308</v>
      </c>
      <c r="J378" s="3">
        <v>318</v>
      </c>
      <c r="K378" s="3">
        <f>VLOOKUP($A378,'SegEnds_NonXtal_BW#'!$A:$Z,8,FALSE)+VLOOKUP($A378,A:AL,10,FALSE)-50</f>
        <v>334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393</v>
      </c>
      <c r="P378" s="3">
        <v>421</v>
      </c>
      <c r="Q378" s="3">
        <f>VLOOKUP($A378,'SegEnds_NonXtal_BW#'!$A:$Z,12,FALSE)+VLOOKUP($A378,A:AL,16,FALSE)-50</f>
        <v>426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437</v>
      </c>
      <c r="V378" s="3">
        <v>446</v>
      </c>
      <c r="W378" s="3">
        <f>IF(ISERROR(VLOOKUP($A378,'SegEnds_NonXtal_BW#'!$A:$Z,16,FALSE)+VLOOKUP($A378,A:AL,22,FALSE)-50),"-",(VLOOKUP($A378,'SegEnds_NonXtal_BW#'!$A:$Z,16,FALSE)+VLOOKUP($A378,A:AL,22,FALSE)-50))</f>
        <v>460</v>
      </c>
      <c r="X378" s="3">
        <f>IF(ISERROR(VLOOKUP($A378,'SegEnds_NonXtal_BW#'!$A:$Z,17,FALSE)+VLOOKUP($A378,A:AL,25,FALSE)-50),"-",(VLOOKUP($A378,'SegEnds_NonXtal_BW#'!$A:$Z,17,FALSE)+VLOOKUP($A378,A:AL,25,FALSE)-50))</f>
        <v>471</v>
      </c>
      <c r="Y378" s="3">
        <v>471</v>
      </c>
      <c r="Z378" s="3">
        <f t="shared" si="201"/>
        <v>473</v>
      </c>
      <c r="AA378" s="3">
        <f>IF(ISERROR(VLOOKUP($A378,'SegEnds_NonXtal_BW#'!$A:$Z,19,FALSE)+VLOOKUP($A378,A:AL,28,FALSE)-50),"-",(VLOOKUP($A378,'SegEnds_NonXtal_BW#'!$A:$Z,19,FALSE)+VLOOKUP($A378,A:AL,28,FALSE)-50))</f>
        <v>477</v>
      </c>
      <c r="AB378" s="3">
        <v>492</v>
      </c>
      <c r="AC378" s="3">
        <f>IF(ISERROR((VLOOKUP($A378,'SegEnds_NonXtal_BW#'!$A:$Z,20,FALSE)+VLOOKUP($A378,A:AL,28,FALSE)-50)),"-",(VLOOKUP($A378,'SegEnds_NonXtal_BW#'!$A:$Z,20,FALSE)+VLOOKUP($A378,A:AL,28,FALSE)-50))</f>
        <v>514</v>
      </c>
      <c r="AD378" s="3">
        <f>IF(ISERROR(VLOOKUP($A378,'SegEnds_NonXtal_BW#'!$A:$Z,21,FALSE)+VLOOKUP($A378,A:AL,31,FALSE)-50),"-",(VLOOKUP($A378,'SegEnds_NonXtal_BW#'!$A:$Z,21,FALSE)+VLOOKUP($A378,A:AL,31,FALSE)-50))</f>
        <v>527</v>
      </c>
      <c r="AE378" s="3">
        <v>549</v>
      </c>
      <c r="AF378" s="3">
        <f>IF(ISERROR((VLOOKUP($A378,'SegEnds_NonXtal_BW#'!$A:$Z,22,FALSE)+VLOOKUP($A378,A:AL,31,FALSE)-50)),"-",(VLOOKUP($A378,'SegEnds_NonXtal_BW#'!$A:$Z,22,FALSE)+VLOOKUP($A378,A:AL,31,FALSE)-50))</f>
        <v>577</v>
      </c>
      <c r="AG378" s="3">
        <f>IF(ISERROR(VLOOKUP($A378,'SegEnds_NonXtal_BW#'!$A:$Z,23,FALSE)+VLOOKUP($A378,A:AL,34,FALSE)-50),"-",(VLOOKUP($A378,'SegEnds_NonXtal_BW#'!$A:$Z,23,FALSE)+VLOOKUP($A378,A:AL,34,FALSE)-50))</f>
        <v>582</v>
      </c>
      <c r="AH378" s="3">
        <v>598</v>
      </c>
      <c r="AI378" s="3">
        <f>IF(ISERROR((VLOOKUP($A378,'SegEnds_NonXtal_BW#'!$A:$Z,24,FALSE)+VLOOKUP($A378,A:AL,34,FALSE)-50)),"-",(VLOOKUP($A378,'SegEnds_NonXtal_BW#'!$A:$Z,24,FALSE)+VLOOKUP($A378,A:AL,34,FALSE)-50))</f>
        <v>605</v>
      </c>
      <c r="AJ378" s="3">
        <f>IF(ISERROR(VLOOKUP($A378,'SegEnds_NonXtal_BW#'!$A:$Z,25,FALSE)+VLOOKUP($A378,A:AL,37,FALSE)-50),"-",(VLOOKUP($A378,'SegEnds_NonXtal_BW#'!$A:$Z,25,FALSE)+VLOOKUP($A378,A:AL,37,FALSE)-50))</f>
        <v>606</v>
      </c>
      <c r="AK378" s="3">
        <v>609</v>
      </c>
      <c r="AL378" s="3">
        <f>IF(ISERROR((VLOOKUP($A378,'SegEnds_NonXtal_BW#'!$A:$Z,26,FALSE)+VLOOKUP($A378,A:AL,37,FALSE)-50)),"-",(VLOOKUP($A378,'SegEnds_NonXtal_BW#'!$A:$Z,26,FALSE)+VLOOKUP($A378,A:AL,37,FALSE)-50))</f>
        <v>621</v>
      </c>
      <c r="AM378" s="28" t="str">
        <f>VLOOKUP(A378,Classification!A:B,2,FALSE)</f>
        <v>F</v>
      </c>
      <c r="AN378" s="28" t="b">
        <f t="shared" si="195"/>
        <v>1</v>
      </c>
      <c r="AO378" s="3" t="str">
        <f>IF(ISERROR(MATCH(A378,'SegEnds_Xtal_Prot#'!B:B, 0)), "NoXtal", "Xtal")</f>
        <v>NoXtal</v>
      </c>
      <c r="AP378" s="3">
        <f t="shared" si="180"/>
        <v>1</v>
      </c>
      <c r="AQ378" s="3">
        <f t="shared" si="181"/>
        <v>1</v>
      </c>
      <c r="AR378" s="3" t="str">
        <f t="shared" si="182"/>
        <v>-</v>
      </c>
      <c r="AS378" s="3" t="str">
        <f t="shared" si="183"/>
        <v>-</v>
      </c>
      <c r="AT378" s="3" t="str">
        <f t="shared" si="184"/>
        <v>-</v>
      </c>
      <c r="AU378" s="3" t="str">
        <f t="shared" si="185"/>
        <v>-</v>
      </c>
      <c r="AV378" s="3">
        <f t="shared" si="186"/>
        <v>11</v>
      </c>
      <c r="AW378" s="3">
        <f t="shared" si="187"/>
        <v>4</v>
      </c>
      <c r="AX378" s="3">
        <f t="shared" si="188"/>
        <v>13</v>
      </c>
      <c r="AY378" s="3">
        <f t="shared" si="189"/>
        <v>5</v>
      </c>
      <c r="AZ378" s="3">
        <f t="shared" si="190"/>
        <v>1</v>
      </c>
      <c r="BA378" s="3">
        <f>IF(ISERROR(LEN(VLOOKUP(A378,Seqs!A:E,2,FALSE))-AL378),"-",LEN(VLOOKUP(A378,Seqs!A:E,2,FALSE))-AL378)</f>
        <v>73</v>
      </c>
      <c r="BB378" s="16">
        <f t="shared" si="191"/>
        <v>26</v>
      </c>
      <c r="BC378" s="9" t="str">
        <f t="shared" si="192"/>
        <v>-</v>
      </c>
      <c r="BD378" s="3">
        <f t="shared" si="193"/>
        <v>26</v>
      </c>
      <c r="BE378" s="3">
        <f t="shared" si="194"/>
        <v>57</v>
      </c>
    </row>
    <row r="379" spans="1:58" s="3" customFormat="1" x14ac:dyDescent="0.2">
      <c r="A379" s="3" t="s">
        <v>455</v>
      </c>
      <c r="B379" s="3" t="str">
        <f>LOWER(VLOOKUP(A379,Xtal_Templ!A:B,2,FALSE))</f>
        <v>fzd4_human</v>
      </c>
      <c r="C379" s="3">
        <f>VLOOKUP($A379,'SegEnds_NonXtal_BW#'!$A:$Z,3,FALSE)+D379-50</f>
        <v>224</v>
      </c>
      <c r="D379" s="3">
        <v>246</v>
      </c>
      <c r="E379" s="3">
        <f>IF(ISERROR(VLOOKUP($A379,'SegEnds_NonXtal_BW#'!$A:$Z,4,FALSE)+VLOOKUP($A379,A:AL,4,FALSE)-50),"-",(VLOOKUP($A379,'SegEnds_NonXtal_BW#'!$A:$Z,4,FALSE)+VLOOKUP($A379,A:AL,4,FALSE)-50))</f>
        <v>256</v>
      </c>
      <c r="F379" s="3">
        <f t="shared" si="197"/>
        <v>257</v>
      </c>
      <c r="G379" s="3">
        <v>260</v>
      </c>
      <c r="H379" s="3">
        <f t="shared" si="202"/>
        <v>261</v>
      </c>
      <c r="I379" s="3">
        <f t="shared" si="199"/>
        <v>262</v>
      </c>
      <c r="J379" s="3">
        <v>272</v>
      </c>
      <c r="K379" s="3">
        <f>VLOOKUP($A379,'SegEnds_NonXtal_BW#'!$A:$Z,8,FALSE)+VLOOKUP($A379,A:AL,10,FALSE)-50</f>
        <v>288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310</v>
      </c>
      <c r="P379" s="3">
        <v>338</v>
      </c>
      <c r="Q379" s="3">
        <f>VLOOKUP($A379,'SegEnds_NonXtal_BW#'!$A:$Z,12,FALSE)+VLOOKUP($A379,A:AL,16,FALSE)-50</f>
        <v>343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354</v>
      </c>
      <c r="V379" s="3">
        <v>363</v>
      </c>
      <c r="W379" s="3">
        <f>IF(ISERROR(VLOOKUP($A379,'SegEnds_NonXtal_BW#'!$A:$Z,16,FALSE)+VLOOKUP($A379,A:AL,22,FALSE)-50),"-",(VLOOKUP($A379,'SegEnds_NonXtal_BW#'!$A:$Z,16,FALSE)+VLOOKUP($A379,A:AL,22,FALSE)-50))</f>
        <v>377</v>
      </c>
      <c r="X379" s="3">
        <f>IF(ISERROR(VLOOKUP($A379,'SegEnds_NonXtal_BW#'!$A:$Z,17,FALSE)+VLOOKUP($A379,A:AL,25,FALSE)-50),"-",(VLOOKUP($A379,'SegEnds_NonXtal_BW#'!$A:$Z,17,FALSE)+VLOOKUP($A379,A:AL,25,FALSE)-50))</f>
        <v>388</v>
      </c>
      <c r="Y379" s="3">
        <v>388</v>
      </c>
      <c r="Z379" s="3">
        <f t="shared" si="201"/>
        <v>390</v>
      </c>
      <c r="AA379" s="3">
        <f>IF(ISERROR(VLOOKUP($A379,'SegEnds_NonXtal_BW#'!$A:$Z,19,FALSE)+VLOOKUP($A379,A:AL,28,FALSE)-50),"-",(VLOOKUP($A379,'SegEnds_NonXtal_BW#'!$A:$Z,19,FALSE)+VLOOKUP($A379,A:AL,28,FALSE)-50))</f>
        <v>394</v>
      </c>
      <c r="AB379" s="3">
        <v>409</v>
      </c>
      <c r="AC379" s="3">
        <f>IF(ISERROR((VLOOKUP($A379,'SegEnds_NonXtal_BW#'!$A:$Z,20,FALSE)+VLOOKUP($A379,A:AL,28,FALSE)-50)),"-",(VLOOKUP($A379,'SegEnds_NonXtal_BW#'!$A:$Z,20,FALSE)+VLOOKUP($A379,A:AL,28,FALSE)-50))</f>
        <v>431</v>
      </c>
      <c r="AD379" s="3">
        <f>IF(ISERROR(VLOOKUP($A379,'SegEnds_NonXtal_BW#'!$A:$Z,21,FALSE)+VLOOKUP($A379,A:AL,31,FALSE)-50),"-",(VLOOKUP($A379,'SegEnds_NonXtal_BW#'!$A:$Z,21,FALSE)+VLOOKUP($A379,A:AL,31,FALSE)-50))</f>
        <v>442</v>
      </c>
      <c r="AE379" s="3">
        <v>464</v>
      </c>
      <c r="AF379" s="3">
        <f>IF(ISERROR((VLOOKUP($A379,'SegEnds_NonXtal_BW#'!$A:$Z,22,FALSE)+VLOOKUP($A379,A:AL,31,FALSE)-50)),"-",(VLOOKUP($A379,'SegEnds_NonXtal_BW#'!$A:$Z,22,FALSE)+VLOOKUP($A379,A:AL,31,FALSE)-50))</f>
        <v>492</v>
      </c>
      <c r="AG379" s="3">
        <f>IF(ISERROR(VLOOKUP($A379,'SegEnds_NonXtal_BW#'!$A:$Z,23,FALSE)+VLOOKUP($A379,A:AL,34,FALSE)-50),"-",(VLOOKUP($A379,'SegEnds_NonXtal_BW#'!$A:$Z,23,FALSE)+VLOOKUP($A379,A:AL,34,FALSE)-50))</f>
        <v>506</v>
      </c>
      <c r="AH379" s="3">
        <v>522</v>
      </c>
      <c r="AI379" s="3">
        <f>IF(ISERROR((VLOOKUP($A379,'SegEnds_NonXtal_BW#'!$A:$Z,24,FALSE)+VLOOKUP($A379,A:AL,34,FALSE)-50)),"-",(VLOOKUP($A379,'SegEnds_NonXtal_BW#'!$A:$Z,24,FALSE)+VLOOKUP($A379,A:AL,34,FALSE)-50))</f>
        <v>529</v>
      </c>
      <c r="AJ379" s="3">
        <f>IF(ISERROR(VLOOKUP($A379,'SegEnds_NonXtal_BW#'!$A:$Z,25,FALSE)+VLOOKUP($A379,A:AL,37,FALSE)-50),"-",(VLOOKUP($A379,'SegEnds_NonXtal_BW#'!$A:$Z,25,FALSE)+VLOOKUP($A379,A:AL,37,FALSE)-50))</f>
        <v>530</v>
      </c>
      <c r="AK379" s="3">
        <v>533</v>
      </c>
      <c r="AL379" s="3">
        <f>IF(ISERROR((VLOOKUP($A379,'SegEnds_NonXtal_BW#'!$A:$Z,26,FALSE)+VLOOKUP($A379,A:AL,37,FALSE)-50)),"-",(VLOOKUP($A379,'SegEnds_NonXtal_BW#'!$A:$Z,26,FALSE)+VLOOKUP($A379,A:AL,37,FALSE)-50))</f>
        <v>545</v>
      </c>
      <c r="AM379" s="28" t="str">
        <f>VLOOKUP(A379,Classification!A:B,2,FALSE)</f>
        <v>F</v>
      </c>
      <c r="AN379" s="28" t="b">
        <f t="shared" si="195"/>
        <v>1</v>
      </c>
      <c r="AO379" s="3" t="str">
        <f>IF(ISERROR(MATCH(A379,'SegEnds_Xtal_Prot#'!B:B, 0)), "NoXtal", "Xtal")</f>
        <v>NoXtal</v>
      </c>
      <c r="AP379" s="3">
        <f t="shared" si="180"/>
        <v>1</v>
      </c>
      <c r="AQ379" s="3">
        <f t="shared" si="181"/>
        <v>1</v>
      </c>
      <c r="AR379" s="3" t="str">
        <f t="shared" si="182"/>
        <v>-</v>
      </c>
      <c r="AS379" s="3" t="str">
        <f t="shared" si="183"/>
        <v>-</v>
      </c>
      <c r="AT379" s="3" t="str">
        <f t="shared" si="184"/>
        <v>-</v>
      </c>
      <c r="AU379" s="3" t="str">
        <f t="shared" si="185"/>
        <v>-</v>
      </c>
      <c r="AV379" s="3">
        <f t="shared" si="186"/>
        <v>11</v>
      </c>
      <c r="AW379" s="3">
        <f t="shared" si="187"/>
        <v>4</v>
      </c>
      <c r="AX379" s="3">
        <f t="shared" si="188"/>
        <v>11</v>
      </c>
      <c r="AY379" s="3">
        <f t="shared" si="189"/>
        <v>14</v>
      </c>
      <c r="AZ379" s="3">
        <f t="shared" si="190"/>
        <v>1</v>
      </c>
      <c r="BA379" s="3">
        <f>IF(ISERROR(LEN(VLOOKUP(A379,Seqs!A:E,2,FALSE))-AL379),"-",LEN(VLOOKUP(A379,Seqs!A:E,2,FALSE))-AL379)</f>
        <v>46</v>
      </c>
      <c r="BB379" s="16">
        <f t="shared" si="191"/>
        <v>26</v>
      </c>
      <c r="BC379" s="9" t="str">
        <f t="shared" si="192"/>
        <v>-</v>
      </c>
      <c r="BD379" s="3">
        <f t="shared" si="193"/>
        <v>26</v>
      </c>
      <c r="BE379" s="3">
        <f t="shared" si="194"/>
        <v>55</v>
      </c>
    </row>
    <row r="380" spans="1:58" s="3" customFormat="1" x14ac:dyDescent="0.2">
      <c r="A380" s="3" t="s">
        <v>33</v>
      </c>
      <c r="B380" s="3" t="str">
        <f>LOWER(VLOOKUP(A380,Xtal_Templ!A:B,2,FALSE))</f>
        <v>smo_human</v>
      </c>
      <c r="C380" s="3">
        <f>VLOOKUP($A380,'SegEnds_NonXtal_BW#'!$A:$Z,3,FALSE)+D380-50</f>
        <v>223</v>
      </c>
      <c r="D380" s="3">
        <v>245</v>
      </c>
      <c r="E380" s="3">
        <f>IF(ISERROR(VLOOKUP($A380,'SegEnds_NonXtal_BW#'!$A:$Z,4,FALSE)+VLOOKUP($A380,A:AL,4,FALSE)-50),"-",(VLOOKUP($A380,'SegEnds_NonXtal_BW#'!$A:$Z,4,FALSE)+VLOOKUP($A380,A:AL,4,FALSE)-50))</f>
        <v>255</v>
      </c>
      <c r="F380" s="3">
        <f t="shared" si="197"/>
        <v>256</v>
      </c>
      <c r="G380" s="3">
        <v>259</v>
      </c>
      <c r="H380" s="3">
        <f t="shared" si="202"/>
        <v>260</v>
      </c>
      <c r="I380" s="3">
        <f t="shared" si="199"/>
        <v>261</v>
      </c>
      <c r="J380" s="3">
        <v>272</v>
      </c>
      <c r="K380" s="3">
        <f>VLOOKUP($A380,'SegEnds_NonXtal_BW#'!$A:$Z,8,FALSE)+VLOOKUP($A380,A:AL,10,FALSE)-50</f>
        <v>285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312</v>
      </c>
      <c r="P380" s="3">
        <v>339</v>
      </c>
      <c r="Q380" s="3">
        <f>VLOOKUP($A380,'SegEnds_NonXtal_BW#'!$A:$Z,12,FALSE)+VLOOKUP($A380,A:AL,16,FALSE)-50</f>
        <v>345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356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378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01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442</v>
      </c>
      <c r="AE380" s="3">
        <v>468</v>
      </c>
      <c r="AF380" s="3">
        <f>IF(ISERROR((VLOOKUP($A380,'SegEnds_NonXtal_BW#'!$A:$Z,22,FALSE)+VLOOKUP($A380,A:AL,31,FALSE)-50)),"-",(VLOOKUP($A380,'SegEnds_NonXtal_BW#'!$A:$Z,22,FALSE)+VLOOKUP($A380,A:AL,31,FALSE)-50))</f>
        <v>496</v>
      </c>
      <c r="AG380" s="3">
        <f>IF(ISERROR(VLOOKUP($A380,'SegEnds_NonXtal_BW#'!$A:$Z,23,FALSE)+VLOOKUP($A380,A:AL,34,FALSE)-50),"-",(VLOOKUP($A380,'SegEnds_NonXtal_BW#'!$A:$Z,23,FALSE)+VLOOKUP($A380,A:AL,34,FALSE)-50))</f>
        <v>514</v>
      </c>
      <c r="AH380" s="3">
        <v>530</v>
      </c>
      <c r="AI380" s="3">
        <f>IF(ISERROR((VLOOKUP($A380,'SegEnds_NonXtal_BW#'!$A:$Z,24,FALSE)+VLOOKUP($A380,A:AL,34,FALSE)-50)),"-",(VLOOKUP($A380,'SegEnds_NonXtal_BW#'!$A:$Z,24,FALSE)+VLOOKUP($A380,A:AL,34,FALSE)-50))</f>
        <v>537</v>
      </c>
      <c r="AJ380" s="3">
        <f>IF(ISERROR(VLOOKUP($A380,'SegEnds_NonXtal_BW#'!$A:$Z,25,FALSE)+VLOOKUP($A380,A:AL,37,FALSE)-50),"-",(VLOOKUP($A380,'SegEnds_NonXtal_BW#'!$A:$Z,25,FALSE)+VLOOKUP($A380,A:AL,37,FALSE)-50))</f>
        <v>538</v>
      </c>
      <c r="AK380" s="3">
        <v>541</v>
      </c>
      <c r="AL380" s="3">
        <f>IF(ISERROR((VLOOKUP($A380,'SegEnds_NonXtal_BW#'!$A:$Z,26,FALSE)+VLOOKUP($A380,A:AL,37,FALSE)-50)),"-",(VLOOKUP($A380,'SegEnds_NonXtal_BW#'!$A:$Z,26,FALSE)+VLOOKUP($A380,A:AL,37,FALSE)-50))</f>
        <v>553</v>
      </c>
      <c r="AM380" s="28" t="str">
        <f>VLOOKUP(A380,Classification!A:B,2,FALSE)</f>
        <v>F</v>
      </c>
      <c r="AN380" s="28" t="b">
        <f t="shared" si="195"/>
        <v>1</v>
      </c>
      <c r="AO380" s="3" t="str">
        <f>IF(ISERROR(MATCH(A380,'SegEnds_Xtal_Prot#'!B:B, 0)), "NoXtal", "Xtal")</f>
        <v>Xtal</v>
      </c>
      <c r="AP380" s="3">
        <f t="shared" si="180"/>
        <v>1</v>
      </c>
      <c r="AQ380" s="3">
        <f t="shared" si="181"/>
        <v>1</v>
      </c>
      <c r="AR380" s="3" t="str">
        <f t="shared" si="182"/>
        <v>-</v>
      </c>
      <c r="AS380" s="3" t="str">
        <f t="shared" si="183"/>
        <v>-</v>
      </c>
      <c r="AT380" s="3" t="str">
        <f t="shared" si="184"/>
        <v>-</v>
      </c>
      <c r="AU380" s="3" t="str">
        <f t="shared" si="185"/>
        <v>-</v>
      </c>
      <c r="AV380" s="3">
        <f t="shared" si="186"/>
        <v>12</v>
      </c>
      <c r="AW380" s="3">
        <f t="shared" si="187"/>
        <v>4</v>
      </c>
      <c r="AX380" s="3">
        <f t="shared" si="188"/>
        <v>9</v>
      </c>
      <c r="AY380" s="3">
        <f t="shared" si="189"/>
        <v>18</v>
      </c>
      <c r="AZ380" s="3">
        <f t="shared" si="190"/>
        <v>1</v>
      </c>
      <c r="BA380" s="3">
        <f>IF(ISERROR(LEN(VLOOKUP(A380,Seqs!A:E,2,FALSE))-AL380),"-",LEN(VLOOKUP(A380,Seqs!A:E,2,FALSE))-AL380)</f>
        <v>234</v>
      </c>
      <c r="BB380" s="16">
        <f t="shared" si="191"/>
        <v>27</v>
      </c>
      <c r="BC380" s="9" t="str">
        <f t="shared" si="192"/>
        <v>-</v>
      </c>
      <c r="BD380" s="3">
        <f t="shared" si="193"/>
        <v>27</v>
      </c>
      <c r="BE380" s="3">
        <f t="shared" si="194"/>
        <v>57</v>
      </c>
    </row>
    <row r="381" spans="1:58" s="9" customFormat="1" x14ac:dyDescent="0.2">
      <c r="A381" s="128" t="s">
        <v>1496</v>
      </c>
      <c r="B381" s="9" t="str">
        <f>LOWER(VLOOKUP(A381,Xtal_Templ!A:B,2,FALSE))</f>
        <v>q98sw5_xenla</v>
      </c>
      <c r="C381" s="9">
        <f>VLOOKUP($A381,'SegEnds_NonXtal_BW#'!$A:$Z,3,FALSE)+D381-50</f>
        <v>196</v>
      </c>
      <c r="D381" s="9">
        <v>218</v>
      </c>
      <c r="E381" s="9">
        <f>IF(ISERROR(VLOOKUP($A381,'SegEnds_NonXtal_BW#'!$A:$Z,4,FALSE)+VLOOKUP($A381,A:AL,4,FALSE)-50),"-",(VLOOKUP($A381,'SegEnds_NonXtal_BW#'!$A:$Z,4,FALSE)+VLOOKUP($A381,A:AL,4,FALSE)-50))</f>
        <v>228</v>
      </c>
      <c r="F381" s="9">
        <f>G381-3</f>
        <v>229</v>
      </c>
      <c r="G381" s="9">
        <v>232</v>
      </c>
      <c r="H381" s="9">
        <f>G381+1</f>
        <v>233</v>
      </c>
      <c r="I381" s="9">
        <f>H381+1</f>
        <v>234</v>
      </c>
      <c r="J381" s="9">
        <v>245</v>
      </c>
      <c r="K381" s="9">
        <f>VLOOKUP($A381,'SegEnds_NonXtal_BW#'!$A:$Z,8,FALSE)+VLOOKUP($A381,A:AL,10,FALSE)-50</f>
        <v>256</v>
      </c>
      <c r="L381" s="9" t="str">
        <f>IF(ISERROR(VLOOKUP($A381,'SegEnds_NonXtal_BW#'!$A:$Z,9,FALSE)+VLOOKUP($A381,A:AL,13,FALSE)-50),"-",(VLOOKUP($A381,'SegEnds_NonXtal_BW#'!$A:$Z,9,FALSE)+VLOOKUP($A381,A:AL,13,FALSE)-50))</f>
        <v>-</v>
      </c>
      <c r="M381" s="9" t="s">
        <v>23</v>
      </c>
      <c r="N381" s="9" t="str">
        <f>IF(ISERROR(VLOOKUP($A381,'SegEnds_NonXtal_BW#'!$A:$Z,10,FALSE)+VLOOKUP($A381,A:AL,13,FALSE)-50),"-",(VLOOKUP($A381,'SegEnds_NonXtal_BW#'!$A:$Z,10,FALSE)+VLOOKUP($A381,A:AL,13,FALSE)-50))</f>
        <v>-</v>
      </c>
      <c r="O381" s="9">
        <f>VLOOKUP($A381,'SegEnds_NonXtal_BW#'!$A:$Z,11,FALSE)+VLOOKUP($A381,A:AL,16,FALSE)-50</f>
        <v>285</v>
      </c>
      <c r="P381" s="9">
        <v>312</v>
      </c>
      <c r="Q381" s="9">
        <f>VLOOKUP($A381,'SegEnds_NonXtal_BW#'!$A:$Z,12,FALSE)+VLOOKUP($A381,A:AL,16,FALSE)-50</f>
        <v>321</v>
      </c>
      <c r="R381" s="9" t="str">
        <f>IF(ISERROR(VLOOKUP($A381,'SegEnds_NonXtal_BW#'!$A:$Z,13,FALSE)+VLOOKUP($A381,A:AL,19,FALSE)-50),"-",VLOOKUP($A381,'SegEnds_NonXtal_BW#'!$A:$Z,13,FALSE)+VLOOKUP($A381,A:AL,19,FALSE)-50)</f>
        <v>-</v>
      </c>
      <c r="S381" s="9" t="s">
        <v>23</v>
      </c>
      <c r="T381" s="9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326</v>
      </c>
      <c r="V381" s="9">
        <v>338</v>
      </c>
      <c r="W381" s="9">
        <f>IF(ISERROR(VLOOKUP($A381,'SegEnds_NonXtal_BW#'!$A:$Z,16,FALSE)+VLOOKUP($A381,A:AL,22,FALSE)-50),"-",(VLOOKUP($A381,'SegEnds_NonXtal_BW#'!$A:$Z,16,FALSE)+VLOOKUP($A381,A:AL,22,FALSE)-50))</f>
        <v>351</v>
      </c>
      <c r="X381" s="9">
        <f>IF(ISERROR(VLOOKUP($A381,'SegEnds_NonXtal_BW#'!$A:$Z,17,FALSE)+VLOOKUP($A381,A:AL,25,FALSE)-50),"-",(VLOOKUP($A381,'SegEnds_NonXtal_BW#'!$A:$Z,17,FALSE)+VLOOKUP($A381,A:AL,25,FALSE)-50))</f>
        <v>363</v>
      </c>
      <c r="Y381" s="9">
        <v>363</v>
      </c>
      <c r="Z381" s="9">
        <f>Y381+2</f>
        <v>365</v>
      </c>
      <c r="AA381" s="9">
        <f>IF(ISERROR(VLOOKUP($A381,'SegEnds_NonXtal_BW#'!$A:$Z,19,FALSE)+VLOOKUP($A381,A:AL,28,FALSE)-50),"-",(VLOOKUP($A381,'SegEnds_NonXtal_BW#'!$A:$Z,19,FALSE)+VLOOKUP($A381,A:AL,28,FALSE)-50))</f>
        <v>369</v>
      </c>
      <c r="AB381" s="9">
        <v>384</v>
      </c>
      <c r="AC381" s="9">
        <f>IF(ISERROR((VLOOKUP($A381,'SegEnds_NonXtal_BW#'!$A:$Z,20,FALSE)+VLOOKUP($A381,A:AL,28,FALSE)-50)),"-",(VLOOKUP($A381,'SegEnds_NonXtal_BW#'!$A:$Z,20,FALSE)+VLOOKUP($A381,A:AL,28,FALSE)-50))</f>
        <v>406</v>
      </c>
      <c r="AD381" s="9">
        <f>IF(ISERROR(VLOOKUP($A381,'SegEnds_NonXtal_BW#'!$A:$Z,21,FALSE)+VLOOKUP($A381,A:AL,31,FALSE)-50),"-",(VLOOKUP($A381,'SegEnds_NonXtal_BW#'!$A:$Z,21,FALSE)+VLOOKUP($A381,A:AL,31,FALSE)-50))</f>
        <v>415</v>
      </c>
      <c r="AE381" s="9">
        <v>441</v>
      </c>
      <c r="AF381" s="9">
        <f>IF(ISERROR((VLOOKUP($A381,'SegEnds_NonXtal_BW#'!$A:$Z,22,FALSE)+VLOOKUP($A381,A:AL,31,FALSE)-50)),"-",(VLOOKUP($A381,'SegEnds_NonXtal_BW#'!$A:$Z,22,FALSE)+VLOOKUP($A381,A:AL,31,FALSE)-50))</f>
        <v>472</v>
      </c>
      <c r="AG381" s="9">
        <f>IF(ISERROR(VLOOKUP($A381,'SegEnds_NonXtal_BW#'!$A:$Z,23,FALSE)+VLOOKUP($A381,A:AL,34,FALSE)-50),"-",(VLOOKUP($A381,'SegEnds_NonXtal_BW#'!$A:$Z,23,FALSE)+VLOOKUP($A381,A:AL,34,FALSE)-50))</f>
        <v>487</v>
      </c>
      <c r="AH381" s="9">
        <v>503</v>
      </c>
      <c r="AI381" s="9">
        <f>IF(ISERROR((VLOOKUP($A381,'SegEnds_NonXtal_BW#'!$A:$Z,24,FALSE)+VLOOKUP($A381,A:AL,34,FALSE)-50)),"-",(VLOOKUP($A381,'SegEnds_NonXtal_BW#'!$A:$Z,24,FALSE)+VLOOKUP($A381,A:AL,34,FALSE)-50))</f>
        <v>510</v>
      </c>
      <c r="AJ381" s="9">
        <f>IF(ISERROR(VLOOKUP($A381,'SegEnds_NonXtal_BW#'!$A:$Z,25,FALSE)+VLOOKUP($A381,A:AL,37,FALSE)-50),"-",(VLOOKUP($A381,'SegEnds_NonXtal_BW#'!$A:$Z,25,FALSE)+VLOOKUP($A381,A:AL,37,FALSE)-50))</f>
        <v>511</v>
      </c>
      <c r="AK381" s="9">
        <v>514</v>
      </c>
      <c r="AL381" s="9">
        <f>IF(ISERROR((VLOOKUP($A381,'SegEnds_NonXtal_BW#'!$A:$Z,26,FALSE)+VLOOKUP($A381,A:AL,37,FALSE)-50)),"-",(VLOOKUP($A381,'SegEnds_NonXtal_BW#'!$A:$Z,26,FALSE)+VLOOKUP($A381,A:AL,37,FALSE)-50))</f>
        <v>526</v>
      </c>
      <c r="AM381" s="58" t="str">
        <f>VLOOKUP(A381,Classification!A:B,2,FALSE)</f>
        <v>F</v>
      </c>
      <c r="AN381" s="58" t="b">
        <f>AND(IF(Y381="-",IF(AA381-W381&gt;3,TRUE,FALSE),TRUE),IF(M381="-",IF(O381-K381&gt;3,TRUE,FALSE),TRUE),IF(AG381-AF381&gt;1,TRUE,FALSE),C381&lt;E381,OR(E381&lt;F381,F381="-"),OR(F381&lt;H381,F381="-"),OR(H381&lt;I381,H381="-"),I381&lt;K381,OR(K381&lt;L381,L381="-"),OR(L381&lt;N381,L381="-"),OR(N381&lt;O381,N381="-"),O381&lt;Q381,OR(Q381&lt;R381,R381="-"),OR(R381&lt;T381,R381="-"),OR(T381&lt;U381,T381="-"),U381&lt;W381,OR(W381&lt;X381,X381="-"),OR(X381&lt;Z381,X381="-"),OR(Z381&lt;AA381,Z381="-"),AA381&lt;AC381,AC381&lt;AD381,AD381&lt;AF381,AF381&lt;AG381,AG381&lt;AI381,OR(AI381&lt;AJ381,AJ381="-"),OR(AJ381&lt;AL381,AJ381="-"))</f>
        <v>1</v>
      </c>
      <c r="AO381" s="9" t="str">
        <f>IF(ISERROR(MATCH(A381,'SegEnds_Xtal_Prot#'!B:B, 0)), "NoXtal", "Xtal")</f>
        <v>Xtal</v>
      </c>
      <c r="AP381" s="9">
        <f>IF(ISERROR(F381-E381),"-",F381-E381)</f>
        <v>1</v>
      </c>
      <c r="AQ381" s="9">
        <f>IF(ISERROR(I381-H381),"-",I381-H381)</f>
        <v>1</v>
      </c>
      <c r="AR381" s="9" t="str">
        <f>IF(ISERROR(L381-K381),"-",L381-K381)</f>
        <v>-</v>
      </c>
      <c r="AS381" s="9" t="str">
        <f>IF(ISERROR(O381-N381),"-",O381-N381)</f>
        <v>-</v>
      </c>
      <c r="AT381" s="9" t="str">
        <f>IF(ISERROR(R381-Q381),"-",R381-Q381)</f>
        <v>-</v>
      </c>
      <c r="AU381" s="9" t="str">
        <f>IF(ISERROR(U381-T381),"-",U381-T381)</f>
        <v>-</v>
      </c>
      <c r="AV381" s="9">
        <f>IF(ISERROR(X381-W381),"-",X381-W381)</f>
        <v>12</v>
      </c>
      <c r="AW381" s="9">
        <f>IF(ISERROR(AA381-Z381),"-",AA381-Z381)</f>
        <v>4</v>
      </c>
      <c r="AX381" s="9">
        <f>IF(ISERROR(AD381-AC381),"-",AD381-AC381)</f>
        <v>9</v>
      </c>
      <c r="AY381" s="9">
        <f>IF(ISERROR(AG381-AF381),"-",AG381-AF381)</f>
        <v>15</v>
      </c>
      <c r="AZ381" s="9">
        <f>IF(ISERROR(AJ381-AI381),"-",AJ381-AI381)</f>
        <v>1</v>
      </c>
      <c r="BA381" s="9">
        <f>IF(ISERROR(LEN(VLOOKUP(A381,Seqs!A:E,2,FALSE))-AL381),"-",LEN(VLOOKUP(A381,Seqs!A:E,2,FALSE))-AL381)</f>
        <v>288</v>
      </c>
      <c r="BB381" s="127">
        <f>J381-D381</f>
        <v>27</v>
      </c>
      <c r="BC381" s="9" t="str">
        <f>IF(ISERROR(V381-S381),"-",V381-S381)</f>
        <v>-</v>
      </c>
      <c r="BD381" s="9">
        <f>J381-D381</f>
        <v>27</v>
      </c>
      <c r="BE381" s="9">
        <f>AE381-AB381</f>
        <v>57</v>
      </c>
    </row>
    <row r="382" spans="1:58" s="3" customFormat="1" x14ac:dyDescent="0.2">
      <c r="A382" s="3" t="s">
        <v>481</v>
      </c>
      <c r="B382" s="3" t="str">
        <f>LOWER(VLOOKUP(A382,Xtal_Templ!A:B,2,FALSE))</f>
        <v>agtr1_human</v>
      </c>
      <c r="C382" s="3">
        <v>20</v>
      </c>
      <c r="D382" s="3">
        <v>53</v>
      </c>
      <c r="E382" s="3">
        <f>IF(ISERROR(VLOOKUP($A382,'SegEnds_NonXtal_BW#'!$A:$Z,4,FALSE)+VLOOKUP($A382,A:AL,4,FALSE)-50),"-",(VLOOKUP($A382,'SegEnds_NonXtal_BW#'!$A:$Z,4,FALSE)+VLOOKUP($A382,A:AL,4,FALSE)-50))</f>
        <v>63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60</v>
      </c>
      <c r="J382" s="3">
        <v>71</v>
      </c>
      <c r="K382" s="3">
        <f>VLOOKUP($A382,'SegEnds_NonXtal_BW#'!$A:$Z,8,FALSE)+VLOOKUP($A382,A:AL,10,FALSE)-50</f>
        <v>84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125</v>
      </c>
      <c r="P382" s="3">
        <v>152</v>
      </c>
      <c r="Q382" s="3">
        <f>VLOOKUP($A382,'SegEnds_NonXtal_BW#'!$A:$Z,12,FALSE)+VLOOKUP($A382,A:AL,16,FALSE)-50</f>
        <v>158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175</v>
      </c>
      <c r="V382" s="3">
        <v>185</v>
      </c>
      <c r="W382" s="3">
        <f>IF(ISERROR(VLOOKUP($A382,'SegEnds_NonXtal_BW#'!$A:$Z,16,FALSE)+VLOOKUP($A382,A:AL,22,FALSE)-50),"-",(VLOOKUP($A382,'SegEnds_NonXtal_BW#'!$A:$Z,16,FALSE)+VLOOKUP($A382,A:AL,22,FALSE)-50))</f>
        <v>199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257</v>
      </c>
      <c r="AB382" s="3">
        <v>268</v>
      </c>
      <c r="AC382" s="3">
        <f>IF(ISERROR((VLOOKUP($A382,'SegEnds_NonXtal_BW#'!$A:$Z,20,FALSE)+VLOOKUP($A382,A:AL,28,FALSE)-50)),"-",(VLOOKUP($A382,'SegEnds_NonXtal_BW#'!$A:$Z,20,FALSE)+VLOOKUP($A382,A:AL,28,FALSE)-50))</f>
        <v>279</v>
      </c>
      <c r="AD382" s="3">
        <f>IF(ISERROR(VLOOKUP($A382,'SegEnds_NonXtal_BW#'!$A:$Z,21,FALSE)+VLOOKUP($A382,A:AL,31,FALSE)-50),"-",(VLOOKUP($A382,'SegEnds_NonXtal_BW#'!$A:$Z,21,FALSE)+VLOOKUP($A382,A:AL,31,FALSE)-50))</f>
        <v>326</v>
      </c>
      <c r="AE382" s="3">
        <v>347</v>
      </c>
      <c r="AF382" s="3">
        <f>IF(ISERROR((VLOOKUP($A382,'SegEnds_NonXtal_BW#'!$A:$Z,22,FALSE)+VLOOKUP($A382,A:AL,31,FALSE)-50)),"-",(VLOOKUP($A382,'SegEnds_NonXtal_BW#'!$A:$Z,22,FALSE)+VLOOKUP($A382,A:AL,31,FALSE)-50))</f>
        <v>350</v>
      </c>
      <c r="AG382" s="3">
        <f>IF(ISERROR(VLOOKUP($A382,'SegEnds_NonXtal_BW#'!$A:$Z,23,FALSE)+VLOOKUP($A382,A:AL,34,FALSE)-50),"-",(VLOOKUP($A382,'SegEnds_NonXtal_BW#'!$A:$Z,23,FALSE)+VLOOKUP($A382,A:AL,34,FALSE)-50))</f>
        <v>365</v>
      </c>
      <c r="AH382" s="3">
        <v>380</v>
      </c>
      <c r="AI382" s="3">
        <f>IF(ISERROR((VLOOKUP($A382,'SegEnds_NonXtal_BW#'!$A:$Z,24,FALSE)+VLOOKUP($A382,A:AL,34,FALSE)-50)),"-",(VLOOKUP($A382,'SegEnds_NonXtal_BW#'!$A:$Z,24,FALSE)+VLOOKUP($A382,A:AL,34,FALSE)-50))</f>
        <v>386</v>
      </c>
      <c r="AJ382" s="3">
        <f>IF(ISERROR(VLOOKUP($A382,'SegEnds_NonXtal_BW#'!$A:$Z,25,FALSE)+VLOOKUP($A382,A:AL,37,FALSE)-50),"-",(VLOOKUP($A382,'SegEnds_NonXtal_BW#'!$A:$Z,25,FALSE)+VLOOKUP($A382,A:AL,37,FALSE)-50))</f>
        <v>387</v>
      </c>
      <c r="AK382" s="3">
        <v>390</v>
      </c>
      <c r="AL382" s="3">
        <f>IF(ISERROR((VLOOKUP($A382,'SegEnds_NonXtal_BW#'!$A:$Z,26,FALSE)+VLOOKUP($A382,A:AL,37,FALSE)-50)),"-",(VLOOKUP($A382,'SegEnds_NonXtal_BW#'!$A:$Z,26,FALSE)+VLOOKUP($A382,A:AL,37,FALSE)-50))</f>
        <v>397</v>
      </c>
      <c r="AM382" s="28" t="str">
        <f>VLOOKUP(A382,Classification!A:B,2,FALSE)</f>
        <v>O</v>
      </c>
      <c r="AN382" s="28" t="b">
        <f t="shared" si="195"/>
        <v>1</v>
      </c>
      <c r="AO382" s="3" t="str">
        <f>IF(ISERROR(MATCH(A382,'SegEnds_Xtal_Prot#'!B:B, 0)), "NoXtal", "Xtal")</f>
        <v>NoXtal</v>
      </c>
      <c r="AP382" s="3" t="str">
        <f t="shared" si="180"/>
        <v>-</v>
      </c>
      <c r="AQ382" s="3" t="str">
        <f t="shared" si="181"/>
        <v>-</v>
      </c>
      <c r="AR382" s="3" t="str">
        <f t="shared" si="182"/>
        <v>-</v>
      </c>
      <c r="AS382" s="3" t="str">
        <f t="shared" si="183"/>
        <v>-</v>
      </c>
      <c r="AT382" s="3" t="str">
        <f t="shared" si="184"/>
        <v>-</v>
      </c>
      <c r="AU382" s="3" t="str">
        <f t="shared" si="185"/>
        <v>-</v>
      </c>
      <c r="AV382" s="3" t="str">
        <f t="shared" si="186"/>
        <v>-</v>
      </c>
      <c r="AW382" s="3" t="str">
        <f t="shared" si="187"/>
        <v>-</v>
      </c>
      <c r="AX382" s="3">
        <f t="shared" si="188"/>
        <v>47</v>
      </c>
      <c r="AY382" s="3">
        <f t="shared" si="189"/>
        <v>15</v>
      </c>
      <c r="AZ382" s="3">
        <f t="shared" si="190"/>
        <v>1</v>
      </c>
      <c r="BA382" s="3">
        <f>IF(ISERROR(LEN(VLOOKUP(A382,Seqs!A:E,2,FALSE))-AL382),"-",LEN(VLOOKUP(A382,Seqs!A:E,2,FALSE))-AL382)</f>
        <v>20</v>
      </c>
      <c r="BB382" s="16">
        <f t="shared" si="191"/>
        <v>18</v>
      </c>
      <c r="BC382" s="9" t="str">
        <f t="shared" si="192"/>
        <v>-</v>
      </c>
      <c r="BD382" s="3">
        <f t="shared" si="193"/>
        <v>18</v>
      </c>
      <c r="BE382" s="3">
        <f t="shared" si="194"/>
        <v>79</v>
      </c>
      <c r="BF382" s="3">
        <f>AH382-AE382</f>
        <v>33</v>
      </c>
    </row>
    <row r="383" spans="1:58" s="3" customFormat="1" x14ac:dyDescent="0.2">
      <c r="A383" s="3" t="s">
        <v>482</v>
      </c>
      <c r="B383" s="3" t="str">
        <f>LOWER(VLOOKUP(A383,Xtal_Templ!A:B,2,FALSE))</f>
        <v>ccr9_human</v>
      </c>
      <c r="C383" s="3">
        <v>202</v>
      </c>
      <c r="D383" s="3">
        <v>231</v>
      </c>
      <c r="E383" s="3">
        <f>IF(ISERROR(VLOOKUP($A383,'SegEnds_NonXtal_BW#'!$A:$Z,4,FALSE)+VLOOKUP($A383,A:AL,4,FALSE)-50),"-",(VLOOKUP($A383,'SegEnds_NonXtal_BW#'!$A:$Z,4,FALSE)+VLOOKUP($A383,A:AL,4,FALSE)-50))</f>
        <v>241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269</v>
      </c>
      <c r="J383" s="3">
        <v>280</v>
      </c>
      <c r="K383" s="3">
        <f>VLOOKUP($A383,'SegEnds_NonXtal_BW#'!$A:$Z,8,FALSE)+VLOOKUP($A383,A:AL,10,FALSE)-50</f>
        <v>293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327</v>
      </c>
      <c r="P383" s="3">
        <v>354</v>
      </c>
      <c r="Q383" s="3">
        <f>VLOOKUP($A383,'SegEnds_NonXtal_BW#'!$A:$Z,12,FALSE)+VLOOKUP($A383,A:AL,16,FALSE)-50</f>
        <v>360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381</v>
      </c>
      <c r="V383" s="3">
        <v>391</v>
      </c>
      <c r="W383" s="3">
        <f>IF(ISERROR(VLOOKUP($A383,'SegEnds_NonXtal_BW#'!$A:$Z,16,FALSE)+VLOOKUP($A383,A:AL,22,FALSE)-50),"-",(VLOOKUP($A383,'SegEnds_NonXtal_BW#'!$A:$Z,16,FALSE)+VLOOKUP($A383,A:AL,22,FALSE)-50))</f>
        <v>405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461</v>
      </c>
      <c r="AB383" s="3">
        <v>472</v>
      </c>
      <c r="AC383" s="3">
        <f>IF(ISERROR((VLOOKUP($A383,'SegEnds_NonXtal_BW#'!$A:$Z,20,FALSE)+VLOOKUP($A383,A:AL,28,FALSE)-50)),"-",(VLOOKUP($A383,'SegEnds_NonXtal_BW#'!$A:$Z,20,FALSE)+VLOOKUP($A383,A:AL,28,FALSE)-50))</f>
        <v>483</v>
      </c>
      <c r="AD383" s="3">
        <f>IF(ISERROR(VLOOKUP($A383,'SegEnds_NonXtal_BW#'!$A:$Z,21,FALSE)+VLOOKUP($A383,A:AL,31,FALSE)-50),"-",(VLOOKUP($A383,'SegEnds_NonXtal_BW#'!$A:$Z,21,FALSE)+VLOOKUP($A383,A:AL,31,FALSE)-50))</f>
        <v>488</v>
      </c>
      <c r="AE383" s="3">
        <v>509</v>
      </c>
      <c r="AF383" s="3">
        <f>IF(ISERROR((VLOOKUP($A383,'SegEnds_NonXtal_BW#'!$A:$Z,22,FALSE)+VLOOKUP($A383,A:AL,31,FALSE)-50)),"-",(VLOOKUP($A383,'SegEnds_NonXtal_BW#'!$A:$Z,22,FALSE)+VLOOKUP($A383,A:AL,31,FALSE)-50))</f>
        <v>512</v>
      </c>
      <c r="AG383" s="3">
        <f>IF(ISERROR(VLOOKUP($A383,'SegEnds_NonXtal_BW#'!$A:$Z,23,FALSE)+VLOOKUP($A383,A:AL,34,FALSE)-50),"-",(VLOOKUP($A383,'SegEnds_NonXtal_BW#'!$A:$Z,23,FALSE)+VLOOKUP($A383,A:AL,34,FALSE)-50))</f>
        <v>538</v>
      </c>
      <c r="AH383" s="3">
        <v>553</v>
      </c>
      <c r="AI383" s="3">
        <f>IF(ISERROR((VLOOKUP($A383,'SegEnds_NonXtal_BW#'!$A:$Z,24,FALSE)+VLOOKUP($A383,A:AL,34,FALSE)-50)),"-",(VLOOKUP($A383,'SegEnds_NonXtal_BW#'!$A:$Z,24,FALSE)+VLOOKUP($A383,A:AL,34,FALSE)-50))</f>
        <v>559</v>
      </c>
      <c r="AJ383" s="3">
        <f>IF(ISERROR(VLOOKUP($A383,'SegEnds_NonXtal_BW#'!$A:$Z,25,FALSE)+VLOOKUP($A383,A:AL,37,FALSE)-50),"-",(VLOOKUP($A383,'SegEnds_NonXtal_BW#'!$A:$Z,25,FALSE)+VLOOKUP($A383,A:AL,37,FALSE)-50))</f>
        <v>561</v>
      </c>
      <c r="AK383" s="3">
        <v>564</v>
      </c>
      <c r="AL383" s="3">
        <f>IF(ISERROR((VLOOKUP($A383,'SegEnds_NonXtal_BW#'!$A:$Z,26,FALSE)+VLOOKUP($A383,A:AL,37,FALSE)-50)),"-",(VLOOKUP($A383,'SegEnds_NonXtal_BW#'!$A:$Z,26,FALSE)+VLOOKUP($A383,A:AL,37,FALSE)-50))</f>
        <v>571</v>
      </c>
      <c r="AM383" s="28" t="str">
        <f>VLOOKUP(A383,Classification!A:B,2,FALSE)</f>
        <v>O</v>
      </c>
      <c r="AN383" s="28" t="b">
        <f t="shared" si="195"/>
        <v>1</v>
      </c>
      <c r="AO383" s="3" t="str">
        <f>IF(ISERROR(MATCH(A383,'SegEnds_Xtal_Prot#'!B:B, 0)), "NoXtal", "Xtal")</f>
        <v>NoXtal</v>
      </c>
      <c r="AP383" s="3" t="str">
        <f t="shared" si="180"/>
        <v>-</v>
      </c>
      <c r="AQ383" s="3" t="str">
        <f t="shared" si="181"/>
        <v>-</v>
      </c>
      <c r="AR383" s="3" t="str">
        <f t="shared" si="182"/>
        <v>-</v>
      </c>
      <c r="AS383" s="3" t="str">
        <f t="shared" si="183"/>
        <v>-</v>
      </c>
      <c r="AT383" s="3" t="str">
        <f t="shared" si="184"/>
        <v>-</v>
      </c>
      <c r="AU383" s="3" t="str">
        <f t="shared" si="185"/>
        <v>-</v>
      </c>
      <c r="AV383" s="3" t="str">
        <f t="shared" si="186"/>
        <v>-</v>
      </c>
      <c r="AW383" s="3" t="str">
        <f t="shared" si="187"/>
        <v>-</v>
      </c>
      <c r="AX383" s="3">
        <f t="shared" si="188"/>
        <v>5</v>
      </c>
      <c r="AY383" s="3">
        <f t="shared" si="189"/>
        <v>26</v>
      </c>
      <c r="AZ383" s="3">
        <f t="shared" si="190"/>
        <v>2</v>
      </c>
      <c r="BA383" s="3">
        <f>IF(ISERROR(LEN(VLOOKUP(A383,Seqs!A:E,2,FALSE))-AL383),"-",LEN(VLOOKUP(A383,Seqs!A:E,2,FALSE))-AL383)</f>
        <v>29</v>
      </c>
      <c r="BB383" s="16">
        <f t="shared" si="191"/>
        <v>49</v>
      </c>
      <c r="BC383" s="9" t="str">
        <f t="shared" si="192"/>
        <v>-</v>
      </c>
      <c r="BD383" s="3">
        <f t="shared" si="193"/>
        <v>49</v>
      </c>
      <c r="BE383" s="3">
        <f t="shared" si="194"/>
        <v>37</v>
      </c>
      <c r="BF383" s="3">
        <f>AH383-AE383</f>
        <v>44</v>
      </c>
    </row>
    <row r="384" spans="1:58" s="3" customFormat="1" x14ac:dyDescent="0.2">
      <c r="A384" s="3" t="s">
        <v>485</v>
      </c>
      <c r="B384" s="3" t="str">
        <f>LOWER(VLOOKUP(A384,Xtal_Templ!A:B,2,FALSE))</f>
        <v>aa2ar_human</v>
      </c>
      <c r="C384" s="3">
        <v>12</v>
      </c>
      <c r="D384" s="3">
        <v>42</v>
      </c>
      <c r="E384" s="3">
        <f>IF(ISERROR(VLOOKUP($A384,'SegEnds_NonXtal_BW#'!$A:$Z,4,FALSE)+VLOOKUP($A384,A:AL,4,FALSE)-50),"-",(VLOOKUP($A384,'SegEnds_NonXtal_BW#'!$A:$Z,4,FALSE)+VLOOKUP($A384,A:AL,4,FALSE)-50))</f>
        <v>52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67</v>
      </c>
      <c r="J384" s="3">
        <v>78</v>
      </c>
      <c r="K384" s="3">
        <f>VLOOKUP($A384,'SegEnds_NonXtal_BW#'!$A:$Z,8,FALSE)+VLOOKUP($A384,A:AL,10,FALSE)-50</f>
        <v>91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152</v>
      </c>
      <c r="V384" s="3">
        <v>162</v>
      </c>
      <c r="W384" s="3">
        <f>IF(ISERROR(VLOOKUP($A384,'SegEnds_NonXtal_BW#'!$A:$Z,16,FALSE)+VLOOKUP($A384,A:AL,22,FALSE)-50),"-",(VLOOKUP($A384,'SegEnds_NonXtal_BW#'!$A:$Z,16,FALSE)+VLOOKUP($A384,A:AL,22,FALSE)-50))</f>
        <v>176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190</v>
      </c>
      <c r="AB384" s="3">
        <v>201</v>
      </c>
      <c r="AC384" s="3">
        <f>IF(ISERROR((VLOOKUP($A384,'SegEnds_NonXtal_BW#'!$A:$Z,20,FALSE)+VLOOKUP($A384,A:AL,28,FALSE)-50)),"-",(VLOOKUP($A384,'SegEnds_NonXtal_BW#'!$A:$Z,20,FALSE)+VLOOKUP($A384,A:AL,28,FALSE)-50))</f>
        <v>212</v>
      </c>
      <c r="AD384" s="3">
        <f>IF(ISERROR(VLOOKUP($A384,'SegEnds_NonXtal_BW#'!$A:$Z,21,FALSE)+VLOOKUP($A384,A:AL,31,FALSE)-50),"-",(VLOOKUP($A384,'SegEnds_NonXtal_BW#'!$A:$Z,21,FALSE)+VLOOKUP($A384,A:AL,31,FALSE)-50))</f>
        <v>238</v>
      </c>
      <c r="AE384" s="3">
        <v>259</v>
      </c>
      <c r="AF384" s="3">
        <f>IF(ISERROR((VLOOKUP($A384,'SegEnds_NonXtal_BW#'!$A:$Z,22,FALSE)+VLOOKUP($A384,A:AL,31,FALSE)-50)),"-",(VLOOKUP($A384,'SegEnds_NonXtal_BW#'!$A:$Z,22,FALSE)+VLOOKUP($A384,A:AL,31,FALSE)-50))</f>
        <v>262</v>
      </c>
      <c r="AG384" s="3">
        <f>IF(ISERROR(VLOOKUP($A384,'SegEnds_NonXtal_BW#'!$A:$Z,23,FALSE)+VLOOKUP($A384,A:AL,34,FALSE)-50),"-",(VLOOKUP($A384,'SegEnds_NonXtal_BW#'!$A:$Z,23,FALSE)+VLOOKUP($A384,A:AL,34,FALSE)-50))</f>
        <v>293</v>
      </c>
      <c r="AH384" s="3">
        <v>308</v>
      </c>
      <c r="AI384" s="3">
        <f>IF(ISERROR((VLOOKUP($A384,'SegEnds_NonXtal_BW#'!$A:$Z,24,FALSE)+VLOOKUP($A384,A:AL,34,FALSE)-50)),"-",(VLOOKUP($A384,'SegEnds_NonXtal_BW#'!$A:$Z,24,FALSE)+VLOOKUP($A384,A:AL,34,FALSE)-50))</f>
        <v>314</v>
      </c>
      <c r="AJ384" s="3">
        <f>IF(ISERROR(VLOOKUP($A384,'SegEnds_NonXtal_BW#'!$A:$Z,25,FALSE)+VLOOKUP($A384,A:AL,37,FALSE)-50),"-",(VLOOKUP($A384,'SegEnds_NonXtal_BW#'!$A:$Z,25,FALSE)+VLOOKUP($A384,A:AL,37,FALSE)-50))</f>
        <v>315</v>
      </c>
      <c r="AK384" s="3">
        <v>318</v>
      </c>
      <c r="AL384" s="3">
        <f>IF(ISERROR((VLOOKUP($A384,'SegEnds_NonXtal_BW#'!$A:$Z,26,FALSE)+VLOOKUP($A384,A:AL,37,FALSE)-50)),"-",(VLOOKUP($A384,'SegEnds_NonXtal_BW#'!$A:$Z,26,FALSE)+VLOOKUP($A384,A:AL,37,FALSE)-50))</f>
        <v>325</v>
      </c>
      <c r="AM384" s="28" t="str">
        <f>VLOOKUP(A384,Classification!A:B,2,FALSE)</f>
        <v>O</v>
      </c>
      <c r="AN384" s="28" t="b">
        <f t="shared" si="195"/>
        <v>1</v>
      </c>
      <c r="AO384" s="3" t="str">
        <f>IF(ISERROR(MATCH(A384,'SegEnds_Xtal_Prot#'!B:B, 0)), "NoXtal", "Xtal")</f>
        <v>NoXtal</v>
      </c>
      <c r="AP384" s="3" t="str">
        <f t="shared" si="180"/>
        <v>-</v>
      </c>
      <c r="AQ384" s="3" t="str">
        <f t="shared" si="181"/>
        <v>-</v>
      </c>
      <c r="AR384" s="3" t="str">
        <f t="shared" si="182"/>
        <v>-</v>
      </c>
      <c r="AS384" s="3" t="str">
        <f t="shared" si="183"/>
        <v>-</v>
      </c>
      <c r="AT384" s="3" t="str">
        <f t="shared" si="184"/>
        <v>-</v>
      </c>
      <c r="AU384" s="3" t="str">
        <f t="shared" si="185"/>
        <v>-</v>
      </c>
      <c r="AV384" s="3" t="str">
        <f t="shared" si="186"/>
        <v>-</v>
      </c>
      <c r="AW384" s="3" t="str">
        <f t="shared" si="187"/>
        <v>-</v>
      </c>
      <c r="AX384" s="3">
        <f t="shared" si="188"/>
        <v>26</v>
      </c>
      <c r="AY384" s="3">
        <f t="shared" si="189"/>
        <v>31</v>
      </c>
      <c r="AZ384" s="3">
        <f t="shared" si="190"/>
        <v>1</v>
      </c>
      <c r="BA384" s="3">
        <f>IF(ISERROR(LEN(VLOOKUP(A384,Seqs!A:E,2,FALSE))-AL384),"-",LEN(VLOOKUP(A384,Seqs!A:E,2,FALSE))-AL384)</f>
        <v>79</v>
      </c>
      <c r="BB384" s="16">
        <f t="shared" si="191"/>
        <v>36</v>
      </c>
      <c r="BC384" s="9" t="str">
        <f t="shared" si="192"/>
        <v>-</v>
      </c>
      <c r="BD384" s="3">
        <f t="shared" si="193"/>
        <v>36</v>
      </c>
      <c r="BE384" s="3">
        <f t="shared" si="194"/>
        <v>58</v>
      </c>
    </row>
    <row r="385" spans="1:58" s="3" customFormat="1" x14ac:dyDescent="0.2">
      <c r="A385" s="3" t="s">
        <v>486</v>
      </c>
      <c r="B385" s="3" t="str">
        <f>LOWER(VLOOKUP(A385,Xtal_Templ!A:B,2,FALSE))</f>
        <v>5ht2c_human</v>
      </c>
      <c r="C385" s="3">
        <f>VLOOKUP($A385,'SegEnds_NonXtal_BW#'!$A:$Z,3,FALSE)+D385-50</f>
        <v>12</v>
      </c>
      <c r="D385" s="3">
        <v>29</v>
      </c>
      <c r="E385" s="3">
        <f>IF(ISERROR(VLOOKUP($A385,'SegEnds_NonXtal_BW#'!$A:$Z,4,FALSE)+VLOOKUP($A385,A:AL,4,FALSE)-50),"-",(VLOOKUP($A385,'SegEnds_NonXtal_BW#'!$A:$Z,4,FALSE)+VLOOKUP($A385,A:AL,4,FALSE)-50))</f>
        <v>39</v>
      </c>
      <c r="F385" s="3" t="str">
        <f>IF(ISERROR(VLOOKUP($A385,'SegEnds_NonXtal_BW#'!$A:$Z,5,FALSE)+VLOOKUP($A385,A:AL,7,FALSE)-50),"-",(VLOOKUP($A385,'SegEnds_NonXtal_BW#'!$A:$Z,5,FALSE)+VLOOKUP($A385,A:AL,7,FALSE)-50))</f>
        <v>-</v>
      </c>
      <c r="G385" s="3" t="s">
        <v>23</v>
      </c>
      <c r="H385" s="3" t="str">
        <f>IF(ISERROR(VLOOKUP($A385,'SegEnds_NonXtal_BW#'!$A:$Z,6,FALSE)+VLOOKUP($A385,A:AL,7,FALSE)-50),"-",(VLOOKUP($A385,'SegEnds_NonXtal_BW#'!$A:$Z,6,FALSE)+VLOOKUP($A385,A:AL,7,FALSE)-50))</f>
        <v>-</v>
      </c>
      <c r="I385" s="3">
        <f>VLOOKUP($A385,'SegEnds_NonXtal_BW#'!$A:$Z,7,FALSE)+J385-50</f>
        <v>46</v>
      </c>
      <c r="J385" s="3">
        <v>57</v>
      </c>
      <c r="K385" s="3">
        <f>VLOOKUP($A385,'SegEnds_NonXtal_BW#'!$A:$Z,8,FALSE)+VLOOKUP($A385,A:AL,10,FALSE)-50</f>
        <v>70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104</v>
      </c>
      <c r="Q385" s="3">
        <f>VLOOKUP($A385,'SegEnds_NonXtal_BW#'!$A:$Z,12,FALSE)+VLOOKUP($A385,A:AL,16,FALSE)-50</f>
        <v>110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125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149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153</v>
      </c>
      <c r="AB385" s="3">
        <v>164</v>
      </c>
      <c r="AC385" s="3">
        <f>IF(ISERROR((VLOOKUP($A385,'SegEnds_NonXtal_BW#'!$A:$Z,20,FALSE)+VLOOKUP($A385,A:AL,28,FALSE)-50)),"-",(VLOOKUP($A385,'SegEnds_NonXtal_BW#'!$A:$Z,20,FALSE)+VLOOKUP($A385,A:AL,28,FALSE)-50))</f>
        <v>175</v>
      </c>
      <c r="AD385" s="3">
        <f>IF(ISERROR(VLOOKUP($A385,'SegEnds_NonXtal_BW#'!$A:$Z,21,FALSE)+VLOOKUP($A385,A:AL,31,FALSE)-50),"-",(VLOOKUP($A385,'SegEnds_NonXtal_BW#'!$A:$Z,21,FALSE)+VLOOKUP($A385,A:AL,31,FALSE)-50))</f>
        <v>210</v>
      </c>
      <c r="AE385" s="3">
        <v>231</v>
      </c>
      <c r="AF385" s="3">
        <f>IF(ISERROR((VLOOKUP($A385,'SegEnds_NonXtal_BW#'!$A:$Z,22,FALSE)+VLOOKUP($A385,A:AL,31,FALSE)-50)),"-",(VLOOKUP($A385,'SegEnds_NonXtal_BW#'!$A:$Z,22,FALSE)+VLOOKUP($A385,A:AL,31,FALSE)-50))</f>
        <v>234</v>
      </c>
      <c r="AG385" s="3">
        <f>IF(ISERROR(VLOOKUP($A385,'SegEnds_NonXtal_BW#'!$A:$Z,23,FALSE)+VLOOKUP($A385,A:AL,34,FALSE)-50),"-",(VLOOKUP($A385,'SegEnds_NonXtal_BW#'!$A:$Z,23,FALSE)+VLOOKUP($A385,A:AL,34,FALSE)-50))</f>
        <v>261</v>
      </c>
      <c r="AH385" s="3">
        <v>276</v>
      </c>
      <c r="AI385" s="3">
        <f>IF(ISERROR((VLOOKUP($A385,'SegEnds_NonXtal_BW#'!$A:$Z,24,FALSE)+VLOOKUP($A385,A:AL,34,FALSE)-50)),"-",(VLOOKUP($A385,'SegEnds_NonXtal_BW#'!$A:$Z,24,FALSE)+VLOOKUP($A385,A:AL,34,FALSE)-50))</f>
        <v>282</v>
      </c>
      <c r="AJ385" s="3">
        <v>286</v>
      </c>
      <c r="AK385" s="3">
        <v>294</v>
      </c>
      <c r="AL385" s="3">
        <f>IF(ISERROR((VLOOKUP($A385,'SegEnds_NonXtal_BW#'!$A:$Z,26,FALSE)+VLOOKUP($A385,A:AL,37,FALSE)-50)),"-",(VLOOKUP($A385,'SegEnds_NonXtal_BW#'!$A:$Z,26,FALSE)+VLOOKUP($A385,A:AL,37,FALSE)-50))</f>
        <v>301</v>
      </c>
      <c r="AM385" s="28" t="str">
        <f>VLOOKUP(A385,Classification!A:B,2,FALSE)</f>
        <v>O</v>
      </c>
      <c r="AN385" s="28" t="b">
        <f t="shared" si="195"/>
        <v>1</v>
      </c>
      <c r="AO385" s="3" t="str">
        <f>IF(ISERROR(MATCH(A385,'SegEnds_Xtal_Prot#'!B:B, 0)), "NoXtal", "Xtal")</f>
        <v>NoXtal</v>
      </c>
      <c r="AP385" s="3" t="str">
        <f t="shared" si="180"/>
        <v>-</v>
      </c>
      <c r="AQ385" s="3" t="str">
        <f t="shared" si="181"/>
        <v>-</v>
      </c>
      <c r="AR385" s="3" t="str">
        <f t="shared" si="182"/>
        <v>-</v>
      </c>
      <c r="AS385" s="3" t="str">
        <f t="shared" si="183"/>
        <v>-</v>
      </c>
      <c r="AT385" s="3" t="str">
        <f t="shared" si="184"/>
        <v>-</v>
      </c>
      <c r="AU385" s="3" t="str">
        <f t="shared" si="185"/>
        <v>-</v>
      </c>
      <c r="AV385" s="3" t="str">
        <f t="shared" si="186"/>
        <v>-</v>
      </c>
      <c r="AW385" s="3" t="str">
        <f t="shared" si="187"/>
        <v>-</v>
      </c>
      <c r="AX385" s="3">
        <f t="shared" si="188"/>
        <v>35</v>
      </c>
      <c r="AY385" s="3">
        <f t="shared" si="189"/>
        <v>27</v>
      </c>
      <c r="AZ385" s="3">
        <f t="shared" si="190"/>
        <v>4</v>
      </c>
      <c r="BA385" s="3">
        <f>IF(ISERROR(LEN(VLOOKUP(A385,Seqs!A:E,2,FALSE))-AL385),"-",LEN(VLOOKUP(A385,Seqs!A:E,2,FALSE))-AL385)</f>
        <v>34</v>
      </c>
      <c r="BB385" s="16">
        <f t="shared" si="191"/>
        <v>28</v>
      </c>
      <c r="BC385" s="9" t="str">
        <f t="shared" si="192"/>
        <v>-</v>
      </c>
      <c r="BD385" s="3">
        <f t="shared" si="193"/>
        <v>28</v>
      </c>
      <c r="BE385" s="3">
        <f t="shared" si="194"/>
        <v>67</v>
      </c>
    </row>
    <row r="386" spans="1:58" s="3" customFormat="1" x14ac:dyDescent="0.2">
      <c r="A386" s="3" t="s">
        <v>484</v>
      </c>
      <c r="B386" s="3" t="str">
        <f>LOWER(VLOOKUP(A386,Xtal_Templ!A:B,2,FALSE))</f>
        <v>pe2r4_human</v>
      </c>
      <c r="C386" s="3">
        <v>27</v>
      </c>
      <c r="D386" s="3">
        <v>64</v>
      </c>
      <c r="E386" s="3">
        <f>IF(ISERROR(VLOOKUP($A386,'SegEnds_NonXtal_BW#'!$A:$Z,4,FALSE)+VLOOKUP($A386,A:AL,4,FALSE)-50),"-",(VLOOKUP($A386,'SegEnds_NonXtal_BW#'!$A:$Z,4,FALSE)+VLOOKUP($A386,A:AL,4,FALSE)-50))</f>
        <v>74</v>
      </c>
      <c r="F386" s="3" t="str">
        <f>IF(ISERROR(VLOOKUP($A386,'SegEnds_NonXtal_BW#'!$A:$Z,5,FALSE)+VLOOKUP($A386,A:AL,7,FALSE)-50),"-",(VLOOKUP($A386,'SegEnds_NonXtal_BW#'!$A:$Z,5,FALSE)+VLOOKUP($A386,A:AL,7,FALSE)-50))</f>
        <v>-</v>
      </c>
      <c r="G386" s="3" t="s">
        <v>23</v>
      </c>
      <c r="H386" s="3" t="str">
        <f>IF(ISERROR(VLOOKUP($A386,'SegEnds_NonXtal_BW#'!$A:$Z,6,FALSE)+VLOOKUP($A386,A:AL,7,FALSE)-50),"-",(VLOOKUP($A386,'SegEnds_NonXtal_BW#'!$A:$Z,6,FALSE)+VLOOKUP($A386,A:AL,7,FALSE)-50))</f>
        <v>-</v>
      </c>
      <c r="I386" s="3">
        <f>VLOOKUP($A386,'SegEnds_NonXtal_BW#'!$A:$Z,7,FALSE)+J386-50</f>
        <v>85</v>
      </c>
      <c r="J386" s="3">
        <v>96</v>
      </c>
      <c r="K386" s="3">
        <f>VLOOKUP($A386,'SegEnds_NonXtal_BW#'!$A:$Z,8,FALSE)+VLOOKUP($A386,A:AL,10,FALSE)-50</f>
        <v>109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114</v>
      </c>
      <c r="P386" s="3">
        <v>141</v>
      </c>
      <c r="Q386" s="3">
        <f>VLOOKUP($A386,'SegEnds_NonXtal_BW#'!$A:$Z,12,FALSE)+VLOOKUP($A386,A:AL,16,FALSE)-50</f>
        <v>147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162</v>
      </c>
      <c r="V386" s="3">
        <v>172</v>
      </c>
      <c r="W386" s="3">
        <f>IF(ISERROR(VLOOKUP($A386,'SegEnds_NonXtal_BW#'!$A:$Z,16,FALSE)+VLOOKUP($A386,A:AL,22,FALSE)-50),"-",(VLOOKUP($A386,'SegEnds_NonXtal_BW#'!$A:$Z,16,FALSE)+VLOOKUP($A386,A:AL,22,FALSE)-50))</f>
        <v>183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187</v>
      </c>
      <c r="AB386" s="3">
        <v>197</v>
      </c>
      <c r="AC386" s="3">
        <f>IF(ISERROR((VLOOKUP($A386,'SegEnds_NonXtal_BW#'!$A:$Z,20,FALSE)+VLOOKUP($A386,A:AL,28,FALSE)-50)),"-",(VLOOKUP($A386,'SegEnds_NonXtal_BW#'!$A:$Z,20,FALSE)+VLOOKUP($A386,A:AL,28,FALSE)-50))</f>
        <v>208</v>
      </c>
      <c r="AD386" s="3">
        <f>IF(ISERROR(VLOOKUP($A386,'SegEnds_NonXtal_BW#'!$A:$Z,21,FALSE)+VLOOKUP($A386,A:AL,31,FALSE)-50),"-",(VLOOKUP($A386,'SegEnds_NonXtal_BW#'!$A:$Z,21,FALSE)+VLOOKUP($A386,A:AL,31,FALSE)-50))</f>
        <v>252</v>
      </c>
      <c r="AE386" s="3">
        <v>273</v>
      </c>
      <c r="AF386" s="3">
        <f>IF(ISERROR((VLOOKUP($A386,'SegEnds_NonXtal_BW#'!$A:$Z,22,FALSE)+VLOOKUP($A386,A:AL,31,FALSE)-50)),"-",(VLOOKUP($A386,'SegEnds_NonXtal_BW#'!$A:$Z,22,FALSE)+VLOOKUP($A386,A:AL,31,FALSE)-50))</f>
        <v>276</v>
      </c>
      <c r="AG386" s="3">
        <f>IF(ISERROR(VLOOKUP($A386,'SegEnds_NonXtal_BW#'!$A:$Z,23,FALSE)+VLOOKUP($A386,A:AL,34,FALSE)-50),"-",(VLOOKUP($A386,'SegEnds_NonXtal_BW#'!$A:$Z,23,FALSE)+VLOOKUP($A386,A:AL,34,FALSE)-50))</f>
        <v>294</v>
      </c>
      <c r="AH386" s="3">
        <v>309</v>
      </c>
      <c r="AI386" s="3">
        <f>IF(ISERROR((VLOOKUP($A386,'SegEnds_NonXtal_BW#'!$A:$Z,24,FALSE)+VLOOKUP($A386,A:AL,34,FALSE)-50)),"-",(VLOOKUP($A386,'SegEnds_NonXtal_BW#'!$A:$Z,24,FALSE)+VLOOKUP($A386,A:AL,34,FALSE)-50))</f>
        <v>315</v>
      </c>
      <c r="AJ386" s="105">
        <v>320</v>
      </c>
      <c r="AK386" s="3">
        <v>333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O</v>
      </c>
      <c r="AN386" s="28" t="b">
        <f t="shared" si="195"/>
        <v>1</v>
      </c>
      <c r="AO386" s="3" t="str">
        <f>IF(ISERROR(MATCH(A386,'SegEnds_Xtal_Prot#'!B:B, 0)), "NoXtal", "Xtal")</f>
        <v>NoXtal</v>
      </c>
      <c r="AP386" s="3" t="str">
        <f t="shared" si="180"/>
        <v>-</v>
      </c>
      <c r="AQ386" s="3" t="str">
        <f t="shared" si="181"/>
        <v>-</v>
      </c>
      <c r="AR386" s="3" t="str">
        <f t="shared" si="182"/>
        <v>-</v>
      </c>
      <c r="AS386" s="3" t="str">
        <f t="shared" si="183"/>
        <v>-</v>
      </c>
      <c r="AT386" s="3" t="str">
        <f t="shared" si="184"/>
        <v>-</v>
      </c>
      <c r="AU386" s="3" t="str">
        <f t="shared" si="185"/>
        <v>-</v>
      </c>
      <c r="AV386" s="3" t="str">
        <f t="shared" si="186"/>
        <v>-</v>
      </c>
      <c r="AW386" s="3" t="str">
        <f t="shared" si="187"/>
        <v>-</v>
      </c>
      <c r="AX386" s="3">
        <f t="shared" si="188"/>
        <v>44</v>
      </c>
      <c r="AY386" s="3">
        <f t="shared" si="189"/>
        <v>18</v>
      </c>
      <c r="AZ386" s="3">
        <f t="shared" si="190"/>
        <v>5</v>
      </c>
      <c r="BA386" s="3">
        <f>IF(ISERROR(LEN(VLOOKUP(A386,Seqs!A:E,2,FALSE))-AL386),"-",LEN(VLOOKUP(A386,Seqs!A:E,2,FALSE))-AL386)</f>
        <v>33</v>
      </c>
      <c r="BB386" s="16">
        <f t="shared" si="191"/>
        <v>32</v>
      </c>
      <c r="BC386" s="9" t="str">
        <f t="shared" si="192"/>
        <v>-</v>
      </c>
      <c r="BD386" s="3">
        <f t="shared" si="193"/>
        <v>32</v>
      </c>
      <c r="BE386" s="3">
        <f t="shared" si="194"/>
        <v>76</v>
      </c>
    </row>
    <row r="387" spans="1:58" s="3" customFormat="1" x14ac:dyDescent="0.2">
      <c r="A387" s="3" t="s">
        <v>456</v>
      </c>
      <c r="B387" s="3" t="str">
        <f>LOWER(VLOOKUP(A387,Xtal_Templ!A:B,2,FALSE))</f>
        <v>drd2_human</v>
      </c>
      <c r="C387" s="3">
        <f>VLOOKUP($A387,'SegEnds_NonXtal_BW#'!$A:$Z,3,FALSE)+D387-50</f>
        <v>6</v>
      </c>
      <c r="D387" s="3">
        <v>24</v>
      </c>
      <c r="E387" s="3">
        <f t="shared" ref="E387:E411" si="203">F387-1</f>
        <v>36</v>
      </c>
      <c r="F387" s="3">
        <f t="shared" ref="F387:F411" si="204">G387-2</f>
        <v>37</v>
      </c>
      <c r="G387" s="3">
        <v>39</v>
      </c>
      <c r="H387" s="3">
        <f t="shared" ref="H387:I411" si="205">G387+1</f>
        <v>40</v>
      </c>
      <c r="I387" s="3">
        <f t="shared" si="205"/>
        <v>41</v>
      </c>
      <c r="J387" s="3">
        <v>54</v>
      </c>
      <c r="K387" s="3">
        <f>VLOOKUP($A387,'SegEnds_NonXtal_BW#'!$A:$Z,8,FALSE)+VLOOKUP($A387,A:AL,10,FALSE)-50</f>
        <v>71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77</v>
      </c>
      <c r="P387" s="3">
        <v>106</v>
      </c>
      <c r="Q387" s="3">
        <f>VLOOKUP($A387,'SegEnds_NonXtal_BW#'!$A:$Z,12,FALSE)+VLOOKUP($A387,A:AL,16,FALSE)-50</f>
        <v>112</v>
      </c>
      <c r="R387" s="3">
        <f t="shared" ref="R387:R411" si="206">S387</f>
        <v>115</v>
      </c>
      <c r="S387" s="3">
        <v>115</v>
      </c>
      <c r="T387" s="100">
        <f t="shared" ref="T387:T411" si="207">S387+7</f>
        <v>122</v>
      </c>
      <c r="U387" s="9">
        <f>IF(ISERROR(VLOOKUP($A387,'SegEnds_NonXtal_BW#'!$A:$Z,15,FALSE)+VLOOKUP($A387,A:AL,22,FALSE)-50),"-",VLOOKUP($A387,'SegEnds_NonXtal_BW#'!$A:$Z,15,FALSE)+VLOOKUP($A387,A:AL,22,FALSE)-50)</f>
        <v>123</v>
      </c>
      <c r="V387" s="3">
        <v>135</v>
      </c>
      <c r="W387" s="3">
        <f>IF(ISERROR(VLOOKUP($A387,'SegEnds_NonXtal_BW#'!$A:$Z,16,FALSE)+VLOOKUP($A387,A:AL,22,FALSE)-50),"-",(VLOOKUP($A387,'SegEnds_NonXtal_BW#'!$A:$Z,16,FALSE)+VLOOKUP($A387,A:AL,22,FALSE)-50))</f>
        <v>147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167</v>
      </c>
      <c r="AB387" s="3">
        <v>185</v>
      </c>
      <c r="AC387" s="3">
        <f>IF(ISERROR((VLOOKUP($A387,'SegEnds_NonXtal_BW#'!$A:$Z,20,FALSE)+VLOOKUP($A387,A:AL,28,FALSE)-50)),"-",(VLOOKUP($A387,'SegEnds_NonXtal_BW#'!$A:$Z,20,FALSE)+VLOOKUP($A387,A:AL,28,FALSE)-50))</f>
        <v>207</v>
      </c>
      <c r="AD387" s="3">
        <f>IF(ISERROR(VLOOKUP($A387,'SegEnds_NonXtal_BW#'!$A:$Z,21,FALSE)+VLOOKUP($A387,A:AL,31,FALSE)-50),"-",(VLOOKUP($A387,'SegEnds_NonXtal_BW#'!$A:$Z,21,FALSE)+VLOOKUP($A387,A:AL,31,FALSE)-50))</f>
        <v>217</v>
      </c>
      <c r="AE387" s="3">
        <v>238</v>
      </c>
      <c r="AF387" s="3">
        <f>IF(ISERROR((VLOOKUP($A387,'SegEnds_NonXtal_BW#'!$A:$Z,22,FALSE)+VLOOKUP($A387,A:AL,31,FALSE)-50)),"-",(VLOOKUP($A387,'SegEnds_NonXtal_BW#'!$A:$Z,22,FALSE)+VLOOKUP($A387,A:AL,31,FALSE)-50))</f>
        <v>249</v>
      </c>
      <c r="AG387" s="3">
        <f>IF(ISERROR(VLOOKUP($A387,'SegEnds_NonXtal_BW#'!$A:$Z,23,FALSE)+VLOOKUP($A387,A:AL,34,FALSE)-50),"-",(VLOOKUP($A387,'SegEnds_NonXtal_BW#'!$A:$Z,23,FALSE)+VLOOKUP($A387,A:AL,34,FALSE)-50))</f>
        <v>255</v>
      </c>
      <c r="AH387" s="3">
        <v>274</v>
      </c>
      <c r="AI387" s="3">
        <f>IF(ISERROR((VLOOKUP($A387,'SegEnds_NonXtal_BW#'!$A:$Z,24,FALSE)+VLOOKUP($A387,A:AL,34,FALSE)-50)),"-",(VLOOKUP($A387,'SegEnds_NonXtal_BW#'!$A:$Z,24,FALSE)+VLOOKUP($A387,A:AL,34,FALSE)-50))</f>
        <v>280</v>
      </c>
      <c r="AJ387" s="3">
        <f>IF(ISERROR(VLOOKUP($A387,'SegEnds_NonXtal_BW#'!$A:$Z,25,FALSE)+VLOOKUP($A387,A:AL,37,FALSE)-50),"-",(VLOOKUP($A387,'SegEnds_NonXtal_BW#'!$A:$Z,25,FALSE)+VLOOKUP($A387,A:AL,37,FALSE)-50))</f>
        <v>281</v>
      </c>
      <c r="AK387" s="3">
        <v>284</v>
      </c>
      <c r="AL387" s="3">
        <f>IF(ISERROR((VLOOKUP($A387,'SegEnds_NonXtal_BW#'!$A:$Z,26,FALSE)+VLOOKUP($A387,A:AL,37,FALSE)-50)),"-",(VLOOKUP($A387,'SegEnds_NonXtal_BW#'!$A:$Z,26,FALSE)+VLOOKUP($A387,A:AL,37,FALSE)-50))</f>
        <v>294</v>
      </c>
      <c r="AM387" s="28" t="str">
        <f>VLOOKUP(A387,Classification!A:B,2,FALSE)</f>
        <v>T</v>
      </c>
      <c r="AN387" s="28" t="b">
        <f t="shared" si="195"/>
        <v>1</v>
      </c>
      <c r="AO387" s="3" t="str">
        <f>IF(ISERROR(MATCH(A387,'SegEnds_Xtal_Prot#'!B:B, 0)), "NoXtal", "Xtal")</f>
        <v>NoXtal</v>
      </c>
      <c r="AP387" s="3">
        <f t="shared" si="180"/>
        <v>1</v>
      </c>
      <c r="AQ387" s="3">
        <f t="shared" si="181"/>
        <v>1</v>
      </c>
      <c r="AR387" s="3" t="str">
        <f t="shared" si="182"/>
        <v>-</v>
      </c>
      <c r="AS387" s="3" t="str">
        <f t="shared" si="183"/>
        <v>-</v>
      </c>
      <c r="AT387" s="3">
        <f t="shared" si="184"/>
        <v>3</v>
      </c>
      <c r="AU387" s="3">
        <f t="shared" si="185"/>
        <v>1</v>
      </c>
      <c r="AV387" s="3" t="str">
        <f t="shared" si="186"/>
        <v>-</v>
      </c>
      <c r="AW387" s="3" t="str">
        <f t="shared" si="187"/>
        <v>-</v>
      </c>
      <c r="AX387" s="3">
        <f t="shared" si="188"/>
        <v>10</v>
      </c>
      <c r="AY387" s="3">
        <f t="shared" si="189"/>
        <v>6</v>
      </c>
      <c r="AZ387" s="3">
        <f t="shared" si="190"/>
        <v>1</v>
      </c>
      <c r="BA387" s="3">
        <f>IF(ISERROR(LEN(VLOOKUP(A387,Seqs!A:E,2,FALSE))-AL387),"-",LEN(VLOOKUP(A387,Seqs!A:E,2,FALSE))-AL387)</f>
        <v>13</v>
      </c>
      <c r="BB387" s="16">
        <f t="shared" si="191"/>
        <v>30</v>
      </c>
      <c r="BC387" s="9">
        <f t="shared" si="192"/>
        <v>20</v>
      </c>
      <c r="BD387" s="3">
        <f t="shared" si="193"/>
        <v>30</v>
      </c>
      <c r="BE387" s="3">
        <f t="shared" si="194"/>
        <v>53</v>
      </c>
      <c r="BF387" s="3">
        <f t="shared" ref="BF387:BF411" si="208">AH387-AE387</f>
        <v>36</v>
      </c>
    </row>
    <row r="388" spans="1:58" s="3" customFormat="1" x14ac:dyDescent="0.2">
      <c r="A388" s="3" t="s">
        <v>457</v>
      </c>
      <c r="B388" s="3" t="str">
        <f>LOWER(VLOOKUP(A388,Xtal_Templ!A:B,2,FALSE))</f>
        <v>5ht2a_human</v>
      </c>
      <c r="C388" s="3">
        <f>VLOOKUP($A388,'SegEnds_NonXtal_BW#'!$A:$Z,3,FALSE)+D388-50</f>
        <v>6</v>
      </c>
      <c r="D388" s="3">
        <v>24</v>
      </c>
      <c r="E388" s="3">
        <f t="shared" si="203"/>
        <v>36</v>
      </c>
      <c r="F388" s="3">
        <f t="shared" si="204"/>
        <v>37</v>
      </c>
      <c r="G388" s="3">
        <v>39</v>
      </c>
      <c r="H388" s="3">
        <f t="shared" si="205"/>
        <v>40</v>
      </c>
      <c r="I388" s="3">
        <f t="shared" si="205"/>
        <v>41</v>
      </c>
      <c r="J388" s="3">
        <v>55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78</v>
      </c>
      <c r="P388" s="3">
        <v>107</v>
      </c>
      <c r="Q388" s="3">
        <f>VLOOKUP($A388,'SegEnds_NonXtal_BW#'!$A:$Z,12,FALSE)+VLOOKUP($A388,A:AL,16,FALSE)-50</f>
        <v>113</v>
      </c>
      <c r="R388" s="3">
        <f t="shared" si="206"/>
        <v>116</v>
      </c>
      <c r="S388" s="3">
        <v>116</v>
      </c>
      <c r="T388" s="100">
        <f t="shared" si="207"/>
        <v>123</v>
      </c>
      <c r="U388" s="9">
        <f>IF(ISERROR(VLOOKUP($A388,'SegEnds_NonXtal_BW#'!$A:$Z,15,FALSE)+VLOOKUP($A388,A:AL,22,FALSE)-50),"-",VLOOKUP($A388,'SegEnds_NonXtal_BW#'!$A:$Z,15,FALSE)+VLOOKUP($A388,A:AL,22,FALSE)-50)</f>
        <v>124</v>
      </c>
      <c r="V388" s="3">
        <v>136</v>
      </c>
      <c r="W388" s="3">
        <f>IF(ISERROR(VLOOKUP($A388,'SegEnds_NonXtal_BW#'!$A:$Z,16,FALSE)+VLOOKUP($A388,A:AL,22,FALSE)-50),"-",(VLOOKUP($A388,'SegEnds_NonXtal_BW#'!$A:$Z,16,FALSE)+VLOOKUP($A388,A:AL,22,FALSE)-50))</f>
        <v>153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172</v>
      </c>
      <c r="AB388" s="3">
        <v>190</v>
      </c>
      <c r="AC388" s="3">
        <f>IF(ISERROR((VLOOKUP($A388,'SegEnds_NonXtal_BW#'!$A:$Z,20,FALSE)+VLOOKUP($A388,A:AL,28,FALSE)-50)),"-",(VLOOKUP($A388,'SegEnds_NonXtal_BW#'!$A:$Z,20,FALSE)+VLOOKUP($A388,A:AL,28,FALSE)-50))</f>
        <v>212</v>
      </c>
      <c r="AD388" s="3">
        <f>IF(ISERROR(VLOOKUP($A388,'SegEnds_NonXtal_BW#'!$A:$Z,21,FALSE)+VLOOKUP($A388,A:AL,31,FALSE)-50),"-",(VLOOKUP($A388,'SegEnds_NonXtal_BW#'!$A:$Z,21,FALSE)+VLOOKUP($A388,A:AL,31,FALSE)-50))</f>
        <v>222</v>
      </c>
      <c r="AE388" s="3">
        <v>243</v>
      </c>
      <c r="AF388" s="3">
        <f>IF(ISERROR((VLOOKUP($A388,'SegEnds_NonXtal_BW#'!$A:$Z,22,FALSE)+VLOOKUP($A388,A:AL,31,FALSE)-50)),"-",(VLOOKUP($A388,'SegEnds_NonXtal_BW#'!$A:$Z,22,FALSE)+VLOOKUP($A388,A:AL,31,FALSE)-50))</f>
        <v>254</v>
      </c>
      <c r="AG388" s="3">
        <f>IF(ISERROR(VLOOKUP($A388,'SegEnds_NonXtal_BW#'!$A:$Z,23,FALSE)+VLOOKUP($A388,A:AL,34,FALSE)-50),"-",(VLOOKUP($A388,'SegEnds_NonXtal_BW#'!$A:$Z,23,FALSE)+VLOOKUP($A388,A:AL,34,FALSE)-50))</f>
        <v>259</v>
      </c>
      <c r="AH388" s="3">
        <v>278</v>
      </c>
      <c r="AI388" s="3">
        <f>IF(ISERROR((VLOOKUP($A388,'SegEnds_NonXtal_BW#'!$A:$Z,24,FALSE)+VLOOKUP($A388,A:AL,34,FALSE)-50)),"-",(VLOOKUP($A388,'SegEnds_NonXtal_BW#'!$A:$Z,24,FALSE)+VLOOKUP($A388,A:AL,34,FALSE)-50))</f>
        <v>284</v>
      </c>
      <c r="AJ388" s="3">
        <f>IF(ISERROR(VLOOKUP($A388,'SegEnds_NonXtal_BW#'!$A:$Z,25,FALSE)+VLOOKUP($A388,A:AL,37,FALSE)-50),"-",(VLOOKUP($A388,'SegEnds_NonXtal_BW#'!$A:$Z,25,FALSE)+VLOOKUP($A388,A:AL,37,FALSE)-50))</f>
        <v>285</v>
      </c>
      <c r="AK388" s="3">
        <v>288</v>
      </c>
      <c r="AL388" s="3">
        <f>IF(ISERROR((VLOOKUP($A388,'SegEnds_NonXtal_BW#'!$A:$Z,26,FALSE)+VLOOKUP($A388,A:AL,37,FALSE)-50)),"-",(VLOOKUP($A388,'SegEnds_NonXtal_BW#'!$A:$Z,26,FALSE)+VLOOKUP($A388,A:AL,37,FALSE)-50))</f>
        <v>298</v>
      </c>
      <c r="AM388" s="28" t="str">
        <f>VLOOKUP(A388,Classification!A:B,2,FALSE)</f>
        <v>T</v>
      </c>
      <c r="AN388" s="28" t="b">
        <f t="shared" si="195"/>
        <v>1</v>
      </c>
      <c r="AO388" s="3" t="str">
        <f>IF(ISERROR(MATCH(A388,'SegEnds_Xtal_Prot#'!B:B, 0)), "NoXtal", "Xtal")</f>
        <v>NoXtal</v>
      </c>
      <c r="AP388" s="3">
        <f t="shared" si="180"/>
        <v>1</v>
      </c>
      <c r="AQ388" s="3">
        <f t="shared" si="181"/>
        <v>1</v>
      </c>
      <c r="AR388" s="3" t="str">
        <f t="shared" si="182"/>
        <v>-</v>
      </c>
      <c r="AS388" s="3" t="str">
        <f t="shared" si="183"/>
        <v>-</v>
      </c>
      <c r="AT388" s="3">
        <f t="shared" si="184"/>
        <v>3</v>
      </c>
      <c r="AU388" s="3">
        <f t="shared" si="185"/>
        <v>1</v>
      </c>
      <c r="AV388" s="3" t="str">
        <f t="shared" si="186"/>
        <v>-</v>
      </c>
      <c r="AW388" s="3" t="str">
        <f t="shared" si="187"/>
        <v>-</v>
      </c>
      <c r="AX388" s="3">
        <f t="shared" si="188"/>
        <v>10</v>
      </c>
      <c r="AY388" s="3">
        <f t="shared" si="189"/>
        <v>5</v>
      </c>
      <c r="AZ388" s="3">
        <f t="shared" si="190"/>
        <v>1</v>
      </c>
      <c r="BA388" s="3">
        <f>IF(ISERROR(LEN(VLOOKUP(A388,Seqs!A:E,2,FALSE))-AL388),"-",LEN(VLOOKUP(A388,Seqs!A:E,2,FALSE))-AL388)</f>
        <v>5</v>
      </c>
      <c r="BB388" s="16">
        <f t="shared" si="191"/>
        <v>31</v>
      </c>
      <c r="BC388" s="9">
        <f t="shared" si="192"/>
        <v>20</v>
      </c>
      <c r="BD388" s="3">
        <f t="shared" si="193"/>
        <v>31</v>
      </c>
      <c r="BE388" s="3">
        <f t="shared" si="194"/>
        <v>53</v>
      </c>
      <c r="BF388" s="3">
        <f t="shared" si="208"/>
        <v>35</v>
      </c>
    </row>
    <row r="389" spans="1:58" s="3" customFormat="1" x14ac:dyDescent="0.2">
      <c r="A389" s="3" t="s">
        <v>458</v>
      </c>
      <c r="B389" s="3" t="str">
        <f>LOWER(VLOOKUP(A389,Xtal_Templ!A:B,2,FALSE))</f>
        <v>5ht2c_human</v>
      </c>
      <c r="C389" s="3">
        <f>VLOOKUP($A389,'SegEnds_NonXtal_BW#'!$A:$Z,3,FALSE)+D389-50</f>
        <v>6</v>
      </c>
      <c r="D389" s="3">
        <v>24</v>
      </c>
      <c r="E389" s="3">
        <f t="shared" si="203"/>
        <v>36</v>
      </c>
      <c r="F389" s="3">
        <f t="shared" si="204"/>
        <v>37</v>
      </c>
      <c r="G389" s="3">
        <v>39</v>
      </c>
      <c r="H389" s="3">
        <f t="shared" si="205"/>
        <v>40</v>
      </c>
      <c r="I389" s="3">
        <f t="shared" si="205"/>
        <v>41</v>
      </c>
      <c r="J389" s="3">
        <v>55</v>
      </c>
      <c r="K389" s="3">
        <f>VLOOKUP($A389,'SegEnds_NonXtal_BW#'!$A:$Z,8,FALSE)+VLOOKUP($A389,A:AL,10,FALSE)-50</f>
        <v>72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78</v>
      </c>
      <c r="P389" s="3">
        <v>107</v>
      </c>
      <c r="Q389" s="3">
        <f>VLOOKUP($A389,'SegEnds_NonXtal_BW#'!$A:$Z,12,FALSE)+VLOOKUP($A389,A:AL,16,FALSE)-50</f>
        <v>113</v>
      </c>
      <c r="R389" s="3">
        <f t="shared" si="206"/>
        <v>116</v>
      </c>
      <c r="S389" s="3">
        <v>116</v>
      </c>
      <c r="T389" s="100">
        <f t="shared" si="207"/>
        <v>123</v>
      </c>
      <c r="U389" s="9">
        <f>IF(ISERROR(VLOOKUP($A389,'SegEnds_NonXtal_BW#'!$A:$Z,15,FALSE)+VLOOKUP($A389,A:AL,22,FALSE)-50),"-",VLOOKUP($A389,'SegEnds_NonXtal_BW#'!$A:$Z,15,FALSE)+VLOOKUP($A389,A:AL,22,FALSE)-50)</f>
        <v>124</v>
      </c>
      <c r="V389" s="3">
        <v>136</v>
      </c>
      <c r="W389" s="3">
        <f>IF(ISERROR(VLOOKUP($A389,'SegEnds_NonXtal_BW#'!$A:$Z,16,FALSE)+VLOOKUP($A389,A:AL,22,FALSE)-50),"-",(VLOOKUP($A389,'SegEnds_NonXtal_BW#'!$A:$Z,16,FALSE)+VLOOKUP($A389,A:AL,22,FALSE)-50))</f>
        <v>153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172</v>
      </c>
      <c r="AB389" s="3">
        <v>190</v>
      </c>
      <c r="AC389" s="3">
        <f>IF(ISERROR((VLOOKUP($A389,'SegEnds_NonXtal_BW#'!$A:$Z,20,FALSE)+VLOOKUP($A389,A:AL,28,FALSE)-50)),"-",(VLOOKUP($A389,'SegEnds_NonXtal_BW#'!$A:$Z,20,FALSE)+VLOOKUP($A389,A:AL,28,FALSE)-50))</f>
        <v>212</v>
      </c>
      <c r="AD389" s="3">
        <f>IF(ISERROR(VLOOKUP($A389,'SegEnds_NonXtal_BW#'!$A:$Z,21,FALSE)+VLOOKUP($A389,A:AL,31,FALSE)-50),"-",(VLOOKUP($A389,'SegEnds_NonXtal_BW#'!$A:$Z,21,FALSE)+VLOOKUP($A389,A:AL,31,FALSE)-50))</f>
        <v>221</v>
      </c>
      <c r="AE389" s="3">
        <v>242</v>
      </c>
      <c r="AF389" s="3">
        <f>IF(ISERROR((VLOOKUP($A389,'SegEnds_NonXtal_BW#'!$A:$Z,22,FALSE)+VLOOKUP($A389,A:AL,31,FALSE)-50)),"-",(VLOOKUP($A389,'SegEnds_NonXtal_BW#'!$A:$Z,22,FALSE)+VLOOKUP($A389,A:AL,31,FALSE)-50))</f>
        <v>253</v>
      </c>
      <c r="AG389" s="3">
        <f>IF(ISERROR(VLOOKUP($A389,'SegEnds_NonXtal_BW#'!$A:$Z,23,FALSE)+VLOOKUP($A389,A:AL,34,FALSE)-50),"-",(VLOOKUP($A389,'SegEnds_NonXtal_BW#'!$A:$Z,23,FALSE)+VLOOKUP($A389,A:AL,34,FALSE)-50))</f>
        <v>258</v>
      </c>
      <c r="AH389" s="3">
        <v>277</v>
      </c>
      <c r="AI389" s="3">
        <f>IF(ISERROR((VLOOKUP($A389,'SegEnds_NonXtal_BW#'!$A:$Z,24,FALSE)+VLOOKUP($A389,A:AL,34,FALSE)-50)),"-",(VLOOKUP($A389,'SegEnds_NonXtal_BW#'!$A:$Z,24,FALSE)+VLOOKUP($A389,A:AL,34,FALSE)-50))</f>
        <v>283</v>
      </c>
      <c r="AJ389" s="3">
        <f>IF(ISERROR(VLOOKUP($A389,'SegEnds_NonXtal_BW#'!$A:$Z,25,FALSE)+VLOOKUP($A389,A:AL,37,FALSE)-50),"-",(VLOOKUP($A389,'SegEnds_NonXtal_BW#'!$A:$Z,25,FALSE)+VLOOKUP($A389,A:AL,37,FALSE)-50))</f>
        <v>284</v>
      </c>
      <c r="AK389" s="3">
        <v>287</v>
      </c>
      <c r="AL389" s="3">
        <f>IF(ISERROR((VLOOKUP($A389,'SegEnds_NonXtal_BW#'!$A:$Z,26,FALSE)+VLOOKUP($A389,A:AL,37,FALSE)-50)),"-",(VLOOKUP($A389,'SegEnds_NonXtal_BW#'!$A:$Z,26,FALSE)+VLOOKUP($A389,A:AL,37,FALSE)-50))</f>
        <v>297</v>
      </c>
      <c r="AM389" s="28" t="str">
        <f>VLOOKUP(A389,Classification!A:B,2,FALSE)</f>
        <v>T</v>
      </c>
      <c r="AN389" s="28" t="b">
        <f t="shared" si="195"/>
        <v>1</v>
      </c>
      <c r="AO389" s="3" t="str">
        <f>IF(ISERROR(MATCH(A389,'SegEnds_Xtal_Prot#'!B:B, 0)), "NoXtal", "Xtal")</f>
        <v>NoXtal</v>
      </c>
      <c r="AP389" s="3">
        <f t="shared" si="180"/>
        <v>1</v>
      </c>
      <c r="AQ389" s="3">
        <f t="shared" si="181"/>
        <v>1</v>
      </c>
      <c r="AR389" s="3" t="str">
        <f t="shared" si="182"/>
        <v>-</v>
      </c>
      <c r="AS389" s="3" t="str">
        <f t="shared" si="183"/>
        <v>-</v>
      </c>
      <c r="AT389" s="3">
        <f t="shared" si="184"/>
        <v>3</v>
      </c>
      <c r="AU389" s="3">
        <f t="shared" si="185"/>
        <v>1</v>
      </c>
      <c r="AV389" s="3" t="str">
        <f t="shared" si="186"/>
        <v>-</v>
      </c>
      <c r="AW389" s="3" t="str">
        <f t="shared" si="187"/>
        <v>-</v>
      </c>
      <c r="AX389" s="3">
        <f t="shared" si="188"/>
        <v>9</v>
      </c>
      <c r="AY389" s="3">
        <f t="shared" si="189"/>
        <v>5</v>
      </c>
      <c r="AZ389" s="3">
        <f t="shared" si="190"/>
        <v>1</v>
      </c>
      <c r="BA389" s="3">
        <f>IF(ISERROR(LEN(VLOOKUP(A389,Seqs!A:E,2,FALSE))-AL389),"-",LEN(VLOOKUP(A389,Seqs!A:E,2,FALSE))-AL389)</f>
        <v>20</v>
      </c>
      <c r="BB389" s="16">
        <f t="shared" si="191"/>
        <v>31</v>
      </c>
      <c r="BC389" s="9">
        <f t="shared" si="192"/>
        <v>20</v>
      </c>
      <c r="BD389" s="3">
        <f t="shared" si="193"/>
        <v>31</v>
      </c>
      <c r="BE389" s="3">
        <f t="shared" si="194"/>
        <v>52</v>
      </c>
      <c r="BF389" s="3">
        <f t="shared" si="208"/>
        <v>35</v>
      </c>
    </row>
    <row r="390" spans="1:58" s="3" customFormat="1" x14ac:dyDescent="0.2">
      <c r="A390" s="3" t="s">
        <v>459</v>
      </c>
      <c r="B390" s="3" t="str">
        <f>LOWER(VLOOKUP(A390,Xtal_Templ!A:B,2,FALSE))</f>
        <v>pd2r2_human</v>
      </c>
      <c r="C390" s="3">
        <f>VLOOKUP($A390,'SegEnds_NonXtal_BW#'!$A:$Z,3,FALSE)+D390-50</f>
        <v>7</v>
      </c>
      <c r="D390" s="3">
        <v>25</v>
      </c>
      <c r="E390" s="3">
        <f t="shared" si="203"/>
        <v>37</v>
      </c>
      <c r="F390" s="3">
        <f t="shared" si="204"/>
        <v>38</v>
      </c>
      <c r="G390" s="3">
        <v>40</v>
      </c>
      <c r="H390" s="3">
        <f t="shared" si="205"/>
        <v>41</v>
      </c>
      <c r="I390" s="3">
        <f t="shared" si="205"/>
        <v>42</v>
      </c>
      <c r="J390" s="3">
        <v>56</v>
      </c>
      <c r="K390" s="3">
        <f>VLOOKUP($A390,'SegEnds_NonXtal_BW#'!$A:$Z,8,FALSE)+VLOOKUP($A390,A:AL,10,FALSE)-50</f>
        <v>72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103</v>
      </c>
      <c r="Q390" s="3">
        <f>VLOOKUP($A390,'SegEnds_NonXtal_BW#'!$A:$Z,12,FALSE)+VLOOKUP($A390,A:AL,16,FALSE)-50</f>
        <v>109</v>
      </c>
      <c r="R390" s="3">
        <f t="shared" si="206"/>
        <v>112</v>
      </c>
      <c r="S390" s="3">
        <v>112</v>
      </c>
      <c r="T390" s="100">
        <f t="shared" si="207"/>
        <v>119</v>
      </c>
      <c r="U390" s="9">
        <f>IF(ISERROR(VLOOKUP($A390,'SegEnds_NonXtal_BW#'!$A:$Z,15,FALSE)+VLOOKUP($A390,A:AL,22,FALSE)-50),"-",VLOOKUP($A390,'SegEnds_NonXtal_BW#'!$A:$Z,15,FALSE)+VLOOKUP($A390,A:AL,22,FALSE)-50)</f>
        <v>120</v>
      </c>
      <c r="V390" s="3">
        <v>132</v>
      </c>
      <c r="W390" s="3">
        <f>IF(ISERROR(VLOOKUP($A390,'SegEnds_NonXtal_BW#'!$A:$Z,16,FALSE)+VLOOKUP($A390,A:AL,22,FALSE)-50),"-",(VLOOKUP($A390,'SegEnds_NonXtal_BW#'!$A:$Z,16,FALSE)+VLOOKUP($A390,A:AL,22,FALSE)-50))</f>
        <v>146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170</v>
      </c>
      <c r="AB390" s="3">
        <v>188</v>
      </c>
      <c r="AC390" s="3">
        <f>IF(ISERROR((VLOOKUP($A390,'SegEnds_NonXtal_BW#'!$A:$Z,20,FALSE)+VLOOKUP($A390,A:AL,28,FALSE)-50)),"-",(VLOOKUP($A390,'SegEnds_NonXtal_BW#'!$A:$Z,20,FALSE)+VLOOKUP($A390,A:AL,28,FALSE)-50))</f>
        <v>210</v>
      </c>
      <c r="AD390" s="3">
        <f>IF(ISERROR(VLOOKUP($A390,'SegEnds_NonXtal_BW#'!$A:$Z,21,FALSE)+VLOOKUP($A390,A:AL,31,FALSE)-50),"-",(VLOOKUP($A390,'SegEnds_NonXtal_BW#'!$A:$Z,21,FALSE)+VLOOKUP($A390,A:AL,31,FALSE)-50))</f>
        <v>217</v>
      </c>
      <c r="AE390" s="3">
        <v>238</v>
      </c>
      <c r="AF390" s="3">
        <f>IF(ISERROR((VLOOKUP($A390,'SegEnds_NonXtal_BW#'!$A:$Z,22,FALSE)+VLOOKUP($A390,A:AL,31,FALSE)-50)),"-",(VLOOKUP($A390,'SegEnds_NonXtal_BW#'!$A:$Z,22,FALSE)+VLOOKUP($A390,A:AL,31,FALSE)-50))</f>
        <v>249</v>
      </c>
      <c r="AG390" s="3">
        <f>IF(ISERROR(VLOOKUP($A390,'SegEnds_NonXtal_BW#'!$A:$Z,23,FALSE)+VLOOKUP($A390,A:AL,34,FALSE)-50),"-",(VLOOKUP($A390,'SegEnds_NonXtal_BW#'!$A:$Z,23,FALSE)+VLOOKUP($A390,A:AL,34,FALSE)-50))</f>
        <v>254</v>
      </c>
      <c r="AH390" s="3">
        <v>273</v>
      </c>
      <c r="AI390" s="3">
        <f>IF(ISERROR((VLOOKUP($A390,'SegEnds_NonXtal_BW#'!$A:$Z,24,FALSE)+VLOOKUP($A390,A:AL,34,FALSE)-50)),"-",(VLOOKUP($A390,'SegEnds_NonXtal_BW#'!$A:$Z,24,FALSE)+VLOOKUP($A390,A:AL,34,FALSE)-50))</f>
        <v>279</v>
      </c>
      <c r="AJ390" s="3">
        <f>IF(ISERROR(VLOOKUP($A390,'SegEnds_NonXtal_BW#'!$A:$Z,25,FALSE)+VLOOKUP($A390,A:AL,37,FALSE)-50),"-",(VLOOKUP($A390,'SegEnds_NonXtal_BW#'!$A:$Z,25,FALSE)+VLOOKUP($A390,A:AL,37,FALSE)-50))</f>
        <v>280</v>
      </c>
      <c r="AK390" s="3">
        <v>283</v>
      </c>
      <c r="AL390" s="3">
        <v>291</v>
      </c>
      <c r="AM390" s="28" t="str">
        <f>VLOOKUP(A390,Classification!A:B,2,FALSE)</f>
        <v>T</v>
      </c>
      <c r="AN390" s="28" t="b">
        <f t="shared" si="195"/>
        <v>1</v>
      </c>
      <c r="AO390" s="3" t="str">
        <f>IF(ISERROR(MATCH(A390,'SegEnds_Xtal_Prot#'!B:B, 0)), "NoXtal", "Xtal")</f>
        <v>NoXtal</v>
      </c>
      <c r="AP390" s="3">
        <f t="shared" ref="AP390:AP411" si="209">IF(ISERROR(F390-E390),"-",F390-E390)</f>
        <v>1</v>
      </c>
      <c r="AQ390" s="3">
        <f t="shared" ref="AQ390:AQ411" si="210">IF(ISERROR(I390-H390),"-",I390-H390)</f>
        <v>1</v>
      </c>
      <c r="AR390" s="3" t="str">
        <f t="shared" ref="AR390:AR411" si="211">IF(ISERROR(L390-K390),"-",L390-K390)</f>
        <v>-</v>
      </c>
      <c r="AS390" s="3" t="str">
        <f t="shared" ref="AS390:AS411" si="212">IF(ISERROR(O390-N390),"-",O390-N390)</f>
        <v>-</v>
      </c>
      <c r="AT390" s="3">
        <f t="shared" ref="AT390:AT411" si="213">IF(ISERROR(R390-Q390),"-",R390-Q390)</f>
        <v>3</v>
      </c>
      <c r="AU390" s="3">
        <f t="shared" ref="AU390:AU411" si="214">IF(ISERROR(U390-T390),"-",U390-T390)</f>
        <v>1</v>
      </c>
      <c r="AV390" s="3" t="str">
        <f t="shared" ref="AV390:AV411" si="215">IF(ISERROR(X390-W390),"-",X390-W390)</f>
        <v>-</v>
      </c>
      <c r="AW390" s="3" t="str">
        <f t="shared" ref="AW390:AW411" si="216">IF(ISERROR(AA390-Z390),"-",AA390-Z390)</f>
        <v>-</v>
      </c>
      <c r="AX390" s="3">
        <f t="shared" ref="AX390:AX411" si="217">IF(ISERROR(AD390-AC390),"-",AD390-AC390)</f>
        <v>7</v>
      </c>
      <c r="AY390" s="3">
        <f t="shared" ref="AY390:AY411" si="218">IF(ISERROR(AG390-AF390),"-",AG390-AF390)</f>
        <v>5</v>
      </c>
      <c r="AZ390" s="3">
        <f t="shared" ref="AZ390:AZ411" si="219">IF(ISERROR(AJ390-AI390),"-",AJ390-AI390)</f>
        <v>1</v>
      </c>
      <c r="BA390" s="3">
        <f>IF(ISERROR(LEN(VLOOKUP(A390,Seqs!A:E,2,FALSE))-AL390),"-",LEN(VLOOKUP(A390,Seqs!A:E,2,FALSE))-AL390)</f>
        <v>0</v>
      </c>
      <c r="BB390" s="16">
        <f t="shared" ref="BB390:BB411" si="220">J390-D390</f>
        <v>31</v>
      </c>
      <c r="BC390" s="9">
        <f t="shared" ref="BC390:BC411" si="221">IF(ISERROR(V390-S390),"-",V390-S390)</f>
        <v>20</v>
      </c>
      <c r="BD390" s="3">
        <f t="shared" ref="BD390:BD411" si="222">J390-D390</f>
        <v>31</v>
      </c>
      <c r="BE390" s="3">
        <f t="shared" ref="BE390:BE411" si="223">AE390-AB390</f>
        <v>50</v>
      </c>
      <c r="BF390" s="3">
        <f t="shared" si="208"/>
        <v>35</v>
      </c>
    </row>
    <row r="391" spans="1:58" s="3" customFormat="1" x14ac:dyDescent="0.2">
      <c r="A391" s="3" t="s">
        <v>460</v>
      </c>
      <c r="B391" s="3" t="str">
        <f>LOWER(VLOOKUP(A391,Xtal_Templ!A:B,2,FALSE))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03"/>
        <v>36</v>
      </c>
      <c r="F391" s="3">
        <f t="shared" si="204"/>
        <v>37</v>
      </c>
      <c r="G391" s="3">
        <v>39</v>
      </c>
      <c r="H391" s="3">
        <f t="shared" si="205"/>
        <v>40</v>
      </c>
      <c r="I391" s="3">
        <f t="shared" si="20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06"/>
        <v>115</v>
      </c>
      <c r="S391" s="3">
        <v>115</v>
      </c>
      <c r="T391" s="100">
        <f t="shared" si="20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152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ref="AN391:AN411" si="224">AND(IF(Y391="-",IF(AA391-W391&gt;3,TRUE,FALSE),TRUE),IF(M391="-",IF(O391-K391&gt;3,TRUE,FALSE),TRUE),IF(AG391-AF391&gt;1,TRUE,FALSE),C391&lt;E391,OR(E391&lt;F391,F391="-"),OR(F391&lt;H391,F391="-"),OR(H391&lt;I391,H391="-"),I391&lt;K391,OR(K391&lt;L391,L391="-"),OR(L391&lt;N391,L391="-"),OR(N391&lt;O391,N391="-"),O391&lt;Q391,OR(Q391&lt;R391,R391="-"),OR(R391&lt;T391,R391="-"),OR(T391&lt;U391,T391="-"),U391&lt;W391,OR(W391&lt;X391,X391="-"),OR(X391&lt;Z391,X391="-"),OR(Z391&lt;AA391,Z391="-"),AA391&lt;AC391,AC391&lt;AD391,AD391&lt;AF391,AF391&lt;AG391,AG391&lt;AI391,OR(AI391&lt;AJ391,AJ391="-"),OR(AJ391&lt;AL391,AJ391="-"))</f>
        <v>1</v>
      </c>
      <c r="AO391" s="3" t="str">
        <f>IF(ISERROR(MATCH(A391,'SegEnds_Xtal_Prot#'!B:B, 0)), "NoXtal", "Xtal")</f>
        <v>NoXtal</v>
      </c>
      <c r="AP391" s="3">
        <f t="shared" si="209"/>
        <v>1</v>
      </c>
      <c r="AQ391" s="3">
        <f t="shared" si="210"/>
        <v>1</v>
      </c>
      <c r="AR391" s="3" t="str">
        <f t="shared" si="211"/>
        <v>-</v>
      </c>
      <c r="AS391" s="3" t="str">
        <f t="shared" si="212"/>
        <v>-</v>
      </c>
      <c r="AT391" s="3">
        <f t="shared" si="213"/>
        <v>3</v>
      </c>
      <c r="AU391" s="3">
        <f t="shared" si="214"/>
        <v>1</v>
      </c>
      <c r="AV391" s="3" t="str">
        <f t="shared" si="215"/>
        <v>-</v>
      </c>
      <c r="AW391" s="3" t="str">
        <f t="shared" si="216"/>
        <v>-</v>
      </c>
      <c r="AX391" s="3">
        <f t="shared" si="217"/>
        <v>10</v>
      </c>
      <c r="AY391" s="3">
        <f t="shared" si="218"/>
        <v>6</v>
      </c>
      <c r="AZ391" s="3">
        <f t="shared" si="219"/>
        <v>1</v>
      </c>
      <c r="BA391" s="3">
        <f>IF(ISERROR(LEN(VLOOKUP(A391,Seqs!A:E,2,FALSE))-AL391),"-",LEN(VLOOKUP(A391,Seqs!A:E,2,FALSE))-AL391)</f>
        <v>3</v>
      </c>
      <c r="BB391" s="16">
        <f t="shared" si="220"/>
        <v>31</v>
      </c>
      <c r="BC391" s="9">
        <f t="shared" si="221"/>
        <v>20</v>
      </c>
      <c r="BD391" s="3">
        <f t="shared" si="222"/>
        <v>31</v>
      </c>
      <c r="BE391" s="3">
        <f t="shared" si="223"/>
        <v>53</v>
      </c>
      <c r="BF391" s="3">
        <f t="shared" si="208"/>
        <v>36</v>
      </c>
    </row>
    <row r="392" spans="1:58" s="3" customFormat="1" x14ac:dyDescent="0.2">
      <c r="A392" s="3" t="s">
        <v>461</v>
      </c>
      <c r="B392" s="3" t="str">
        <f>LOWER(VLOOKUP(A392,Xtal_Templ!A:B,2,FALSE))</f>
        <v>5ht2c_human</v>
      </c>
      <c r="C392" s="3">
        <f>VLOOKUP($A392,'SegEnds_NonXtal_BW#'!$A:$Z,3,FALSE)+D392-50</f>
        <v>6</v>
      </c>
      <c r="D392" s="3">
        <v>24</v>
      </c>
      <c r="E392" s="3">
        <f t="shared" si="203"/>
        <v>36</v>
      </c>
      <c r="F392" s="3">
        <f t="shared" si="204"/>
        <v>37</v>
      </c>
      <c r="G392" s="3">
        <v>39</v>
      </c>
      <c r="H392" s="3">
        <f t="shared" si="205"/>
        <v>40</v>
      </c>
      <c r="I392" s="3">
        <f t="shared" si="205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06"/>
        <v>115</v>
      </c>
      <c r="S392" s="3">
        <v>115</v>
      </c>
      <c r="T392" s="100">
        <f t="shared" si="207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152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24"/>
        <v>1</v>
      </c>
      <c r="AO392" s="3" t="str">
        <f>IF(ISERROR(MATCH(A392,'SegEnds_Xtal_Prot#'!B:B, 0)), "NoXtal", "Xtal")</f>
        <v>NoXtal</v>
      </c>
      <c r="AP392" s="3">
        <f t="shared" si="209"/>
        <v>1</v>
      </c>
      <c r="AQ392" s="3">
        <f t="shared" si="210"/>
        <v>1</v>
      </c>
      <c r="AR392" s="3" t="str">
        <f t="shared" si="211"/>
        <v>-</v>
      </c>
      <c r="AS392" s="3" t="str">
        <f t="shared" si="212"/>
        <v>-</v>
      </c>
      <c r="AT392" s="3">
        <f t="shared" si="213"/>
        <v>3</v>
      </c>
      <c r="AU392" s="3">
        <f t="shared" si="214"/>
        <v>1</v>
      </c>
      <c r="AV392" s="3" t="str">
        <f t="shared" si="215"/>
        <v>-</v>
      </c>
      <c r="AW392" s="3" t="str">
        <f t="shared" si="216"/>
        <v>-</v>
      </c>
      <c r="AX392" s="3">
        <f t="shared" si="217"/>
        <v>10</v>
      </c>
      <c r="AY392" s="3">
        <f t="shared" si="218"/>
        <v>6</v>
      </c>
      <c r="AZ392" s="3">
        <f t="shared" si="219"/>
        <v>1</v>
      </c>
      <c r="BA392" s="3">
        <f>IF(ISERROR(LEN(VLOOKUP(A392,Seqs!A:E,2,FALSE))-AL392),"-",LEN(VLOOKUP(A392,Seqs!A:E,2,FALSE))-AL392)</f>
        <v>13</v>
      </c>
      <c r="BB392" s="16">
        <f t="shared" si="220"/>
        <v>31</v>
      </c>
      <c r="BC392" s="9">
        <f t="shared" si="221"/>
        <v>20</v>
      </c>
      <c r="BD392" s="3">
        <f t="shared" si="222"/>
        <v>31</v>
      </c>
      <c r="BE392" s="3">
        <f t="shared" si="223"/>
        <v>53</v>
      </c>
      <c r="BF392" s="3">
        <f t="shared" si="208"/>
        <v>36</v>
      </c>
    </row>
    <row r="393" spans="1:58" s="3" customFormat="1" x14ac:dyDescent="0.2">
      <c r="A393" s="3" t="s">
        <v>462</v>
      </c>
      <c r="B393" s="3" t="str">
        <f>LOWER(VLOOKUP(A393,Xtal_Templ!A:B,2,FALSE))</f>
        <v>5ht2c_human</v>
      </c>
      <c r="C393" s="3">
        <f>VLOOKUP($A393,'SegEnds_NonXtal_BW#'!$A:$Z,3,FALSE)+D393-50</f>
        <v>6</v>
      </c>
      <c r="D393" s="3">
        <v>24</v>
      </c>
      <c r="E393" s="3">
        <f t="shared" si="203"/>
        <v>36</v>
      </c>
      <c r="F393" s="3">
        <f t="shared" si="204"/>
        <v>37</v>
      </c>
      <c r="G393" s="3">
        <v>39</v>
      </c>
      <c r="H393" s="3">
        <f t="shared" si="205"/>
        <v>40</v>
      </c>
      <c r="I393" s="3">
        <f t="shared" si="205"/>
        <v>41</v>
      </c>
      <c r="J393" s="3">
        <v>55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si="206"/>
        <v>115</v>
      </c>
      <c r="S393" s="3">
        <v>115</v>
      </c>
      <c r="T393" s="100">
        <f t="shared" si="207"/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152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169</v>
      </c>
      <c r="AB393" s="3">
        <v>187</v>
      </c>
      <c r="AC393" s="3">
        <f>IF(ISERROR((VLOOKUP($A393,'SegEnds_NonXtal_BW#'!$A:$Z,20,FALSE)+VLOOKUP($A393,A:AL,28,FALSE)-50)),"-",(VLOOKUP($A393,'SegEnds_NonXtal_BW#'!$A:$Z,20,FALSE)+VLOOKUP($A393,A:AL,28,FALSE)-50))</f>
        <v>209</v>
      </c>
      <c r="AD393" s="3">
        <f>IF(ISERROR(VLOOKUP($A393,'SegEnds_NonXtal_BW#'!$A:$Z,21,FALSE)+VLOOKUP($A393,A:AL,31,FALSE)-50),"-",(VLOOKUP($A393,'SegEnds_NonXtal_BW#'!$A:$Z,21,FALSE)+VLOOKUP($A393,A:AL,31,FALSE)-50))</f>
        <v>219</v>
      </c>
      <c r="AE393" s="3">
        <v>240</v>
      </c>
      <c r="AF393" s="3">
        <f>IF(ISERROR((VLOOKUP($A393,'SegEnds_NonXtal_BW#'!$A:$Z,22,FALSE)+VLOOKUP($A393,A:AL,31,FALSE)-50)),"-",(VLOOKUP($A393,'SegEnds_NonXtal_BW#'!$A:$Z,22,FALSE)+VLOOKUP($A393,A:AL,31,FALSE)-50))</f>
        <v>251</v>
      </c>
      <c r="AG393" s="3">
        <f>IF(ISERROR(VLOOKUP($A393,'SegEnds_NonXtal_BW#'!$A:$Z,23,FALSE)+VLOOKUP($A393,A:AL,34,FALSE)-50),"-",(VLOOKUP($A393,'SegEnds_NonXtal_BW#'!$A:$Z,23,FALSE)+VLOOKUP($A393,A:AL,34,FALSE)-50))</f>
        <v>257</v>
      </c>
      <c r="AH393" s="3">
        <v>276</v>
      </c>
      <c r="AI393" s="3">
        <f>IF(ISERROR((VLOOKUP($A393,'SegEnds_NonXtal_BW#'!$A:$Z,24,FALSE)+VLOOKUP($A393,A:AL,34,FALSE)-50)),"-",(VLOOKUP($A393,'SegEnds_NonXtal_BW#'!$A:$Z,24,FALSE)+VLOOKUP($A393,A:AL,34,FALSE)-50))</f>
        <v>282</v>
      </c>
      <c r="AJ393" s="3">
        <f>IF(ISERROR(VLOOKUP($A393,'SegEnds_NonXtal_BW#'!$A:$Z,25,FALSE)+VLOOKUP($A393,A:AL,37,FALSE)-50),"-",(VLOOKUP($A393,'SegEnds_NonXtal_BW#'!$A:$Z,25,FALSE)+VLOOKUP($A393,A:AL,37,FALSE)-50))</f>
        <v>283</v>
      </c>
      <c r="AK393" s="3">
        <v>286</v>
      </c>
      <c r="AL393" s="3">
        <f>IF(ISERROR((VLOOKUP($A393,'SegEnds_NonXtal_BW#'!$A:$Z,26,FALSE)+VLOOKUP($A393,A:AL,37,FALSE)-50)),"-",(VLOOKUP($A393,'SegEnds_NonXtal_BW#'!$A:$Z,26,FALSE)+VLOOKUP($A393,A:AL,37,FALSE)-50))</f>
        <v>296</v>
      </c>
      <c r="AM393" s="28" t="str">
        <f>VLOOKUP(A393,Classification!A:B,2,FALSE)</f>
        <v>T</v>
      </c>
      <c r="AN393" s="28" t="b">
        <f t="shared" si="224"/>
        <v>1</v>
      </c>
      <c r="AO393" s="3" t="str">
        <f>IF(ISERROR(MATCH(A393,'SegEnds_Xtal_Prot#'!B:B, 0)), "NoXtal", "Xtal")</f>
        <v>NoXtal</v>
      </c>
      <c r="AP393" s="3">
        <f t="shared" si="209"/>
        <v>1</v>
      </c>
      <c r="AQ393" s="3">
        <f t="shared" si="210"/>
        <v>1</v>
      </c>
      <c r="AR393" s="3" t="str">
        <f t="shared" si="211"/>
        <v>-</v>
      </c>
      <c r="AS393" s="3" t="str">
        <f t="shared" si="212"/>
        <v>-</v>
      </c>
      <c r="AT393" s="3">
        <f t="shared" si="213"/>
        <v>3</v>
      </c>
      <c r="AU393" s="3">
        <f t="shared" si="214"/>
        <v>1</v>
      </c>
      <c r="AV393" s="3" t="str">
        <f t="shared" si="215"/>
        <v>-</v>
      </c>
      <c r="AW393" s="3" t="str">
        <f t="shared" si="216"/>
        <v>-</v>
      </c>
      <c r="AX393" s="3">
        <f t="shared" si="217"/>
        <v>10</v>
      </c>
      <c r="AY393" s="3">
        <f t="shared" si="218"/>
        <v>6</v>
      </c>
      <c r="AZ393" s="3">
        <f t="shared" si="219"/>
        <v>1</v>
      </c>
      <c r="BA393" s="3">
        <f>IF(ISERROR(LEN(VLOOKUP(A393,Seqs!A:E,2,FALSE))-AL393),"-",LEN(VLOOKUP(A393,Seqs!A:E,2,FALSE))-AL393)</f>
        <v>23</v>
      </c>
      <c r="BB393" s="16">
        <f t="shared" si="220"/>
        <v>31</v>
      </c>
      <c r="BC393" s="9">
        <f t="shared" si="221"/>
        <v>20</v>
      </c>
      <c r="BD393" s="3">
        <f t="shared" si="222"/>
        <v>31</v>
      </c>
      <c r="BE393" s="3">
        <f t="shared" si="223"/>
        <v>53</v>
      </c>
      <c r="BF393" s="3">
        <f t="shared" si="208"/>
        <v>36</v>
      </c>
    </row>
    <row r="394" spans="1:58" s="3" customFormat="1" x14ac:dyDescent="0.2">
      <c r="A394" s="3" t="s">
        <v>463</v>
      </c>
      <c r="B394" s="3" t="str">
        <f>LOWER(VLOOKUP(A394,Xtal_Templ!A:B,2,FALSE))</f>
        <v>agtr1_human</v>
      </c>
      <c r="C394" s="3">
        <f>VLOOKUP($A394,'SegEnds_NonXtal_BW#'!$A:$Z,3,FALSE)+D394-50</f>
        <v>6</v>
      </c>
      <c r="D394" s="3">
        <v>24</v>
      </c>
      <c r="E394" s="3">
        <f t="shared" si="203"/>
        <v>36</v>
      </c>
      <c r="F394" s="3">
        <f t="shared" si="204"/>
        <v>37</v>
      </c>
      <c r="G394" s="3">
        <v>39</v>
      </c>
      <c r="H394" s="3">
        <f t="shared" si="205"/>
        <v>40</v>
      </c>
      <c r="I394" s="3">
        <f t="shared" si="205"/>
        <v>41</v>
      </c>
      <c r="J394" s="3">
        <v>55</v>
      </c>
      <c r="K394" s="3">
        <f>VLOOKUP($A394,'SegEnds_NonXtal_BW#'!$A:$Z,8,FALSE)+VLOOKUP($A394,A:AL,10,FALSE)-50</f>
        <v>71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77</v>
      </c>
      <c r="P394" s="3">
        <v>106</v>
      </c>
      <c r="Q394" s="3">
        <f>VLOOKUP($A394,'SegEnds_NonXtal_BW#'!$A:$Z,12,FALSE)+VLOOKUP($A394,A:AL,16,FALSE)-50</f>
        <v>112</v>
      </c>
      <c r="R394" s="3">
        <f t="shared" si="206"/>
        <v>115</v>
      </c>
      <c r="S394" s="3">
        <v>115</v>
      </c>
      <c r="T394" s="100">
        <f t="shared" si="207"/>
        <v>122</v>
      </c>
      <c r="U394" s="9">
        <f>IF(ISERROR(VLOOKUP($A394,'SegEnds_NonXtal_BW#'!$A:$Z,15,FALSE)+VLOOKUP($A394,A:AL,22,FALSE)-50),"-",VLOOKUP($A394,'SegEnds_NonXtal_BW#'!$A:$Z,15,FALSE)+VLOOKUP($A394,A:AL,22,FALSE)-50)</f>
        <v>123</v>
      </c>
      <c r="V394" s="3">
        <v>135</v>
      </c>
      <c r="W394" s="3">
        <f>IF(ISERROR(VLOOKUP($A394,'SegEnds_NonXtal_BW#'!$A:$Z,16,FALSE)+VLOOKUP($A394,A:AL,22,FALSE)-50),"-",(VLOOKUP($A394,'SegEnds_NonXtal_BW#'!$A:$Z,16,FALSE)+VLOOKUP($A394,A:AL,22,FALSE)-50))</f>
        <v>149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169</v>
      </c>
      <c r="AB394" s="3">
        <v>187</v>
      </c>
      <c r="AC394" s="3">
        <f>IF(ISERROR((VLOOKUP($A394,'SegEnds_NonXtal_BW#'!$A:$Z,20,FALSE)+VLOOKUP($A394,A:AL,28,FALSE)-50)),"-",(VLOOKUP($A394,'SegEnds_NonXtal_BW#'!$A:$Z,20,FALSE)+VLOOKUP($A394,A:AL,28,FALSE)-50))</f>
        <v>209</v>
      </c>
      <c r="AD394" s="3">
        <f>IF(ISERROR(VLOOKUP($A394,'SegEnds_NonXtal_BW#'!$A:$Z,21,FALSE)+VLOOKUP($A394,A:AL,31,FALSE)-50),"-",(VLOOKUP($A394,'SegEnds_NonXtal_BW#'!$A:$Z,21,FALSE)+VLOOKUP($A394,A:AL,31,FALSE)-50))</f>
        <v>219</v>
      </c>
      <c r="AE394" s="3">
        <v>240</v>
      </c>
      <c r="AF394" s="3">
        <f>IF(ISERROR((VLOOKUP($A394,'SegEnds_NonXtal_BW#'!$A:$Z,22,FALSE)+VLOOKUP($A394,A:AL,31,FALSE)-50)),"-",(VLOOKUP($A394,'SegEnds_NonXtal_BW#'!$A:$Z,22,FALSE)+VLOOKUP($A394,A:AL,31,FALSE)-50))</f>
        <v>251</v>
      </c>
      <c r="AG394" s="3">
        <f>IF(ISERROR(VLOOKUP($A394,'SegEnds_NonXtal_BW#'!$A:$Z,23,FALSE)+VLOOKUP($A394,A:AL,34,FALSE)-50),"-",(VLOOKUP($A394,'SegEnds_NonXtal_BW#'!$A:$Z,23,FALSE)+VLOOKUP($A394,A:AL,34,FALSE)-50))</f>
        <v>257</v>
      </c>
      <c r="AH394" s="3">
        <v>276</v>
      </c>
      <c r="AI394" s="3">
        <f>IF(ISERROR((VLOOKUP($A394,'SegEnds_NonXtal_BW#'!$A:$Z,24,FALSE)+VLOOKUP($A394,A:AL,34,FALSE)-50)),"-",(VLOOKUP($A394,'SegEnds_NonXtal_BW#'!$A:$Z,24,FALSE)+VLOOKUP($A394,A:AL,34,FALSE)-50))</f>
        <v>282</v>
      </c>
      <c r="AJ394" s="3">
        <f>IF(ISERROR(VLOOKUP($A394,'SegEnds_NonXtal_BW#'!$A:$Z,25,FALSE)+VLOOKUP($A394,A:AL,37,FALSE)-50),"-",(VLOOKUP($A394,'SegEnds_NonXtal_BW#'!$A:$Z,25,FALSE)+VLOOKUP($A394,A:AL,37,FALSE)-50))</f>
        <v>283</v>
      </c>
      <c r="AK394" s="3">
        <v>286</v>
      </c>
      <c r="AL394" s="3">
        <f>IF(ISERROR((VLOOKUP($A394,'SegEnds_NonXtal_BW#'!$A:$Z,26,FALSE)+VLOOKUP($A394,A:AL,37,FALSE)-50)),"-",(VLOOKUP($A394,'SegEnds_NonXtal_BW#'!$A:$Z,26,FALSE)+VLOOKUP($A394,A:AL,37,FALSE)-50))</f>
        <v>296</v>
      </c>
      <c r="AM394" s="28" t="str">
        <f>VLOOKUP(A394,Classification!A:B,2,FALSE)</f>
        <v>T</v>
      </c>
      <c r="AN394" s="28" t="b">
        <f t="shared" si="224"/>
        <v>1</v>
      </c>
      <c r="AO394" s="3" t="str">
        <f>IF(ISERROR(MATCH(A394,'SegEnds_Xtal_Prot#'!B:B, 0)), "NoXtal", "Xtal")</f>
        <v>NoXtal</v>
      </c>
      <c r="AP394" s="3">
        <f t="shared" si="209"/>
        <v>1</v>
      </c>
      <c r="AQ394" s="3">
        <f t="shared" si="210"/>
        <v>1</v>
      </c>
      <c r="AR394" s="3" t="str">
        <f t="shared" si="211"/>
        <v>-</v>
      </c>
      <c r="AS394" s="3" t="str">
        <f t="shared" si="212"/>
        <v>-</v>
      </c>
      <c r="AT394" s="3">
        <f t="shared" si="213"/>
        <v>3</v>
      </c>
      <c r="AU394" s="3">
        <f t="shared" si="214"/>
        <v>1</v>
      </c>
      <c r="AV394" s="3" t="str">
        <f t="shared" si="215"/>
        <v>-</v>
      </c>
      <c r="AW394" s="3" t="str">
        <f t="shared" si="216"/>
        <v>-</v>
      </c>
      <c r="AX394" s="3">
        <f t="shared" si="217"/>
        <v>10</v>
      </c>
      <c r="AY394" s="3">
        <f t="shared" si="218"/>
        <v>6</v>
      </c>
      <c r="AZ394" s="3">
        <f t="shared" si="219"/>
        <v>1</v>
      </c>
      <c r="BA394" s="3">
        <f>IF(ISERROR(LEN(VLOOKUP(A394,Seqs!A:E,2,FALSE))-AL394),"-",LEN(VLOOKUP(A394,Seqs!A:E,2,FALSE))-AL394)</f>
        <v>13</v>
      </c>
      <c r="BB394" s="16">
        <f t="shared" si="220"/>
        <v>31</v>
      </c>
      <c r="BC394" s="9">
        <f t="shared" si="221"/>
        <v>20</v>
      </c>
      <c r="BD394" s="3">
        <f t="shared" si="222"/>
        <v>31</v>
      </c>
      <c r="BE394" s="3">
        <f t="shared" si="223"/>
        <v>53</v>
      </c>
      <c r="BF394" s="3">
        <f t="shared" si="208"/>
        <v>36</v>
      </c>
    </row>
    <row r="395" spans="1:58" s="3" customFormat="1" x14ac:dyDescent="0.2">
      <c r="A395" s="3" t="s">
        <v>464</v>
      </c>
      <c r="B395" s="3" t="str">
        <f>LOWER(VLOOKUP(A395,Xtal_Templ!A:B,2,FALSE))</f>
        <v>agtr1_human</v>
      </c>
      <c r="C395" s="3">
        <f>VLOOKUP($A395,'SegEnds_NonXtal_BW#'!$A:$Z,3,FALSE)+D395-50</f>
        <v>15</v>
      </c>
      <c r="D395" s="3">
        <v>33</v>
      </c>
      <c r="E395" s="3">
        <f t="shared" si="203"/>
        <v>45</v>
      </c>
      <c r="F395" s="3">
        <f t="shared" si="204"/>
        <v>46</v>
      </c>
      <c r="G395" s="3">
        <v>48</v>
      </c>
      <c r="H395" s="3">
        <f t="shared" si="205"/>
        <v>49</v>
      </c>
      <c r="I395" s="3">
        <f t="shared" si="205"/>
        <v>50</v>
      </c>
      <c r="J395" s="3">
        <v>64</v>
      </c>
      <c r="K395" s="3">
        <f>VLOOKUP($A395,'SegEnds_NonXtal_BW#'!$A:$Z,8,FALSE)+VLOOKUP($A395,A:AL,10,FALSE)-50</f>
        <v>81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85</v>
      </c>
      <c r="P395" s="3">
        <v>117</v>
      </c>
      <c r="Q395" s="3">
        <f>VLOOKUP($A395,'SegEnds_NonXtal_BW#'!$A:$Z,12,FALSE)+VLOOKUP($A395,A:AL,16,FALSE)-50</f>
        <v>123</v>
      </c>
      <c r="R395" s="3">
        <f t="shared" si="206"/>
        <v>126</v>
      </c>
      <c r="S395" s="3">
        <v>126</v>
      </c>
      <c r="T395" s="100">
        <f t="shared" si="207"/>
        <v>133</v>
      </c>
      <c r="U395" s="9">
        <f>IF(ISERROR(VLOOKUP($A395,'SegEnds_NonXtal_BW#'!$A:$Z,15,FALSE)+VLOOKUP($A395,A:AL,22,FALSE)-50),"-",VLOOKUP($A395,'SegEnds_NonXtal_BW#'!$A:$Z,15,FALSE)+VLOOKUP($A395,A:AL,22,FALSE)-50)</f>
        <v>134</v>
      </c>
      <c r="V395" s="3">
        <v>146</v>
      </c>
      <c r="W395" s="3">
        <f>IF(ISERROR(VLOOKUP($A395,'SegEnds_NonXtal_BW#'!$A:$Z,16,FALSE)+VLOOKUP($A395,A:AL,22,FALSE)-50),"-",(VLOOKUP($A395,'SegEnds_NonXtal_BW#'!$A:$Z,16,FALSE)+VLOOKUP($A395,A:AL,22,FALSE)-50))</f>
        <v>160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275</v>
      </c>
      <c r="AH395" s="3">
        <v>294</v>
      </c>
      <c r="AI395" s="3">
        <f>IF(ISERROR((VLOOKUP($A395,'SegEnds_NonXtal_BW#'!$A:$Z,24,FALSE)+VLOOKUP($A395,A:AL,34,FALSE)-50)),"-",(VLOOKUP($A395,'SegEnds_NonXtal_BW#'!$A:$Z,24,FALSE)+VLOOKUP($A395,A:AL,34,FALSE)-50))</f>
        <v>300</v>
      </c>
      <c r="AJ395" s="3">
        <f>IF(ISERROR(VLOOKUP($A395,'SegEnds_NonXtal_BW#'!$A:$Z,25,FALSE)+VLOOKUP($A395,A:AL,37,FALSE)-50),"-",(VLOOKUP($A395,'SegEnds_NonXtal_BW#'!$A:$Z,25,FALSE)+VLOOKUP($A395,A:AL,37,FALSE)-50))</f>
        <v>301</v>
      </c>
      <c r="AK395" s="3">
        <v>304</v>
      </c>
      <c r="AL395" s="3">
        <f>IF(ISERROR((VLOOKUP($A395,'SegEnds_NonXtal_BW#'!$A:$Z,26,FALSE)+VLOOKUP($A395,A:AL,37,FALSE)-50)),"-",(VLOOKUP($A395,'SegEnds_NonXtal_BW#'!$A:$Z,26,FALSE)+VLOOKUP($A395,A:AL,37,FALSE)-50))</f>
        <v>314</v>
      </c>
      <c r="AM395" s="28" t="str">
        <f>VLOOKUP(A395,Classification!A:B,2,FALSE)</f>
        <v>T</v>
      </c>
      <c r="AN395" s="28" t="b">
        <f t="shared" si="224"/>
        <v>1</v>
      </c>
      <c r="AO395" s="3" t="str">
        <f>IF(ISERROR(MATCH(A395,'SegEnds_Xtal_Prot#'!B:B, 0)), "NoXtal", "Xtal")</f>
        <v>NoXtal</v>
      </c>
      <c r="AP395" s="3">
        <f t="shared" si="209"/>
        <v>1</v>
      </c>
      <c r="AQ395" s="3">
        <f t="shared" si="210"/>
        <v>1</v>
      </c>
      <c r="AR395" s="3" t="str">
        <f t="shared" si="211"/>
        <v>-</v>
      </c>
      <c r="AS395" s="3" t="str">
        <f t="shared" si="212"/>
        <v>-</v>
      </c>
      <c r="AT395" s="3">
        <f t="shared" si="213"/>
        <v>3</v>
      </c>
      <c r="AU395" s="3">
        <f t="shared" si="214"/>
        <v>1</v>
      </c>
      <c r="AV395" s="3" t="str">
        <f t="shared" si="215"/>
        <v>-</v>
      </c>
      <c r="AW395" s="3" t="str">
        <f t="shared" si="216"/>
        <v>-</v>
      </c>
      <c r="AX395" s="3">
        <f t="shared" si="217"/>
        <v>10</v>
      </c>
      <c r="AY395" s="3">
        <f t="shared" si="218"/>
        <v>6</v>
      </c>
      <c r="AZ395" s="3">
        <f t="shared" si="219"/>
        <v>1</v>
      </c>
      <c r="BA395" s="3">
        <f>IF(ISERROR(LEN(VLOOKUP(A395,Seqs!A:E,2,FALSE))-AL395),"-",LEN(VLOOKUP(A395,Seqs!A:E,2,FALSE))-AL395)</f>
        <v>19</v>
      </c>
      <c r="BB395" s="16">
        <f t="shared" si="220"/>
        <v>31</v>
      </c>
      <c r="BC395" s="9">
        <f t="shared" si="221"/>
        <v>20</v>
      </c>
      <c r="BD395" s="3">
        <f t="shared" si="222"/>
        <v>31</v>
      </c>
      <c r="BE395" s="3">
        <f t="shared" si="223"/>
        <v>53</v>
      </c>
      <c r="BF395" s="3">
        <f t="shared" si="208"/>
        <v>36</v>
      </c>
    </row>
    <row r="396" spans="1:58" s="3" customFormat="1" x14ac:dyDescent="0.2">
      <c r="A396" s="3" t="s">
        <v>465</v>
      </c>
      <c r="B396" s="3" t="str">
        <f>LOWER(VLOOKUP(A396,Xtal_Templ!A:B,2,FALSE))</f>
        <v>agtr1_human</v>
      </c>
      <c r="C396" s="3">
        <f>VLOOKUP($A396,'SegEnds_NonXtal_BW#'!$A:$Z,3,FALSE)+D396-50</f>
        <v>34</v>
      </c>
      <c r="D396" s="3">
        <v>52</v>
      </c>
      <c r="E396" s="3">
        <f t="shared" si="203"/>
        <v>64</v>
      </c>
      <c r="F396" s="3">
        <f t="shared" si="204"/>
        <v>65</v>
      </c>
      <c r="G396" s="3">
        <v>67</v>
      </c>
      <c r="H396" s="3">
        <f t="shared" si="205"/>
        <v>68</v>
      </c>
      <c r="I396" s="3">
        <f t="shared" si="205"/>
        <v>69</v>
      </c>
      <c r="J396" s="3">
        <v>83</v>
      </c>
      <c r="K396" s="3">
        <f>VLOOKUP($A396,'SegEnds_NonXtal_BW#'!$A:$Z,8,FALSE)+VLOOKUP($A396,A:AL,10,FALSE)-50</f>
        <v>99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103</v>
      </c>
      <c r="P396" s="3">
        <v>135</v>
      </c>
      <c r="Q396" s="3">
        <f>VLOOKUP($A396,'SegEnds_NonXtal_BW#'!$A:$Z,12,FALSE)+VLOOKUP($A396,A:AL,16,FALSE)-50</f>
        <v>141</v>
      </c>
      <c r="R396" s="3">
        <f t="shared" si="206"/>
        <v>144</v>
      </c>
      <c r="S396" s="3">
        <v>144</v>
      </c>
      <c r="T396" s="100">
        <f t="shared" si="207"/>
        <v>151</v>
      </c>
      <c r="U396" s="9">
        <f>IF(ISERROR(VLOOKUP($A396,'SegEnds_NonXtal_BW#'!$A:$Z,15,FALSE)+VLOOKUP($A396,A:AL,22,FALSE)-50),"-",VLOOKUP($A396,'SegEnds_NonXtal_BW#'!$A:$Z,15,FALSE)+VLOOKUP($A396,A:AL,22,FALSE)-50)</f>
        <v>152</v>
      </c>
      <c r="V396" s="3">
        <v>164</v>
      </c>
      <c r="W396" s="3">
        <f>IF(ISERROR(VLOOKUP($A396,'SegEnds_NonXtal_BW#'!$A:$Z,16,FALSE)+VLOOKUP($A396,A:AL,22,FALSE)-50),"-",(VLOOKUP($A396,'SegEnds_NonXtal_BW#'!$A:$Z,16,FALSE)+VLOOKUP($A396,A:AL,22,FALSE)-50))</f>
        <v>178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202</v>
      </c>
      <c r="AB396" s="3">
        <v>220</v>
      </c>
      <c r="AC396" s="3">
        <f>IF(ISERROR((VLOOKUP($A396,'SegEnds_NonXtal_BW#'!$A:$Z,20,FALSE)+VLOOKUP($A396,A:AL,28,FALSE)-50)),"-",(VLOOKUP($A396,'SegEnds_NonXtal_BW#'!$A:$Z,20,FALSE)+VLOOKUP($A396,A:AL,28,FALSE)-50))</f>
        <v>242</v>
      </c>
      <c r="AD396" s="3">
        <f>IF(ISERROR(VLOOKUP($A396,'SegEnds_NonXtal_BW#'!$A:$Z,21,FALSE)+VLOOKUP($A396,A:AL,31,FALSE)-50),"-",(VLOOKUP($A396,'SegEnds_NonXtal_BW#'!$A:$Z,21,FALSE)+VLOOKUP($A396,A:AL,31,FALSE)-50))</f>
        <v>252</v>
      </c>
      <c r="AE396" s="3">
        <v>273</v>
      </c>
      <c r="AF396" s="3">
        <f>IF(ISERROR((VLOOKUP($A396,'SegEnds_NonXtal_BW#'!$A:$Z,22,FALSE)+VLOOKUP($A396,A:AL,31,FALSE)-50)),"-",(VLOOKUP($A396,'SegEnds_NonXtal_BW#'!$A:$Z,22,FALSE)+VLOOKUP($A396,A:AL,31,FALSE)-50))</f>
        <v>284</v>
      </c>
      <c r="AG396" s="3">
        <f>IF(ISERROR(VLOOKUP($A396,'SegEnds_NonXtal_BW#'!$A:$Z,23,FALSE)+VLOOKUP($A396,A:AL,34,FALSE)-50),"-",(VLOOKUP($A396,'SegEnds_NonXtal_BW#'!$A:$Z,23,FALSE)+VLOOKUP($A396,A:AL,34,FALSE)-50))</f>
        <v>289</v>
      </c>
      <c r="AH396" s="3">
        <v>308</v>
      </c>
      <c r="AI396" s="3">
        <f>IF(ISERROR((VLOOKUP($A396,'SegEnds_NonXtal_BW#'!$A:$Z,24,FALSE)+VLOOKUP($A396,A:AL,34,FALSE)-50)),"-",(VLOOKUP($A396,'SegEnds_NonXtal_BW#'!$A:$Z,24,FALSE)+VLOOKUP($A396,A:AL,34,FALSE)-50))</f>
        <v>314</v>
      </c>
      <c r="AJ396" s="3">
        <f>IF(ISERROR(VLOOKUP($A396,'SegEnds_NonXtal_BW#'!$A:$Z,25,FALSE)+VLOOKUP($A396,A:AL,37,FALSE)-50),"-",(VLOOKUP($A396,'SegEnds_NonXtal_BW#'!$A:$Z,25,FALSE)+VLOOKUP($A396,A:AL,37,FALSE)-50))</f>
        <v>315</v>
      </c>
      <c r="AK396" s="3">
        <v>318</v>
      </c>
      <c r="AL396" s="3">
        <f>IF(ISERROR((VLOOKUP($A396,'SegEnds_NonXtal_BW#'!$A:$Z,26,FALSE)+VLOOKUP($A396,A:AL,37,FALSE)-50)),"-",(VLOOKUP($A396,'SegEnds_NonXtal_BW#'!$A:$Z,26,FALSE)+VLOOKUP($A396,A:AL,37,FALSE)-50))</f>
        <v>328</v>
      </c>
      <c r="AM396" s="28" t="str">
        <f>VLOOKUP(A396,Classification!A:B,2,FALSE)</f>
        <v>T</v>
      </c>
      <c r="AN396" s="28" t="b">
        <f t="shared" si="224"/>
        <v>1</v>
      </c>
      <c r="AO396" s="3" t="str">
        <f>IF(ISERROR(MATCH(A396,'SegEnds_Xtal_Prot#'!B:B, 0)), "NoXtal", "Xtal")</f>
        <v>NoXtal</v>
      </c>
      <c r="AP396" s="3">
        <f t="shared" si="209"/>
        <v>1</v>
      </c>
      <c r="AQ396" s="3">
        <f t="shared" si="210"/>
        <v>1</v>
      </c>
      <c r="AR396" s="3" t="str">
        <f t="shared" si="211"/>
        <v>-</v>
      </c>
      <c r="AS396" s="3" t="str">
        <f t="shared" si="212"/>
        <v>-</v>
      </c>
      <c r="AT396" s="3">
        <f t="shared" si="213"/>
        <v>3</v>
      </c>
      <c r="AU396" s="3">
        <f t="shared" si="214"/>
        <v>1</v>
      </c>
      <c r="AV396" s="3" t="str">
        <f t="shared" si="215"/>
        <v>-</v>
      </c>
      <c r="AW396" s="3" t="str">
        <f t="shared" si="216"/>
        <v>-</v>
      </c>
      <c r="AX396" s="3">
        <f t="shared" si="217"/>
        <v>10</v>
      </c>
      <c r="AY396" s="3">
        <f t="shared" si="218"/>
        <v>5</v>
      </c>
      <c r="AZ396" s="3">
        <f t="shared" si="219"/>
        <v>1</v>
      </c>
      <c r="BA396" s="3">
        <f>IF(ISERROR(LEN(VLOOKUP(A396,Seqs!A:E,2,FALSE))-AL396),"-",LEN(VLOOKUP(A396,Seqs!A:E,2,FALSE))-AL396)</f>
        <v>10</v>
      </c>
      <c r="BB396" s="16">
        <f t="shared" si="220"/>
        <v>31</v>
      </c>
      <c r="BC396" s="9">
        <f t="shared" si="221"/>
        <v>20</v>
      </c>
      <c r="BD396" s="3">
        <f t="shared" si="222"/>
        <v>31</v>
      </c>
      <c r="BE396" s="3">
        <f t="shared" si="223"/>
        <v>53</v>
      </c>
      <c r="BF396" s="3">
        <f t="shared" si="208"/>
        <v>35</v>
      </c>
    </row>
    <row r="397" spans="1:58" s="3" customFormat="1" x14ac:dyDescent="0.2">
      <c r="A397" s="3" t="s">
        <v>466</v>
      </c>
      <c r="B397" s="3" t="str">
        <f>LOWER(VLOOKUP(A397,Xtal_Templ!A:B,2,FALSE))</f>
        <v>5ht2a_human</v>
      </c>
      <c r="C397" s="3">
        <f>VLOOKUP($A397,'SegEnds_NonXtal_BW#'!$A:$Z,3,FALSE)+D397-50</f>
        <v>18</v>
      </c>
      <c r="D397" s="3">
        <v>36</v>
      </c>
      <c r="E397" s="3">
        <f t="shared" si="203"/>
        <v>48</v>
      </c>
      <c r="F397" s="3">
        <f t="shared" si="204"/>
        <v>49</v>
      </c>
      <c r="G397" s="3">
        <v>51</v>
      </c>
      <c r="H397" s="3">
        <f t="shared" si="205"/>
        <v>52</v>
      </c>
      <c r="I397" s="3">
        <f t="shared" si="205"/>
        <v>53</v>
      </c>
      <c r="J397" s="3">
        <v>67</v>
      </c>
      <c r="K397" s="3">
        <f>VLOOKUP($A397,'SegEnds_NonXtal_BW#'!$A:$Z,8,FALSE)+VLOOKUP($A397,A:AL,10,FALSE)-50</f>
        <v>83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87</v>
      </c>
      <c r="P397" s="3">
        <v>119</v>
      </c>
      <c r="Q397" s="3">
        <f>VLOOKUP($A397,'SegEnds_NonXtal_BW#'!$A:$Z,12,FALSE)+VLOOKUP($A397,A:AL,16,FALSE)-50</f>
        <v>125</v>
      </c>
      <c r="R397" s="3">
        <f t="shared" si="206"/>
        <v>128</v>
      </c>
      <c r="S397" s="3">
        <v>128</v>
      </c>
      <c r="T397" s="100">
        <f t="shared" si="207"/>
        <v>135</v>
      </c>
      <c r="U397" s="9">
        <f>IF(ISERROR(VLOOKUP($A397,'SegEnds_NonXtal_BW#'!$A:$Z,15,FALSE)+VLOOKUP($A397,A:AL,22,FALSE)-50),"-",VLOOKUP($A397,'SegEnds_NonXtal_BW#'!$A:$Z,15,FALSE)+VLOOKUP($A397,A:AL,22,FALSE)-50)</f>
        <v>136</v>
      </c>
      <c r="V397" s="3">
        <v>148</v>
      </c>
      <c r="W397" s="3">
        <f>IF(ISERROR(VLOOKUP($A397,'SegEnds_NonXtal_BW#'!$A:$Z,16,FALSE)+VLOOKUP($A397,A:AL,22,FALSE)-50),"-",(VLOOKUP($A397,'SegEnds_NonXtal_BW#'!$A:$Z,16,FALSE)+VLOOKUP($A397,A:AL,22,FALSE)-50))</f>
        <v>165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187</v>
      </c>
      <c r="AB397" s="3">
        <v>205</v>
      </c>
      <c r="AC397" s="3">
        <f>IF(ISERROR((VLOOKUP($A397,'SegEnds_NonXtal_BW#'!$A:$Z,20,FALSE)+VLOOKUP($A397,A:AL,28,FALSE)-50)),"-",(VLOOKUP($A397,'SegEnds_NonXtal_BW#'!$A:$Z,20,FALSE)+VLOOKUP($A397,A:AL,28,FALSE)-50))</f>
        <v>227</v>
      </c>
      <c r="AD397" s="3">
        <f>IF(ISERROR(VLOOKUP($A397,'SegEnds_NonXtal_BW#'!$A:$Z,21,FALSE)+VLOOKUP($A397,A:AL,31,FALSE)-50),"-",(VLOOKUP($A397,'SegEnds_NonXtal_BW#'!$A:$Z,21,FALSE)+VLOOKUP($A397,A:AL,31,FALSE)-50))</f>
        <v>237</v>
      </c>
      <c r="AE397" s="3">
        <v>258</v>
      </c>
      <c r="AF397" s="3">
        <f>IF(ISERROR((VLOOKUP($A397,'SegEnds_NonXtal_BW#'!$A:$Z,22,FALSE)+VLOOKUP($A397,A:AL,31,FALSE)-50)),"-",(VLOOKUP($A397,'SegEnds_NonXtal_BW#'!$A:$Z,22,FALSE)+VLOOKUP($A397,A:AL,31,FALSE)-50))</f>
        <v>269</v>
      </c>
      <c r="AG397" s="3">
        <f>IF(ISERROR(VLOOKUP($A397,'SegEnds_NonXtal_BW#'!$A:$Z,23,FALSE)+VLOOKUP($A397,A:AL,34,FALSE)-50),"-",(VLOOKUP($A397,'SegEnds_NonXtal_BW#'!$A:$Z,23,FALSE)+VLOOKUP($A397,A:AL,34,FALSE)-50))</f>
        <v>274</v>
      </c>
      <c r="AH397" s="3">
        <v>293</v>
      </c>
      <c r="AI397" s="3">
        <f>IF(ISERROR((VLOOKUP($A397,'SegEnds_NonXtal_BW#'!$A:$Z,24,FALSE)+VLOOKUP($A397,A:AL,34,FALSE)-50)),"-",(VLOOKUP($A397,'SegEnds_NonXtal_BW#'!$A:$Z,24,FALSE)+VLOOKUP($A397,A:AL,34,FALSE)-50))</f>
        <v>299</v>
      </c>
      <c r="AJ397" s="3">
        <f>IF(ISERROR(VLOOKUP($A397,'SegEnds_NonXtal_BW#'!$A:$Z,25,FALSE)+VLOOKUP($A397,A:AL,37,FALSE)-50),"-",(VLOOKUP($A397,'SegEnds_NonXtal_BW#'!$A:$Z,25,FALSE)+VLOOKUP($A397,A:AL,37,FALSE)-50))</f>
        <v>300</v>
      </c>
      <c r="AK397" s="3">
        <v>303</v>
      </c>
      <c r="AL397" s="3">
        <f>IF(ISERROR((VLOOKUP($A397,'SegEnds_NonXtal_BW#'!$A:$Z,26,FALSE)+VLOOKUP($A397,A:AL,37,FALSE)-50)),"-",(VLOOKUP($A397,'SegEnds_NonXtal_BW#'!$A:$Z,26,FALSE)+VLOOKUP($A397,A:AL,37,FALSE)-50))</f>
        <v>313</v>
      </c>
      <c r="AM397" s="28" t="str">
        <f>VLOOKUP(A397,Classification!A:B,2,FALSE)</f>
        <v>T</v>
      </c>
      <c r="AN397" s="28" t="b">
        <f t="shared" si="224"/>
        <v>1</v>
      </c>
      <c r="AO397" s="3" t="str">
        <f>IF(ISERROR(MATCH(A397,'SegEnds_Xtal_Prot#'!B:B, 0)), "NoXtal", "Xtal")</f>
        <v>NoXtal</v>
      </c>
      <c r="AP397" s="3">
        <f t="shared" si="209"/>
        <v>1</v>
      </c>
      <c r="AQ397" s="3">
        <f t="shared" si="210"/>
        <v>1</v>
      </c>
      <c r="AR397" s="3" t="str">
        <f t="shared" si="211"/>
        <v>-</v>
      </c>
      <c r="AS397" s="3" t="str">
        <f t="shared" si="212"/>
        <v>-</v>
      </c>
      <c r="AT397" s="3">
        <f t="shared" si="213"/>
        <v>3</v>
      </c>
      <c r="AU397" s="3">
        <f t="shared" si="214"/>
        <v>1</v>
      </c>
      <c r="AV397" s="3" t="str">
        <f t="shared" si="215"/>
        <v>-</v>
      </c>
      <c r="AW397" s="3" t="str">
        <f t="shared" si="216"/>
        <v>-</v>
      </c>
      <c r="AX397" s="3">
        <f t="shared" si="217"/>
        <v>10</v>
      </c>
      <c r="AY397" s="3">
        <f t="shared" si="218"/>
        <v>5</v>
      </c>
      <c r="AZ397" s="3">
        <f t="shared" si="219"/>
        <v>1</v>
      </c>
      <c r="BA397" s="3">
        <f>IF(ISERROR(LEN(VLOOKUP(A397,Seqs!A:E,2,FALSE))-AL397),"-",LEN(VLOOKUP(A397,Seqs!A:E,2,FALSE))-AL397)</f>
        <v>10</v>
      </c>
      <c r="BB397" s="16">
        <f t="shared" si="220"/>
        <v>31</v>
      </c>
      <c r="BC397" s="9">
        <f t="shared" si="221"/>
        <v>20</v>
      </c>
      <c r="BD397" s="3">
        <f t="shared" si="222"/>
        <v>31</v>
      </c>
      <c r="BE397" s="3">
        <f t="shared" si="223"/>
        <v>53</v>
      </c>
      <c r="BF397" s="3">
        <f t="shared" si="208"/>
        <v>35</v>
      </c>
    </row>
    <row r="398" spans="1:58" s="3" customFormat="1" x14ac:dyDescent="0.2">
      <c r="A398" s="3" t="s">
        <v>467</v>
      </c>
      <c r="B398" s="3" t="str">
        <f>LOWER(VLOOKUP(A398,Xtal_Templ!A:B,2,FALSE))</f>
        <v>drd2_human</v>
      </c>
      <c r="C398" s="3">
        <f>VLOOKUP($A398,'SegEnds_NonXtal_BW#'!$A:$Z,3,FALSE)+D398-50</f>
        <v>6</v>
      </c>
      <c r="D398" s="3">
        <v>24</v>
      </c>
      <c r="E398" s="3">
        <f t="shared" si="203"/>
        <v>36</v>
      </c>
      <c r="F398" s="3">
        <f t="shared" si="204"/>
        <v>37</v>
      </c>
      <c r="G398" s="3">
        <v>39</v>
      </c>
      <c r="H398" s="3">
        <f t="shared" si="205"/>
        <v>40</v>
      </c>
      <c r="I398" s="3">
        <f t="shared" si="205"/>
        <v>41</v>
      </c>
      <c r="J398" s="3">
        <v>55</v>
      </c>
      <c r="K398" s="3">
        <f>VLOOKUP($A398,'SegEnds_NonXtal_BW#'!$A:$Z,8,FALSE)+VLOOKUP($A398,A:AL,10,FALSE)-50</f>
        <v>72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78</v>
      </c>
      <c r="P398" s="3">
        <v>107</v>
      </c>
      <c r="Q398" s="3">
        <f>VLOOKUP($A398,'SegEnds_NonXtal_BW#'!$A:$Z,12,FALSE)+VLOOKUP($A398,A:AL,16,FALSE)-50</f>
        <v>113</v>
      </c>
      <c r="R398" s="3">
        <f t="shared" si="206"/>
        <v>116</v>
      </c>
      <c r="S398" s="3">
        <v>116</v>
      </c>
      <c r="T398" s="100">
        <f t="shared" si="207"/>
        <v>123</v>
      </c>
      <c r="U398" s="9">
        <f>IF(ISERROR(VLOOKUP($A398,'SegEnds_NonXtal_BW#'!$A:$Z,15,FALSE)+VLOOKUP($A398,A:AL,22,FALSE)-50),"-",VLOOKUP($A398,'SegEnds_NonXtal_BW#'!$A:$Z,15,FALSE)+VLOOKUP($A398,A:AL,22,FALSE)-50)</f>
        <v>124</v>
      </c>
      <c r="V398" s="3">
        <v>136</v>
      </c>
      <c r="W398" s="3">
        <f>IF(ISERROR(VLOOKUP($A398,'SegEnds_NonXtal_BW#'!$A:$Z,16,FALSE)+VLOOKUP($A398,A:AL,22,FALSE)-50),"-",(VLOOKUP($A398,'SegEnds_NonXtal_BW#'!$A:$Z,16,FALSE)+VLOOKUP($A398,A:AL,22,FALSE)-50))</f>
        <v>148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174</v>
      </c>
      <c r="AB398" s="3">
        <v>192</v>
      </c>
      <c r="AC398" s="3">
        <f>IF(ISERROR((VLOOKUP($A398,'SegEnds_NonXtal_BW#'!$A:$Z,20,FALSE)+VLOOKUP($A398,A:AL,28,FALSE)-50)),"-",(VLOOKUP($A398,'SegEnds_NonXtal_BW#'!$A:$Z,20,FALSE)+VLOOKUP($A398,A:AL,28,FALSE)-50))</f>
        <v>214</v>
      </c>
      <c r="AD398" s="3">
        <f>IF(ISERROR(VLOOKUP($A398,'SegEnds_NonXtal_BW#'!$A:$Z,21,FALSE)+VLOOKUP($A398,A:AL,31,FALSE)-50),"-",(VLOOKUP($A398,'SegEnds_NonXtal_BW#'!$A:$Z,21,FALSE)+VLOOKUP($A398,A:AL,31,FALSE)-50))</f>
        <v>224</v>
      </c>
      <c r="AE398" s="3">
        <v>245</v>
      </c>
      <c r="AF398" s="3">
        <f>IF(ISERROR((VLOOKUP($A398,'SegEnds_NonXtal_BW#'!$A:$Z,22,FALSE)+VLOOKUP($A398,A:AL,31,FALSE)-50)),"-",(VLOOKUP($A398,'SegEnds_NonXtal_BW#'!$A:$Z,22,FALSE)+VLOOKUP($A398,A:AL,31,FALSE)-50))</f>
        <v>256</v>
      </c>
      <c r="AG398" s="3">
        <f>IF(ISERROR(VLOOKUP($A398,'SegEnds_NonXtal_BW#'!$A:$Z,23,FALSE)+VLOOKUP($A398,A:AL,34,FALSE)-50),"-",(VLOOKUP($A398,'SegEnds_NonXtal_BW#'!$A:$Z,23,FALSE)+VLOOKUP($A398,A:AL,34,FALSE)-50))</f>
        <v>261</v>
      </c>
      <c r="AH398" s="3">
        <v>280</v>
      </c>
      <c r="AI398" s="3">
        <f>IF(ISERROR((VLOOKUP($A398,'SegEnds_NonXtal_BW#'!$A:$Z,24,FALSE)+VLOOKUP($A398,A:AL,34,FALSE)-50)),"-",(VLOOKUP($A398,'SegEnds_NonXtal_BW#'!$A:$Z,24,FALSE)+VLOOKUP($A398,A:AL,34,FALSE)-50))</f>
        <v>286</v>
      </c>
      <c r="AJ398" s="3">
        <f>IF(ISERROR(VLOOKUP($A398,'SegEnds_NonXtal_BW#'!$A:$Z,25,FALSE)+VLOOKUP($A398,A:AL,37,FALSE)-50),"-",(VLOOKUP($A398,'SegEnds_NonXtal_BW#'!$A:$Z,25,FALSE)+VLOOKUP($A398,A:AL,37,FALSE)-50))</f>
        <v>287</v>
      </c>
      <c r="AK398" s="3">
        <v>290</v>
      </c>
      <c r="AL398" s="3">
        <f>IF(ISERROR((VLOOKUP($A398,'SegEnds_NonXtal_BW#'!$A:$Z,26,FALSE)+VLOOKUP($A398,A:AL,37,FALSE)-50)),"-",(VLOOKUP($A398,'SegEnds_NonXtal_BW#'!$A:$Z,26,FALSE)+VLOOKUP($A398,A:AL,37,FALSE)-50))</f>
        <v>300</v>
      </c>
      <c r="AM398" s="28" t="str">
        <f>VLOOKUP(A398,Classification!A:B,2,FALSE)</f>
        <v>T</v>
      </c>
      <c r="AN398" s="28" t="b">
        <f t="shared" si="224"/>
        <v>1</v>
      </c>
      <c r="AO398" s="3" t="str">
        <f>IF(ISERROR(MATCH(A398,'SegEnds_Xtal_Prot#'!B:B, 0)), "NoXtal", "Xtal")</f>
        <v>NoXtal</v>
      </c>
      <c r="AP398" s="3">
        <f t="shared" si="209"/>
        <v>1</v>
      </c>
      <c r="AQ398" s="3">
        <f t="shared" si="210"/>
        <v>1</v>
      </c>
      <c r="AR398" s="3" t="str">
        <f t="shared" si="211"/>
        <v>-</v>
      </c>
      <c r="AS398" s="3" t="str">
        <f t="shared" si="212"/>
        <v>-</v>
      </c>
      <c r="AT398" s="3">
        <f t="shared" si="213"/>
        <v>3</v>
      </c>
      <c r="AU398" s="3">
        <f t="shared" si="214"/>
        <v>1</v>
      </c>
      <c r="AV398" s="3" t="str">
        <f t="shared" si="215"/>
        <v>-</v>
      </c>
      <c r="AW398" s="3" t="str">
        <f t="shared" si="216"/>
        <v>-</v>
      </c>
      <c r="AX398" s="3">
        <f t="shared" si="217"/>
        <v>10</v>
      </c>
      <c r="AY398" s="3">
        <f t="shared" si="218"/>
        <v>5</v>
      </c>
      <c r="AZ398" s="3">
        <f t="shared" si="219"/>
        <v>1</v>
      </c>
      <c r="BA398" s="3">
        <f>IF(ISERROR(LEN(VLOOKUP(A398,Seqs!A:E,2,FALSE))-AL398),"-",LEN(VLOOKUP(A398,Seqs!A:E,2,FALSE))-AL398)</f>
        <v>7</v>
      </c>
      <c r="BB398" s="16">
        <f t="shared" si="220"/>
        <v>31</v>
      </c>
      <c r="BC398" s="9">
        <f t="shared" si="221"/>
        <v>20</v>
      </c>
      <c r="BD398" s="3">
        <f t="shared" si="222"/>
        <v>31</v>
      </c>
      <c r="BE398" s="3">
        <f t="shared" si="223"/>
        <v>53</v>
      </c>
      <c r="BF398" s="3">
        <f t="shared" si="208"/>
        <v>35</v>
      </c>
    </row>
    <row r="399" spans="1:58" s="3" customFormat="1" x14ac:dyDescent="0.2">
      <c r="A399" s="3" t="s">
        <v>468</v>
      </c>
      <c r="B399" s="3" t="str">
        <f>LOWER(VLOOKUP(A399,Xtal_Templ!A:B,2,FALSE))</f>
        <v>hrh1_human</v>
      </c>
      <c r="C399" s="3">
        <f>VLOOKUP($A399,'SegEnds_NonXtal_BW#'!$A:$Z,3,FALSE)+D399-50</f>
        <v>6</v>
      </c>
      <c r="D399" s="3">
        <v>24</v>
      </c>
      <c r="E399" s="3">
        <f t="shared" si="203"/>
        <v>36</v>
      </c>
      <c r="F399" s="3">
        <f t="shared" si="204"/>
        <v>37</v>
      </c>
      <c r="G399" s="3">
        <v>39</v>
      </c>
      <c r="H399" s="3">
        <f t="shared" si="205"/>
        <v>40</v>
      </c>
      <c r="I399" s="3">
        <f t="shared" si="205"/>
        <v>41</v>
      </c>
      <c r="J399" s="3">
        <v>55</v>
      </c>
      <c r="K399" s="3">
        <f>VLOOKUP($A399,'SegEnds_NonXtal_BW#'!$A:$Z,8,FALSE)+VLOOKUP($A399,A:AL,10,FALSE)-50</f>
        <v>72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78</v>
      </c>
      <c r="P399" s="3">
        <v>107</v>
      </c>
      <c r="Q399" s="3">
        <f>VLOOKUP($A399,'SegEnds_NonXtal_BW#'!$A:$Z,12,FALSE)+VLOOKUP($A399,A:AL,16,FALSE)-50</f>
        <v>113</v>
      </c>
      <c r="R399" s="3">
        <f t="shared" si="206"/>
        <v>116</v>
      </c>
      <c r="S399" s="3">
        <v>116</v>
      </c>
      <c r="T399" s="100">
        <f t="shared" si="207"/>
        <v>123</v>
      </c>
      <c r="U399" s="9">
        <f>IF(ISERROR(VLOOKUP($A399,'SegEnds_NonXtal_BW#'!$A:$Z,15,FALSE)+VLOOKUP($A399,A:AL,22,FALSE)-50),"-",VLOOKUP($A399,'SegEnds_NonXtal_BW#'!$A:$Z,15,FALSE)+VLOOKUP($A399,A:AL,22,FALSE)-50)</f>
        <v>124</v>
      </c>
      <c r="V399" s="3">
        <v>136</v>
      </c>
      <c r="W399" s="3">
        <f>IF(ISERROR(VLOOKUP($A399,'SegEnds_NonXtal_BW#'!$A:$Z,16,FALSE)+VLOOKUP($A399,A:AL,22,FALSE)-50),"-",(VLOOKUP($A399,'SegEnds_NonXtal_BW#'!$A:$Z,16,FALSE)+VLOOKUP($A399,A:AL,22,FALSE)-50))</f>
        <v>148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174</v>
      </c>
      <c r="AB399" s="3">
        <v>192</v>
      </c>
      <c r="AC399" s="3">
        <f>IF(ISERROR((VLOOKUP($A399,'SegEnds_NonXtal_BW#'!$A:$Z,20,FALSE)+VLOOKUP($A399,A:AL,28,FALSE)-50)),"-",(VLOOKUP($A399,'SegEnds_NonXtal_BW#'!$A:$Z,20,FALSE)+VLOOKUP($A399,A:AL,28,FALSE)-50))</f>
        <v>214</v>
      </c>
      <c r="AD399" s="3">
        <f>IF(ISERROR(VLOOKUP($A399,'SegEnds_NonXtal_BW#'!$A:$Z,21,FALSE)+VLOOKUP($A399,A:AL,31,FALSE)-50),"-",(VLOOKUP($A399,'SegEnds_NonXtal_BW#'!$A:$Z,21,FALSE)+VLOOKUP($A399,A:AL,31,FALSE)-50))</f>
        <v>224</v>
      </c>
      <c r="AE399" s="3">
        <v>245</v>
      </c>
      <c r="AF399" s="3">
        <f>IF(ISERROR((VLOOKUP($A399,'SegEnds_NonXtal_BW#'!$A:$Z,22,FALSE)+VLOOKUP($A399,A:AL,31,FALSE)-50)),"-",(VLOOKUP($A399,'SegEnds_NonXtal_BW#'!$A:$Z,22,FALSE)+VLOOKUP($A399,A:AL,31,FALSE)-50))</f>
        <v>256</v>
      </c>
      <c r="AG399" s="3">
        <f>IF(ISERROR(VLOOKUP($A399,'SegEnds_NonXtal_BW#'!$A:$Z,23,FALSE)+VLOOKUP($A399,A:AL,34,FALSE)-50),"-",(VLOOKUP($A399,'SegEnds_NonXtal_BW#'!$A:$Z,23,FALSE)+VLOOKUP($A399,A:AL,34,FALSE)-50))</f>
        <v>262</v>
      </c>
      <c r="AH399" s="3">
        <v>281</v>
      </c>
      <c r="AI399" s="3">
        <f>IF(ISERROR((VLOOKUP($A399,'SegEnds_NonXtal_BW#'!$A:$Z,24,FALSE)+VLOOKUP($A399,A:AL,34,FALSE)-50)),"-",(VLOOKUP($A399,'SegEnds_NonXtal_BW#'!$A:$Z,24,FALSE)+VLOOKUP($A399,A:AL,34,FALSE)-50))</f>
        <v>287</v>
      </c>
      <c r="AJ399" s="3">
        <f>IF(ISERROR(VLOOKUP($A399,'SegEnds_NonXtal_BW#'!$A:$Z,25,FALSE)+VLOOKUP($A399,A:AL,37,FALSE)-50),"-",(VLOOKUP($A399,'SegEnds_NonXtal_BW#'!$A:$Z,25,FALSE)+VLOOKUP($A399,A:AL,37,FALSE)-50))</f>
        <v>288</v>
      </c>
      <c r="AK399" s="3">
        <v>291</v>
      </c>
      <c r="AL399" s="3">
        <f>IF(ISERROR((VLOOKUP($A399,'SegEnds_NonXtal_BW#'!$A:$Z,26,FALSE)+VLOOKUP($A399,A:AL,37,FALSE)-50)),"-",(VLOOKUP($A399,'SegEnds_NonXtal_BW#'!$A:$Z,26,FALSE)+VLOOKUP($A399,A:AL,37,FALSE)-50))</f>
        <v>301</v>
      </c>
      <c r="AM399" s="28" t="str">
        <f>VLOOKUP(A399,Classification!A:B,2,FALSE)</f>
        <v>T</v>
      </c>
      <c r="AN399" s="28" t="b">
        <f t="shared" si="224"/>
        <v>1</v>
      </c>
      <c r="AO399" s="3" t="str">
        <f>IF(ISERROR(MATCH(A399,'SegEnds_Xtal_Prot#'!B:B, 0)), "NoXtal", "Xtal")</f>
        <v>NoXtal</v>
      </c>
      <c r="AP399" s="3">
        <f t="shared" si="209"/>
        <v>1</v>
      </c>
      <c r="AQ399" s="3">
        <f t="shared" si="210"/>
        <v>1</v>
      </c>
      <c r="AR399" s="3" t="str">
        <f t="shared" si="211"/>
        <v>-</v>
      </c>
      <c r="AS399" s="3" t="str">
        <f t="shared" si="212"/>
        <v>-</v>
      </c>
      <c r="AT399" s="3">
        <f t="shared" si="213"/>
        <v>3</v>
      </c>
      <c r="AU399" s="3">
        <f t="shared" si="214"/>
        <v>1</v>
      </c>
      <c r="AV399" s="3" t="str">
        <f t="shared" si="215"/>
        <v>-</v>
      </c>
      <c r="AW399" s="3" t="str">
        <f t="shared" si="216"/>
        <v>-</v>
      </c>
      <c r="AX399" s="3">
        <f t="shared" si="217"/>
        <v>10</v>
      </c>
      <c r="AY399" s="3">
        <f t="shared" si="218"/>
        <v>6</v>
      </c>
      <c r="AZ399" s="3">
        <f t="shared" si="219"/>
        <v>1</v>
      </c>
      <c r="BA399" s="3">
        <f>IF(ISERROR(LEN(VLOOKUP(A399,Seqs!A:E,2,FALSE))-AL399),"-",LEN(VLOOKUP(A399,Seqs!A:E,2,FALSE))-AL399)</f>
        <v>13</v>
      </c>
      <c r="BB399" s="16">
        <f t="shared" si="220"/>
        <v>31</v>
      </c>
      <c r="BC399" s="9">
        <f t="shared" si="221"/>
        <v>20</v>
      </c>
      <c r="BD399" s="3">
        <f t="shared" si="222"/>
        <v>31</v>
      </c>
      <c r="BE399" s="3">
        <f t="shared" si="223"/>
        <v>53</v>
      </c>
      <c r="BF399" s="3">
        <f t="shared" si="208"/>
        <v>36</v>
      </c>
    </row>
    <row r="400" spans="1:58" s="3" customFormat="1" x14ac:dyDescent="0.2">
      <c r="A400" s="3" t="s">
        <v>469</v>
      </c>
      <c r="B400" s="3" t="str">
        <f>LOWER(VLOOKUP(A400,Xtal_Templ!A:B,2,FALSE))</f>
        <v>drd2_human</v>
      </c>
      <c r="C400" s="3">
        <f>VLOOKUP($A400,'SegEnds_NonXtal_BW#'!$A:$Z,3,FALSE)+D400-50</f>
        <v>6</v>
      </c>
      <c r="D400" s="3">
        <v>24</v>
      </c>
      <c r="E400" s="3">
        <f t="shared" si="203"/>
        <v>36</v>
      </c>
      <c r="F400" s="3">
        <f t="shared" si="204"/>
        <v>37</v>
      </c>
      <c r="G400" s="3">
        <v>39</v>
      </c>
      <c r="H400" s="3">
        <f t="shared" si="205"/>
        <v>40</v>
      </c>
      <c r="I400" s="3">
        <f t="shared" si="20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06"/>
        <v>115</v>
      </c>
      <c r="S400" s="3">
        <v>115</v>
      </c>
      <c r="T400" s="100">
        <f t="shared" si="20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147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24"/>
        <v>1</v>
      </c>
      <c r="AO400" s="3" t="str">
        <f>IF(ISERROR(MATCH(A400,'SegEnds_Xtal_Prot#'!B:B, 0)), "NoXtal", "Xtal")</f>
        <v>NoXtal</v>
      </c>
      <c r="AP400" s="3">
        <f t="shared" si="209"/>
        <v>1</v>
      </c>
      <c r="AQ400" s="3">
        <f t="shared" si="210"/>
        <v>1</v>
      </c>
      <c r="AR400" s="3" t="str">
        <f t="shared" si="211"/>
        <v>-</v>
      </c>
      <c r="AS400" s="3" t="str">
        <f t="shared" si="212"/>
        <v>-</v>
      </c>
      <c r="AT400" s="3">
        <f t="shared" si="213"/>
        <v>3</v>
      </c>
      <c r="AU400" s="3">
        <f t="shared" si="214"/>
        <v>1</v>
      </c>
      <c r="AV400" s="3" t="str">
        <f t="shared" si="215"/>
        <v>-</v>
      </c>
      <c r="AW400" s="3" t="str">
        <f t="shared" si="216"/>
        <v>-</v>
      </c>
      <c r="AX400" s="3">
        <f t="shared" si="217"/>
        <v>10</v>
      </c>
      <c r="AY400" s="3">
        <f t="shared" si="218"/>
        <v>6</v>
      </c>
      <c r="AZ400" s="3">
        <f t="shared" si="219"/>
        <v>1</v>
      </c>
      <c r="BA400" s="3">
        <f>IF(ISERROR(LEN(VLOOKUP(A400,Seqs!A:E,2,FALSE))-AL400),"-",LEN(VLOOKUP(A400,Seqs!A:E,2,FALSE))-AL400)</f>
        <v>13</v>
      </c>
      <c r="BB400" s="16">
        <f t="shared" si="220"/>
        <v>31</v>
      </c>
      <c r="BC400" s="9">
        <f t="shared" si="221"/>
        <v>20</v>
      </c>
      <c r="BD400" s="3">
        <f t="shared" si="222"/>
        <v>31</v>
      </c>
      <c r="BE400" s="3">
        <f t="shared" si="223"/>
        <v>53</v>
      </c>
      <c r="BF400" s="3">
        <f t="shared" si="208"/>
        <v>36</v>
      </c>
    </row>
    <row r="401" spans="1:58" s="3" customFormat="1" x14ac:dyDescent="0.2">
      <c r="A401" s="3" t="s">
        <v>930</v>
      </c>
      <c r="B401" s="3" t="str">
        <f>LOWER(VLOOKUP(A401,Xtal_Templ!A:B,2,FALSE))</f>
        <v>5ht2c_human</v>
      </c>
      <c r="C401" s="3">
        <f>VLOOKUP($A401,'SegEnds_NonXtal_BW#'!$A:$Z,3,FALSE)+D401-50</f>
        <v>6</v>
      </c>
      <c r="D401" s="3">
        <v>24</v>
      </c>
      <c r="E401" s="3">
        <f t="shared" si="203"/>
        <v>36</v>
      </c>
      <c r="F401" s="3">
        <f t="shared" si="204"/>
        <v>37</v>
      </c>
      <c r="G401" s="3">
        <v>39</v>
      </c>
      <c r="H401" s="3">
        <f t="shared" si="205"/>
        <v>40</v>
      </c>
      <c r="I401" s="3">
        <f t="shared" si="205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06"/>
        <v>115</v>
      </c>
      <c r="S401" s="3">
        <v>115</v>
      </c>
      <c r="T401" s="100">
        <f t="shared" si="207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152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222</v>
      </c>
      <c r="AE401" s="3">
        <v>243</v>
      </c>
      <c r="AF401" s="3">
        <f>IF(ISERROR((VLOOKUP($A401,'SegEnds_NonXtal_BW#'!$A:$Z,22,FALSE)+VLOOKUP($A401,A:AL,31,FALSE)-50)),"-",(VLOOKUP($A401,'SegEnds_NonXtal_BW#'!$A:$Z,22,FALSE)+VLOOKUP($A401,A:AL,31,FALSE)-50))</f>
        <v>254</v>
      </c>
      <c r="AG401" s="3">
        <f>IF(ISERROR(VLOOKUP($A401,'SegEnds_NonXtal_BW#'!$A:$Z,23,FALSE)+VLOOKUP($A401,A:AL,34,FALSE)-50),"-",(VLOOKUP($A401,'SegEnds_NonXtal_BW#'!$A:$Z,23,FALSE)+VLOOKUP($A401,A:AL,34,FALSE)-50))</f>
        <v>259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24"/>
        <v>1</v>
      </c>
      <c r="AO401" s="3" t="str">
        <f>IF(ISERROR(MATCH(A401,'SegEnds_Xtal_Prot#'!B:B, 0)), "NoXtal", "Xtal")</f>
        <v>NoXtal</v>
      </c>
      <c r="AP401" s="3">
        <f t="shared" si="209"/>
        <v>1</v>
      </c>
      <c r="AQ401" s="3">
        <f t="shared" si="210"/>
        <v>1</v>
      </c>
      <c r="AR401" s="3" t="str">
        <f t="shared" si="211"/>
        <v>-</v>
      </c>
      <c r="AS401" s="3" t="str">
        <f t="shared" si="212"/>
        <v>-</v>
      </c>
      <c r="AT401" s="3">
        <f t="shared" si="213"/>
        <v>3</v>
      </c>
      <c r="AU401" s="3">
        <f t="shared" si="214"/>
        <v>1</v>
      </c>
      <c r="AV401" s="3" t="str">
        <f t="shared" si="215"/>
        <v>-</v>
      </c>
      <c r="AW401" s="3" t="str">
        <f t="shared" si="216"/>
        <v>-</v>
      </c>
      <c r="AX401" s="3">
        <f t="shared" si="217"/>
        <v>13</v>
      </c>
      <c r="AY401" s="3">
        <f t="shared" si="218"/>
        <v>5</v>
      </c>
      <c r="AZ401" s="3">
        <f t="shared" si="219"/>
        <v>1</v>
      </c>
      <c r="BA401" s="3">
        <f>IF(ISERROR(LEN(VLOOKUP(A401,Seqs!A:E,2,FALSE))-AL401),"-",LEN(VLOOKUP(A401,Seqs!A:E,2,FALSE))-AL401)</f>
        <v>3</v>
      </c>
      <c r="BB401" s="16">
        <f t="shared" si="220"/>
        <v>31</v>
      </c>
      <c r="BC401" s="9">
        <f t="shared" si="221"/>
        <v>20</v>
      </c>
      <c r="BD401" s="3">
        <f t="shared" si="222"/>
        <v>31</v>
      </c>
      <c r="BE401" s="3">
        <f t="shared" si="223"/>
        <v>56</v>
      </c>
      <c r="BF401" s="3">
        <f t="shared" si="208"/>
        <v>33</v>
      </c>
    </row>
    <row r="402" spans="1:58" s="3" customFormat="1" x14ac:dyDescent="0.2">
      <c r="A402" s="3" t="s">
        <v>470</v>
      </c>
      <c r="B402" s="3" t="str">
        <f>LOWER(VLOOKUP(A402,Xtal_Templ!A:B,2,FALSE))</f>
        <v>5ht2c_human</v>
      </c>
      <c r="C402" s="3">
        <f>VLOOKUP($A402,'SegEnds_NonXtal_BW#'!$A:$Z,3,FALSE)+D402-50</f>
        <v>6</v>
      </c>
      <c r="D402" s="3">
        <v>24</v>
      </c>
      <c r="E402" s="3">
        <f t="shared" si="203"/>
        <v>36</v>
      </c>
      <c r="F402" s="3">
        <f t="shared" si="204"/>
        <v>37</v>
      </c>
      <c r="G402" s="3">
        <v>39</v>
      </c>
      <c r="H402" s="3">
        <f t="shared" si="205"/>
        <v>40</v>
      </c>
      <c r="I402" s="3">
        <f t="shared" si="205"/>
        <v>41</v>
      </c>
      <c r="J402" s="3">
        <v>55</v>
      </c>
      <c r="K402" s="3">
        <f>VLOOKUP($A402,'SegEnds_NonXtal_BW#'!$A:$Z,8,FALSE)+VLOOKUP($A402,A:AL,10,FALSE)-50</f>
        <v>71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77</v>
      </c>
      <c r="P402" s="3">
        <v>106</v>
      </c>
      <c r="Q402" s="3">
        <f>VLOOKUP($A402,'SegEnds_NonXtal_BW#'!$A:$Z,12,FALSE)+VLOOKUP($A402,A:AL,16,FALSE)-50</f>
        <v>112</v>
      </c>
      <c r="R402" s="3">
        <f t="shared" si="206"/>
        <v>115</v>
      </c>
      <c r="S402" s="3">
        <v>115</v>
      </c>
      <c r="T402" s="100">
        <f t="shared" si="207"/>
        <v>122</v>
      </c>
      <c r="U402" s="9">
        <f>IF(ISERROR(VLOOKUP($A402,'SegEnds_NonXtal_BW#'!$A:$Z,15,FALSE)+VLOOKUP($A402,A:AL,22,FALSE)-50),"-",VLOOKUP($A402,'SegEnds_NonXtal_BW#'!$A:$Z,15,FALSE)+VLOOKUP($A402,A:AL,22,FALSE)-50)</f>
        <v>123</v>
      </c>
      <c r="V402" s="3">
        <v>135</v>
      </c>
      <c r="W402" s="3">
        <f>IF(ISERROR(VLOOKUP($A402,'SegEnds_NonXtal_BW#'!$A:$Z,16,FALSE)+VLOOKUP($A402,A:AL,22,FALSE)-50),"-",(VLOOKUP($A402,'SegEnds_NonXtal_BW#'!$A:$Z,16,FALSE)+VLOOKUP($A402,A:AL,22,FALSE)-50))</f>
        <v>152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169</v>
      </c>
      <c r="AB402" s="3">
        <v>187</v>
      </c>
      <c r="AC402" s="3">
        <f>IF(ISERROR((VLOOKUP($A402,'SegEnds_NonXtal_BW#'!$A:$Z,20,FALSE)+VLOOKUP($A402,A:AL,28,FALSE)-50)),"-",(VLOOKUP($A402,'SegEnds_NonXtal_BW#'!$A:$Z,20,FALSE)+VLOOKUP($A402,A:AL,28,FALSE)-50))</f>
        <v>209</v>
      </c>
      <c r="AD402" s="3">
        <f>IF(ISERROR(VLOOKUP($A402,'SegEnds_NonXtal_BW#'!$A:$Z,21,FALSE)+VLOOKUP($A402,A:AL,31,FALSE)-50),"-",(VLOOKUP($A402,'SegEnds_NonXtal_BW#'!$A:$Z,21,FALSE)+VLOOKUP($A402,A:AL,31,FALSE)-50))</f>
        <v>219</v>
      </c>
      <c r="AE402" s="3">
        <v>240</v>
      </c>
      <c r="AF402" s="3">
        <f>IF(ISERROR((VLOOKUP($A402,'SegEnds_NonXtal_BW#'!$A:$Z,22,FALSE)+VLOOKUP($A402,A:AL,31,FALSE)-50)),"-",(VLOOKUP($A402,'SegEnds_NonXtal_BW#'!$A:$Z,22,FALSE)+VLOOKUP($A402,A:AL,31,FALSE)-50))</f>
        <v>251</v>
      </c>
      <c r="AG402" s="3">
        <f>IF(ISERROR(VLOOKUP($A402,'SegEnds_NonXtal_BW#'!$A:$Z,23,FALSE)+VLOOKUP($A402,A:AL,34,FALSE)-50),"-",(VLOOKUP($A402,'SegEnds_NonXtal_BW#'!$A:$Z,23,FALSE)+VLOOKUP($A402,A:AL,34,FALSE)-50))</f>
        <v>257</v>
      </c>
      <c r="AH402" s="3">
        <v>276</v>
      </c>
      <c r="AI402" s="3">
        <f>IF(ISERROR((VLOOKUP($A402,'SegEnds_NonXtal_BW#'!$A:$Z,24,FALSE)+VLOOKUP($A402,A:AL,34,FALSE)-50)),"-",(VLOOKUP($A402,'SegEnds_NonXtal_BW#'!$A:$Z,24,FALSE)+VLOOKUP($A402,A:AL,34,FALSE)-50))</f>
        <v>282</v>
      </c>
      <c r="AJ402" s="3">
        <f>IF(ISERROR(VLOOKUP($A402,'SegEnds_NonXtal_BW#'!$A:$Z,25,FALSE)+VLOOKUP($A402,A:AL,37,FALSE)-50),"-",(VLOOKUP($A402,'SegEnds_NonXtal_BW#'!$A:$Z,25,FALSE)+VLOOKUP($A402,A:AL,37,FALSE)-50))</f>
        <v>283</v>
      </c>
      <c r="AK402" s="3">
        <v>286</v>
      </c>
      <c r="AL402" s="3">
        <f>IF(ISERROR((VLOOKUP($A402,'SegEnds_NonXtal_BW#'!$A:$Z,26,FALSE)+VLOOKUP($A402,A:AL,37,FALSE)-50)),"-",(VLOOKUP($A402,'SegEnds_NonXtal_BW#'!$A:$Z,26,FALSE)+VLOOKUP($A402,A:AL,37,FALSE)-50))</f>
        <v>296</v>
      </c>
      <c r="AM402" s="28" t="str">
        <f>VLOOKUP(A402,Classification!A:B,2,FALSE)</f>
        <v>T</v>
      </c>
      <c r="AN402" s="28" t="b">
        <f t="shared" si="224"/>
        <v>1</v>
      </c>
      <c r="AO402" s="3" t="str">
        <f>IF(ISERROR(MATCH(A402,'SegEnds_Xtal_Prot#'!B:B, 0)), "NoXtal", "Xtal")</f>
        <v>NoXtal</v>
      </c>
      <c r="AP402" s="3">
        <f t="shared" si="209"/>
        <v>1</v>
      </c>
      <c r="AQ402" s="3">
        <f t="shared" si="210"/>
        <v>1</v>
      </c>
      <c r="AR402" s="3" t="str">
        <f t="shared" si="211"/>
        <v>-</v>
      </c>
      <c r="AS402" s="3" t="str">
        <f t="shared" si="212"/>
        <v>-</v>
      </c>
      <c r="AT402" s="3">
        <f t="shared" si="213"/>
        <v>3</v>
      </c>
      <c r="AU402" s="3">
        <f t="shared" si="214"/>
        <v>1</v>
      </c>
      <c r="AV402" s="3" t="str">
        <f t="shared" si="215"/>
        <v>-</v>
      </c>
      <c r="AW402" s="3" t="str">
        <f t="shared" si="216"/>
        <v>-</v>
      </c>
      <c r="AX402" s="3">
        <f t="shared" si="217"/>
        <v>10</v>
      </c>
      <c r="AY402" s="3">
        <f t="shared" si="218"/>
        <v>6</v>
      </c>
      <c r="AZ402" s="3">
        <f t="shared" si="219"/>
        <v>1</v>
      </c>
      <c r="BA402" s="3">
        <f>IF(ISERROR(LEN(VLOOKUP(A402,Seqs!A:E,2,FALSE))-AL402),"-",LEN(VLOOKUP(A402,Seqs!A:E,2,FALSE))-AL402)</f>
        <v>13</v>
      </c>
      <c r="BB402" s="16">
        <f t="shared" si="220"/>
        <v>31</v>
      </c>
      <c r="BC402" s="9">
        <f t="shared" si="221"/>
        <v>20</v>
      </c>
      <c r="BD402" s="3">
        <f t="shared" si="222"/>
        <v>31</v>
      </c>
      <c r="BE402" s="3">
        <f t="shared" si="223"/>
        <v>53</v>
      </c>
      <c r="BF402" s="3">
        <f t="shared" si="208"/>
        <v>36</v>
      </c>
    </row>
    <row r="403" spans="1:58" s="3" customFormat="1" x14ac:dyDescent="0.2">
      <c r="A403" s="3" t="s">
        <v>471</v>
      </c>
      <c r="B403" s="3" t="str">
        <f>LOWER(VLOOKUP(A403,Xtal_Templ!A:B,2,FALSE))</f>
        <v>drd2_human</v>
      </c>
      <c r="C403" s="3">
        <f>VLOOKUP($A403,'SegEnds_NonXtal_BW#'!$A:$Z,3,FALSE)+D403-50</f>
        <v>6</v>
      </c>
      <c r="D403" s="3">
        <v>24</v>
      </c>
      <c r="E403" s="3">
        <f t="shared" si="203"/>
        <v>36</v>
      </c>
      <c r="F403" s="3">
        <f t="shared" si="204"/>
        <v>37</v>
      </c>
      <c r="G403" s="3">
        <v>39</v>
      </c>
      <c r="H403" s="3">
        <f t="shared" si="205"/>
        <v>40</v>
      </c>
      <c r="I403" s="3">
        <f t="shared" si="205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106</v>
      </c>
      <c r="Q403" s="3">
        <f>VLOOKUP($A403,'SegEnds_NonXtal_BW#'!$A:$Z,12,FALSE)+VLOOKUP($A403,A:AL,16,FALSE)-50</f>
        <v>112</v>
      </c>
      <c r="R403" s="3">
        <f t="shared" si="206"/>
        <v>115</v>
      </c>
      <c r="S403" s="3">
        <v>115</v>
      </c>
      <c r="T403" s="100">
        <f t="shared" si="207"/>
        <v>122</v>
      </c>
      <c r="U403" s="9">
        <f>IF(ISERROR(VLOOKUP($A403,'SegEnds_NonXtal_BW#'!$A:$Z,15,FALSE)+VLOOKUP($A403,A:AL,22,FALSE)-50),"-",VLOOKUP($A403,'SegEnds_NonXtal_BW#'!$A:$Z,15,FALSE)+VLOOKUP($A403,A:AL,22,FALSE)-50)</f>
        <v>123</v>
      </c>
      <c r="V403" s="3">
        <v>135</v>
      </c>
      <c r="W403" s="3">
        <f>IF(ISERROR(VLOOKUP($A403,'SegEnds_NonXtal_BW#'!$A:$Z,16,FALSE)+VLOOKUP($A403,A:AL,22,FALSE)-50),"-",(VLOOKUP($A403,'SegEnds_NonXtal_BW#'!$A:$Z,16,FALSE)+VLOOKUP($A403,A:AL,22,FALSE)-50))</f>
        <v>147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169</v>
      </c>
      <c r="AB403" s="3">
        <v>187</v>
      </c>
      <c r="AC403" s="3">
        <f>IF(ISERROR((VLOOKUP($A403,'SegEnds_NonXtal_BW#'!$A:$Z,20,FALSE)+VLOOKUP($A403,A:AL,28,FALSE)-50)),"-",(VLOOKUP($A403,'SegEnds_NonXtal_BW#'!$A:$Z,20,FALSE)+VLOOKUP($A403,A:AL,28,FALSE)-50))</f>
        <v>209</v>
      </c>
      <c r="AD403" s="3">
        <f>IF(ISERROR(VLOOKUP($A403,'SegEnds_NonXtal_BW#'!$A:$Z,21,FALSE)+VLOOKUP($A403,A:AL,31,FALSE)-50),"-",(VLOOKUP($A403,'SegEnds_NonXtal_BW#'!$A:$Z,21,FALSE)+VLOOKUP($A403,A:AL,31,FALSE)-50))</f>
        <v>219</v>
      </c>
      <c r="AE403" s="3">
        <v>240</v>
      </c>
      <c r="AF403" s="3">
        <f>IF(ISERROR((VLOOKUP($A403,'SegEnds_NonXtal_BW#'!$A:$Z,22,FALSE)+VLOOKUP($A403,A:AL,31,FALSE)-50)),"-",(VLOOKUP($A403,'SegEnds_NonXtal_BW#'!$A:$Z,22,FALSE)+VLOOKUP($A403,A:AL,31,FALSE)-50))</f>
        <v>251</v>
      </c>
      <c r="AG403" s="3">
        <f>IF(ISERROR(VLOOKUP($A403,'SegEnds_NonXtal_BW#'!$A:$Z,23,FALSE)+VLOOKUP($A403,A:AL,34,FALSE)-50),"-",(VLOOKUP($A403,'SegEnds_NonXtal_BW#'!$A:$Z,23,FALSE)+VLOOKUP($A403,A:AL,34,FALSE)-50))</f>
        <v>257</v>
      </c>
      <c r="AH403" s="3">
        <v>276</v>
      </c>
      <c r="AI403" s="3">
        <f>IF(ISERROR((VLOOKUP($A403,'SegEnds_NonXtal_BW#'!$A:$Z,24,FALSE)+VLOOKUP($A403,A:AL,34,FALSE)-50)),"-",(VLOOKUP($A403,'SegEnds_NonXtal_BW#'!$A:$Z,24,FALSE)+VLOOKUP($A403,A:AL,34,FALSE)-50))</f>
        <v>282</v>
      </c>
      <c r="AJ403" s="3">
        <f>IF(ISERROR(VLOOKUP($A403,'SegEnds_NonXtal_BW#'!$A:$Z,25,FALSE)+VLOOKUP($A403,A:AL,37,FALSE)-50),"-",(VLOOKUP($A403,'SegEnds_NonXtal_BW#'!$A:$Z,25,FALSE)+VLOOKUP($A403,A:AL,37,FALSE)-50))</f>
        <v>283</v>
      </c>
      <c r="AK403" s="3">
        <v>286</v>
      </c>
      <c r="AL403" s="3">
        <f>IF(ISERROR((VLOOKUP($A403,'SegEnds_NonXtal_BW#'!$A:$Z,26,FALSE)+VLOOKUP($A403,A:AL,37,FALSE)-50)),"-",(VLOOKUP($A403,'SegEnds_NonXtal_BW#'!$A:$Z,26,FALSE)+VLOOKUP($A403,A:AL,37,FALSE)-50))</f>
        <v>296</v>
      </c>
      <c r="AM403" s="28" t="str">
        <f>VLOOKUP(A403,Classification!A:B,2,FALSE)</f>
        <v>T</v>
      </c>
      <c r="AN403" s="28" t="b">
        <f t="shared" si="224"/>
        <v>1</v>
      </c>
      <c r="AO403" s="3" t="str">
        <f>IF(ISERROR(MATCH(A403,'SegEnds_Xtal_Prot#'!B:B, 0)), "NoXtal", "Xtal")</f>
        <v>NoXtal</v>
      </c>
      <c r="AP403" s="3">
        <f t="shared" si="209"/>
        <v>1</v>
      </c>
      <c r="AQ403" s="3">
        <f t="shared" si="210"/>
        <v>1</v>
      </c>
      <c r="AR403" s="3" t="str">
        <f t="shared" si="211"/>
        <v>-</v>
      </c>
      <c r="AS403" s="3" t="str">
        <f t="shared" si="212"/>
        <v>-</v>
      </c>
      <c r="AT403" s="3">
        <f t="shared" si="213"/>
        <v>3</v>
      </c>
      <c r="AU403" s="3">
        <f t="shared" si="214"/>
        <v>1</v>
      </c>
      <c r="AV403" s="3" t="str">
        <f t="shared" si="215"/>
        <v>-</v>
      </c>
      <c r="AW403" s="3" t="str">
        <f t="shared" si="216"/>
        <v>-</v>
      </c>
      <c r="AX403" s="3">
        <f t="shared" si="217"/>
        <v>10</v>
      </c>
      <c r="AY403" s="3">
        <f t="shared" si="218"/>
        <v>6</v>
      </c>
      <c r="AZ403" s="3">
        <f t="shared" si="219"/>
        <v>1</v>
      </c>
      <c r="BA403" s="3">
        <f>IF(ISERROR(LEN(VLOOKUP(A403,Seqs!A:E,2,FALSE))-AL403),"-",LEN(VLOOKUP(A403,Seqs!A:E,2,FALSE))-AL403)</f>
        <v>3</v>
      </c>
      <c r="BB403" s="16">
        <f t="shared" si="220"/>
        <v>31</v>
      </c>
      <c r="BC403" s="9">
        <f t="shared" si="221"/>
        <v>20</v>
      </c>
      <c r="BD403" s="3">
        <f t="shared" si="222"/>
        <v>31</v>
      </c>
      <c r="BE403" s="3">
        <f t="shared" si="223"/>
        <v>53</v>
      </c>
      <c r="BF403" s="3">
        <f t="shared" si="208"/>
        <v>36</v>
      </c>
    </row>
    <row r="404" spans="1:58" s="3" customFormat="1" x14ac:dyDescent="0.2">
      <c r="A404" s="3" t="s">
        <v>472</v>
      </c>
      <c r="B404" s="3" t="str">
        <f>LOWER(VLOOKUP(A404,Xtal_Templ!A:B,2,FALSE))</f>
        <v>oprk_human</v>
      </c>
      <c r="C404" s="3">
        <f>VLOOKUP($A404,'SegEnds_NonXtal_BW#'!$A:$Z,3,FALSE)+D404-50</f>
        <v>17</v>
      </c>
      <c r="D404" s="3">
        <v>35</v>
      </c>
      <c r="E404" s="3">
        <f t="shared" si="203"/>
        <v>47</v>
      </c>
      <c r="F404" s="3">
        <f t="shared" si="204"/>
        <v>48</v>
      </c>
      <c r="G404" s="3">
        <v>50</v>
      </c>
      <c r="H404" s="3">
        <f t="shared" si="205"/>
        <v>51</v>
      </c>
      <c r="I404" s="3">
        <f t="shared" si="205"/>
        <v>52</v>
      </c>
      <c r="J404" s="3">
        <v>66</v>
      </c>
      <c r="K404" s="3">
        <f>VLOOKUP($A404,'SegEnds_NonXtal_BW#'!$A:$Z,8,FALSE)+VLOOKUP($A404,A:AL,10,FALSE)-50</f>
        <v>82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86</v>
      </c>
      <c r="P404" s="3">
        <v>118</v>
      </c>
      <c r="Q404" s="3">
        <f>VLOOKUP($A404,'SegEnds_NonXtal_BW#'!$A:$Z,12,FALSE)+VLOOKUP($A404,A:AL,16,FALSE)-50</f>
        <v>124</v>
      </c>
      <c r="R404" s="3">
        <f t="shared" si="206"/>
        <v>127</v>
      </c>
      <c r="S404" s="3">
        <v>127</v>
      </c>
      <c r="T404" s="100">
        <f t="shared" si="207"/>
        <v>134</v>
      </c>
      <c r="U404" s="9">
        <f>IF(ISERROR(VLOOKUP($A404,'SegEnds_NonXtal_BW#'!$A:$Z,15,FALSE)+VLOOKUP($A404,A:AL,22,FALSE)-50),"-",VLOOKUP($A404,'SegEnds_NonXtal_BW#'!$A:$Z,15,FALSE)+VLOOKUP($A404,A:AL,22,FALSE)-50)</f>
        <v>135</v>
      </c>
      <c r="V404" s="3">
        <v>147</v>
      </c>
      <c r="W404" s="3">
        <f>IF(ISERROR(VLOOKUP($A404,'SegEnds_NonXtal_BW#'!$A:$Z,16,FALSE)+VLOOKUP($A404,A:AL,22,FALSE)-50),"-",(VLOOKUP($A404,'SegEnds_NonXtal_BW#'!$A:$Z,16,FALSE)+VLOOKUP($A404,A:AL,22,FALSE)-50))</f>
        <v>161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187</v>
      </c>
      <c r="AB404" s="3">
        <v>205</v>
      </c>
      <c r="AC404" s="3">
        <f>IF(ISERROR((VLOOKUP($A404,'SegEnds_NonXtal_BW#'!$A:$Z,20,FALSE)+VLOOKUP($A404,A:AL,28,FALSE)-50)),"-",(VLOOKUP($A404,'SegEnds_NonXtal_BW#'!$A:$Z,20,FALSE)+VLOOKUP($A404,A:AL,28,FALSE)-50))</f>
        <v>227</v>
      </c>
      <c r="AD404" s="3">
        <f>IF(ISERROR(VLOOKUP($A404,'SegEnds_NonXtal_BW#'!$A:$Z,21,FALSE)+VLOOKUP($A404,A:AL,31,FALSE)-50),"-",(VLOOKUP($A404,'SegEnds_NonXtal_BW#'!$A:$Z,21,FALSE)+VLOOKUP($A404,A:AL,31,FALSE)-50))</f>
        <v>237</v>
      </c>
      <c r="AE404" s="3">
        <v>258</v>
      </c>
      <c r="AF404" s="3">
        <f>IF(ISERROR((VLOOKUP($A404,'SegEnds_NonXtal_BW#'!$A:$Z,22,FALSE)+VLOOKUP($A404,A:AL,31,FALSE)-50)),"-",(VLOOKUP($A404,'SegEnds_NonXtal_BW#'!$A:$Z,22,FALSE)+VLOOKUP($A404,A:AL,31,FALSE)-50))</f>
        <v>269</v>
      </c>
      <c r="AG404" s="3">
        <f>IF(ISERROR(VLOOKUP($A404,'SegEnds_NonXtal_BW#'!$A:$Z,23,FALSE)+VLOOKUP($A404,A:AL,34,FALSE)-50),"-",(VLOOKUP($A404,'SegEnds_NonXtal_BW#'!$A:$Z,23,FALSE)+VLOOKUP($A404,A:AL,34,FALSE)-50))</f>
        <v>274</v>
      </c>
      <c r="AH404" s="3">
        <v>293</v>
      </c>
      <c r="AI404" s="3">
        <f>IF(ISERROR((VLOOKUP($A404,'SegEnds_NonXtal_BW#'!$A:$Z,24,FALSE)+VLOOKUP($A404,A:AL,34,FALSE)-50)),"-",(VLOOKUP($A404,'SegEnds_NonXtal_BW#'!$A:$Z,24,FALSE)+VLOOKUP($A404,A:AL,34,FALSE)-50))</f>
        <v>299</v>
      </c>
      <c r="AJ404" s="3">
        <f>IF(ISERROR(VLOOKUP($A404,'SegEnds_NonXtal_BW#'!$A:$Z,25,FALSE)+VLOOKUP($A404,A:AL,37,FALSE)-50),"-",(VLOOKUP($A404,'SegEnds_NonXtal_BW#'!$A:$Z,25,FALSE)+VLOOKUP($A404,A:AL,37,FALSE)-50))</f>
        <v>300</v>
      </c>
      <c r="AK404" s="3">
        <v>303</v>
      </c>
      <c r="AL404" s="3">
        <f>IF(ISERROR((VLOOKUP($A404,'SegEnds_NonXtal_BW#'!$A:$Z,26,FALSE)+VLOOKUP($A404,A:AL,37,FALSE)-50)),"-",(VLOOKUP($A404,'SegEnds_NonXtal_BW#'!$A:$Z,26,FALSE)+VLOOKUP($A404,A:AL,37,FALSE)-50))</f>
        <v>313</v>
      </c>
      <c r="AM404" s="28" t="str">
        <f>VLOOKUP(A404,Classification!A:B,2,FALSE)</f>
        <v>T</v>
      </c>
      <c r="AN404" s="28" t="b">
        <f t="shared" si="224"/>
        <v>1</v>
      </c>
      <c r="AO404" s="3" t="str">
        <f>IF(ISERROR(MATCH(A404,'SegEnds_Xtal_Prot#'!B:B, 0)), "NoXtal", "Xtal")</f>
        <v>NoXtal</v>
      </c>
      <c r="AP404" s="3">
        <f t="shared" si="209"/>
        <v>1</v>
      </c>
      <c r="AQ404" s="3">
        <f t="shared" si="210"/>
        <v>1</v>
      </c>
      <c r="AR404" s="3" t="str">
        <f t="shared" si="211"/>
        <v>-</v>
      </c>
      <c r="AS404" s="3" t="str">
        <f t="shared" si="212"/>
        <v>-</v>
      </c>
      <c r="AT404" s="3">
        <f t="shared" si="213"/>
        <v>3</v>
      </c>
      <c r="AU404" s="3">
        <f t="shared" si="214"/>
        <v>1</v>
      </c>
      <c r="AV404" s="3" t="str">
        <f t="shared" si="215"/>
        <v>-</v>
      </c>
      <c r="AW404" s="3" t="str">
        <f t="shared" si="216"/>
        <v>-</v>
      </c>
      <c r="AX404" s="3">
        <f t="shared" si="217"/>
        <v>10</v>
      </c>
      <c r="AY404" s="3">
        <f t="shared" si="218"/>
        <v>5</v>
      </c>
      <c r="AZ404" s="3">
        <f t="shared" si="219"/>
        <v>1</v>
      </c>
      <c r="BA404" s="3">
        <f>IF(ISERROR(LEN(VLOOKUP(A404,Seqs!A:E,2,FALSE))-AL404),"-",LEN(VLOOKUP(A404,Seqs!A:E,2,FALSE))-AL404)</f>
        <v>5</v>
      </c>
      <c r="BB404" s="16">
        <f t="shared" si="220"/>
        <v>31</v>
      </c>
      <c r="BC404" s="9">
        <f t="shared" si="221"/>
        <v>20</v>
      </c>
      <c r="BD404" s="3">
        <f t="shared" si="222"/>
        <v>31</v>
      </c>
      <c r="BE404" s="3">
        <f t="shared" si="223"/>
        <v>53</v>
      </c>
      <c r="BF404" s="3">
        <f t="shared" si="208"/>
        <v>35</v>
      </c>
    </row>
    <row r="405" spans="1:58" s="3" customFormat="1" x14ac:dyDescent="0.2">
      <c r="A405" s="3" t="s">
        <v>474</v>
      </c>
      <c r="B405" s="3" t="str">
        <f>LOWER(VLOOKUP(A405,Xtal_Templ!A:B,2,FALSE))</f>
        <v>cxcr4_human</v>
      </c>
      <c r="C405" s="3">
        <f>VLOOKUP($A405,'SegEnds_NonXtal_BW#'!$A:$Z,3,FALSE)+D405-50</f>
        <v>6</v>
      </c>
      <c r="D405" s="3">
        <v>24</v>
      </c>
      <c r="E405" s="3">
        <f t="shared" si="203"/>
        <v>36</v>
      </c>
      <c r="F405" s="3">
        <f t="shared" si="204"/>
        <v>37</v>
      </c>
      <c r="G405" s="3">
        <v>39</v>
      </c>
      <c r="H405" s="3">
        <f t="shared" si="205"/>
        <v>40</v>
      </c>
      <c r="I405" s="3">
        <f t="shared" si="20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103</v>
      </c>
      <c r="Q405" s="3">
        <f>VLOOKUP($A405,'SegEnds_NonXtal_BW#'!$A:$Z,12,FALSE)+VLOOKUP($A405,A:AL,16,FALSE)-50</f>
        <v>109</v>
      </c>
      <c r="R405" s="3">
        <f t="shared" si="206"/>
        <v>112</v>
      </c>
      <c r="S405" s="3">
        <v>112</v>
      </c>
      <c r="T405" s="100">
        <f t="shared" si="207"/>
        <v>119</v>
      </c>
      <c r="U405" s="9">
        <f>IF(ISERROR(VLOOKUP($A405,'SegEnds_NonXtal_BW#'!$A:$Z,15,FALSE)+VLOOKUP($A405,A:AL,22,FALSE)-50),"-",VLOOKUP($A405,'SegEnds_NonXtal_BW#'!$A:$Z,15,FALSE)+VLOOKUP($A405,A:AL,22,FALSE)-50)</f>
        <v>120</v>
      </c>
      <c r="V405" s="3">
        <v>132</v>
      </c>
      <c r="W405" s="3">
        <f>IF(ISERROR(VLOOKUP($A405,'SegEnds_NonXtal_BW#'!$A:$Z,16,FALSE)+VLOOKUP($A405,A:AL,22,FALSE)-50),"-",(VLOOKUP($A405,'SegEnds_NonXtal_BW#'!$A:$Z,16,FALSE)+VLOOKUP($A405,A:AL,22,FALSE)-50))</f>
        <v>146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168</v>
      </c>
      <c r="AB405" s="3">
        <v>186</v>
      </c>
      <c r="AC405" s="3">
        <f>IF(ISERROR((VLOOKUP($A405,'SegEnds_NonXtal_BW#'!$A:$Z,20,FALSE)+VLOOKUP($A405,A:AL,28,FALSE)-50)),"-",(VLOOKUP($A405,'SegEnds_NonXtal_BW#'!$A:$Z,20,FALSE)+VLOOKUP($A405,A:AL,28,FALSE)-50))</f>
        <v>208</v>
      </c>
      <c r="AD405" s="3">
        <f>IF(ISERROR(VLOOKUP($A405,'SegEnds_NonXtal_BW#'!$A:$Z,21,FALSE)+VLOOKUP($A405,A:AL,31,FALSE)-50),"-",(VLOOKUP($A405,'SegEnds_NonXtal_BW#'!$A:$Z,21,FALSE)+VLOOKUP($A405,A:AL,31,FALSE)-50))</f>
        <v>218</v>
      </c>
      <c r="AE405" s="3">
        <v>239</v>
      </c>
      <c r="AF405" s="3">
        <f>IF(ISERROR((VLOOKUP($A405,'SegEnds_NonXtal_BW#'!$A:$Z,22,FALSE)+VLOOKUP($A405,A:AL,31,FALSE)-50)),"-",(VLOOKUP($A405,'SegEnds_NonXtal_BW#'!$A:$Z,22,FALSE)+VLOOKUP($A405,A:AL,31,FALSE)-50))</f>
        <v>250</v>
      </c>
      <c r="AG405" s="3">
        <f>IF(ISERROR(VLOOKUP($A405,'SegEnds_NonXtal_BW#'!$A:$Z,23,FALSE)+VLOOKUP($A405,A:AL,34,FALSE)-50),"-",(VLOOKUP($A405,'SegEnds_NonXtal_BW#'!$A:$Z,23,FALSE)+VLOOKUP($A405,A:AL,34,FALSE)-50))</f>
        <v>255</v>
      </c>
      <c r="AH405" s="3">
        <v>274</v>
      </c>
      <c r="AI405" s="3">
        <f>IF(ISERROR((VLOOKUP($A405,'SegEnds_NonXtal_BW#'!$A:$Z,24,FALSE)+VLOOKUP($A405,A:AL,34,FALSE)-50)),"-",(VLOOKUP($A405,'SegEnds_NonXtal_BW#'!$A:$Z,24,FALSE)+VLOOKUP($A405,A:AL,34,FALSE)-50))</f>
        <v>280</v>
      </c>
      <c r="AJ405" s="3">
        <f>IF(ISERROR(VLOOKUP($A405,'SegEnds_NonXtal_BW#'!$A:$Z,25,FALSE)+VLOOKUP($A405,A:AL,37,FALSE)-50),"-",(VLOOKUP($A405,'SegEnds_NonXtal_BW#'!$A:$Z,25,FALSE)+VLOOKUP($A405,A:AL,37,FALSE)-50))</f>
        <v>281</v>
      </c>
      <c r="AK405" s="3">
        <v>284</v>
      </c>
      <c r="AL405" s="3">
        <f>IF(ISERROR((VLOOKUP($A405,'SegEnds_NonXtal_BW#'!$A:$Z,26,FALSE)+VLOOKUP($A405,A:AL,37,FALSE)-50)),"-",(VLOOKUP($A405,'SegEnds_NonXtal_BW#'!$A:$Z,26,FALSE)+VLOOKUP($A405,A:AL,37,FALSE)-50))</f>
        <v>294</v>
      </c>
      <c r="AM405" s="28" t="str">
        <f>VLOOKUP(A405,Classification!A:B,2,FALSE)</f>
        <v>T</v>
      </c>
      <c r="AN405" s="28" t="b">
        <f t="shared" si="224"/>
        <v>1</v>
      </c>
      <c r="AO405" s="3" t="str">
        <f>IF(ISERROR(MATCH(A405,'SegEnds_Xtal_Prot#'!B:B, 0)), "NoXtal", "Xtal")</f>
        <v>NoXtal</v>
      </c>
      <c r="AP405" s="3">
        <f t="shared" si="209"/>
        <v>1</v>
      </c>
      <c r="AQ405" s="3">
        <f t="shared" si="210"/>
        <v>1</v>
      </c>
      <c r="AR405" s="3" t="str">
        <f t="shared" si="211"/>
        <v>-</v>
      </c>
      <c r="AS405" s="3" t="str">
        <f t="shared" si="212"/>
        <v>-</v>
      </c>
      <c r="AT405" s="3">
        <f t="shared" si="213"/>
        <v>3</v>
      </c>
      <c r="AU405" s="3">
        <f t="shared" si="214"/>
        <v>1</v>
      </c>
      <c r="AV405" s="3" t="str">
        <f t="shared" si="215"/>
        <v>-</v>
      </c>
      <c r="AW405" s="3" t="str">
        <f t="shared" si="216"/>
        <v>-</v>
      </c>
      <c r="AX405" s="3">
        <f t="shared" si="217"/>
        <v>10</v>
      </c>
      <c r="AY405" s="3">
        <f t="shared" si="218"/>
        <v>5</v>
      </c>
      <c r="AZ405" s="3">
        <f t="shared" si="219"/>
        <v>1</v>
      </c>
      <c r="BA405" s="3">
        <f>IF(ISERROR(LEN(VLOOKUP(A405,Seqs!A:E,2,FALSE))-AL405),"-",LEN(VLOOKUP(A405,Seqs!A:E,2,FALSE))-AL405)</f>
        <v>5</v>
      </c>
      <c r="BB405" s="16">
        <f t="shared" si="220"/>
        <v>31</v>
      </c>
      <c r="BC405" s="9">
        <f t="shared" si="221"/>
        <v>20</v>
      </c>
      <c r="BD405" s="3">
        <f t="shared" si="222"/>
        <v>31</v>
      </c>
      <c r="BE405" s="3">
        <f t="shared" si="223"/>
        <v>53</v>
      </c>
      <c r="BF405" s="3">
        <f t="shared" si="208"/>
        <v>35</v>
      </c>
    </row>
    <row r="406" spans="1:58" s="3" customFormat="1" x14ac:dyDescent="0.2">
      <c r="A406" s="3" t="s">
        <v>475</v>
      </c>
      <c r="B406" s="3" t="str">
        <f>LOWER(VLOOKUP(A406,Xtal_Templ!A:B,2,FALSE))</f>
        <v>agtr1_human</v>
      </c>
      <c r="C406" s="3">
        <f>VLOOKUP($A406,'SegEnds_NonXtal_BW#'!$A:$Z,3,FALSE)+D406-50</f>
        <v>6</v>
      </c>
      <c r="D406" s="3">
        <v>24</v>
      </c>
      <c r="E406" s="3">
        <f t="shared" si="203"/>
        <v>36</v>
      </c>
      <c r="F406" s="3">
        <f t="shared" si="204"/>
        <v>37</v>
      </c>
      <c r="G406" s="3">
        <v>39</v>
      </c>
      <c r="H406" s="3">
        <f t="shared" si="205"/>
        <v>40</v>
      </c>
      <c r="I406" s="3">
        <f t="shared" si="205"/>
        <v>41</v>
      </c>
      <c r="J406" s="3">
        <v>55</v>
      </c>
      <c r="K406" s="3">
        <f>VLOOKUP($A406,'SegEnds_NonXtal_BW#'!$A:$Z,8,FALSE)+VLOOKUP($A406,A:AL,10,FALSE)-50</f>
        <v>72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78</v>
      </c>
      <c r="P406" s="3">
        <v>107</v>
      </c>
      <c r="Q406" s="3">
        <f>VLOOKUP($A406,'SegEnds_NonXtal_BW#'!$A:$Z,12,FALSE)+VLOOKUP($A406,A:AL,16,FALSE)-50</f>
        <v>113</v>
      </c>
      <c r="R406" s="3">
        <f t="shared" si="206"/>
        <v>116</v>
      </c>
      <c r="S406" s="3">
        <v>116</v>
      </c>
      <c r="T406" s="100">
        <f t="shared" si="207"/>
        <v>123</v>
      </c>
      <c r="U406" s="9">
        <f>IF(ISERROR(VLOOKUP($A406,'SegEnds_NonXtal_BW#'!$A:$Z,15,FALSE)+VLOOKUP($A406,A:AL,22,FALSE)-50),"-",VLOOKUP($A406,'SegEnds_NonXtal_BW#'!$A:$Z,15,FALSE)+VLOOKUP($A406,A:AL,22,FALSE)-50)</f>
        <v>124</v>
      </c>
      <c r="V406" s="3">
        <v>136</v>
      </c>
      <c r="W406" s="3">
        <f>IF(ISERROR(VLOOKUP($A406,'SegEnds_NonXtal_BW#'!$A:$Z,16,FALSE)+VLOOKUP($A406,A:AL,22,FALSE)-50),"-",(VLOOKUP($A406,'SegEnds_NonXtal_BW#'!$A:$Z,16,FALSE)+VLOOKUP($A406,A:AL,22,FALSE)-50))</f>
        <v>150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174</v>
      </c>
      <c r="AB406" s="3">
        <v>192</v>
      </c>
      <c r="AC406" s="3">
        <f>IF(ISERROR((VLOOKUP($A406,'SegEnds_NonXtal_BW#'!$A:$Z,20,FALSE)+VLOOKUP($A406,A:AL,28,FALSE)-50)),"-",(VLOOKUP($A406,'SegEnds_NonXtal_BW#'!$A:$Z,20,FALSE)+VLOOKUP($A406,A:AL,28,FALSE)-50))</f>
        <v>214</v>
      </c>
      <c r="AD406" s="3">
        <f>IF(ISERROR(VLOOKUP($A406,'SegEnds_NonXtal_BW#'!$A:$Z,21,FALSE)+VLOOKUP($A406,A:AL,31,FALSE)-50),"-",(VLOOKUP($A406,'SegEnds_NonXtal_BW#'!$A:$Z,21,FALSE)+VLOOKUP($A406,A:AL,31,FALSE)-50))</f>
        <v>224</v>
      </c>
      <c r="AE406" s="3">
        <v>245</v>
      </c>
      <c r="AF406" s="3">
        <f>IF(ISERROR((VLOOKUP($A406,'SegEnds_NonXtal_BW#'!$A:$Z,22,FALSE)+VLOOKUP($A406,A:AL,31,FALSE)-50)),"-",(VLOOKUP($A406,'SegEnds_NonXtal_BW#'!$A:$Z,22,FALSE)+VLOOKUP($A406,A:AL,31,FALSE)-50))</f>
        <v>256</v>
      </c>
      <c r="AG406" s="3">
        <f>IF(ISERROR(VLOOKUP($A406,'SegEnds_NonXtal_BW#'!$A:$Z,23,FALSE)+VLOOKUP($A406,A:AL,34,FALSE)-50),"-",(VLOOKUP($A406,'SegEnds_NonXtal_BW#'!$A:$Z,23,FALSE)+VLOOKUP($A406,A:AL,34,FALSE)-50))</f>
        <v>262</v>
      </c>
      <c r="AH406" s="3">
        <v>281</v>
      </c>
      <c r="AI406" s="3">
        <f>IF(ISERROR((VLOOKUP($A406,'SegEnds_NonXtal_BW#'!$A:$Z,24,FALSE)+VLOOKUP($A406,A:AL,34,FALSE)-50)),"-",(VLOOKUP($A406,'SegEnds_NonXtal_BW#'!$A:$Z,24,FALSE)+VLOOKUP($A406,A:AL,34,FALSE)-50))</f>
        <v>287</v>
      </c>
      <c r="AJ406" s="3">
        <f>IF(ISERROR(VLOOKUP($A406,'SegEnds_NonXtal_BW#'!$A:$Z,25,FALSE)+VLOOKUP($A406,A:AL,37,FALSE)-50),"-",(VLOOKUP($A406,'SegEnds_NonXtal_BW#'!$A:$Z,25,FALSE)+VLOOKUP($A406,A:AL,37,FALSE)-50))</f>
        <v>288</v>
      </c>
      <c r="AK406" s="3">
        <v>291</v>
      </c>
      <c r="AL406" s="3">
        <f>IF(ISERROR((VLOOKUP($A406,'SegEnds_NonXtal_BW#'!$A:$Z,26,FALSE)+VLOOKUP($A406,A:AL,37,FALSE)-50)),"-",(VLOOKUP($A406,'SegEnds_NonXtal_BW#'!$A:$Z,26,FALSE)+VLOOKUP($A406,A:AL,37,FALSE)-50))</f>
        <v>301</v>
      </c>
      <c r="AM406" s="28" t="str">
        <f>VLOOKUP(A406,Classification!A:B,2,FALSE)</f>
        <v>T</v>
      </c>
      <c r="AN406" s="28" t="b">
        <f t="shared" si="224"/>
        <v>1</v>
      </c>
      <c r="AO406" s="3" t="str">
        <f>IF(ISERROR(MATCH(A406,'SegEnds_Xtal_Prot#'!B:B, 0)), "NoXtal", "Xtal")</f>
        <v>NoXtal</v>
      </c>
      <c r="AP406" s="3">
        <f t="shared" si="209"/>
        <v>1</v>
      </c>
      <c r="AQ406" s="3">
        <f t="shared" si="210"/>
        <v>1</v>
      </c>
      <c r="AR406" s="3" t="str">
        <f t="shared" si="211"/>
        <v>-</v>
      </c>
      <c r="AS406" s="3" t="str">
        <f t="shared" si="212"/>
        <v>-</v>
      </c>
      <c r="AT406" s="3">
        <f t="shared" si="213"/>
        <v>3</v>
      </c>
      <c r="AU406" s="3">
        <f t="shared" si="214"/>
        <v>1</v>
      </c>
      <c r="AV406" s="3" t="str">
        <f t="shared" si="215"/>
        <v>-</v>
      </c>
      <c r="AW406" s="3" t="str">
        <f t="shared" si="216"/>
        <v>-</v>
      </c>
      <c r="AX406" s="3">
        <f t="shared" si="217"/>
        <v>10</v>
      </c>
      <c r="AY406" s="3">
        <f t="shared" si="218"/>
        <v>6</v>
      </c>
      <c r="AZ406" s="3">
        <f t="shared" si="219"/>
        <v>1</v>
      </c>
      <c r="BA406" s="3">
        <f>IF(ISERROR(LEN(VLOOKUP(A406,Seqs!A:E,2,FALSE))-AL406),"-",LEN(VLOOKUP(A406,Seqs!A:E,2,FALSE))-AL406)</f>
        <v>15</v>
      </c>
      <c r="BB406" s="16">
        <f t="shared" si="220"/>
        <v>31</v>
      </c>
      <c r="BC406" s="9">
        <f t="shared" si="221"/>
        <v>20</v>
      </c>
      <c r="BD406" s="3">
        <f t="shared" si="222"/>
        <v>31</v>
      </c>
      <c r="BE406" s="3">
        <f t="shared" si="223"/>
        <v>53</v>
      </c>
      <c r="BF406" s="3">
        <f t="shared" si="208"/>
        <v>36</v>
      </c>
    </row>
    <row r="407" spans="1:58" s="3" customFormat="1" x14ac:dyDescent="0.2">
      <c r="A407" s="3" t="s">
        <v>476</v>
      </c>
      <c r="B407" s="3" t="str">
        <f>LOWER(VLOOKUP(A407,Xtal_Templ!A:B,2,FALSE))</f>
        <v>5ht1b_human</v>
      </c>
      <c r="C407" s="3">
        <f>VLOOKUP($A407,'SegEnds_NonXtal_BW#'!$A:$Z,3,FALSE)+D407-50</f>
        <v>6</v>
      </c>
      <c r="D407" s="3">
        <v>24</v>
      </c>
      <c r="E407" s="3">
        <f t="shared" si="203"/>
        <v>36</v>
      </c>
      <c r="F407" s="3">
        <f t="shared" si="204"/>
        <v>37</v>
      </c>
      <c r="G407" s="3">
        <v>39</v>
      </c>
      <c r="H407" s="3">
        <f t="shared" si="205"/>
        <v>40</v>
      </c>
      <c r="I407" s="3">
        <f t="shared" si="205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06"/>
        <v>115</v>
      </c>
      <c r="S407" s="3">
        <v>115</v>
      </c>
      <c r="T407" s="100">
        <f t="shared" si="207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148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170</v>
      </c>
      <c r="AB407" s="3">
        <v>188</v>
      </c>
      <c r="AC407" s="3">
        <f>IF(ISERROR((VLOOKUP($A407,'SegEnds_NonXtal_BW#'!$A:$Z,20,FALSE)+VLOOKUP($A407,A:AL,28,FALSE)-50)),"-",(VLOOKUP($A407,'SegEnds_NonXtal_BW#'!$A:$Z,20,FALSE)+VLOOKUP($A407,A:AL,28,FALSE)-50))</f>
        <v>210</v>
      </c>
      <c r="AD407" s="3">
        <f>IF(ISERROR(VLOOKUP($A407,'SegEnds_NonXtal_BW#'!$A:$Z,21,FALSE)+VLOOKUP($A407,A:AL,31,FALSE)-50),"-",(VLOOKUP($A407,'SegEnds_NonXtal_BW#'!$A:$Z,21,FALSE)+VLOOKUP($A407,A:AL,31,FALSE)-50))</f>
        <v>220</v>
      </c>
      <c r="AE407" s="3">
        <v>241</v>
      </c>
      <c r="AF407" s="3">
        <f>IF(ISERROR((VLOOKUP($A407,'SegEnds_NonXtal_BW#'!$A:$Z,22,FALSE)+VLOOKUP($A407,A:AL,31,FALSE)-50)),"-",(VLOOKUP($A407,'SegEnds_NonXtal_BW#'!$A:$Z,22,FALSE)+VLOOKUP($A407,A:AL,31,FALSE)-50))</f>
        <v>252</v>
      </c>
      <c r="AG407" s="3">
        <f>IF(ISERROR(VLOOKUP($A407,'SegEnds_NonXtal_BW#'!$A:$Z,23,FALSE)+VLOOKUP($A407,A:AL,34,FALSE)-50),"-",(VLOOKUP($A407,'SegEnds_NonXtal_BW#'!$A:$Z,23,FALSE)+VLOOKUP($A407,A:AL,34,FALSE)-50))</f>
        <v>258</v>
      </c>
      <c r="AH407" s="3">
        <v>277</v>
      </c>
      <c r="AI407" s="3">
        <f>IF(ISERROR((VLOOKUP($A407,'SegEnds_NonXtal_BW#'!$A:$Z,24,FALSE)+VLOOKUP($A407,A:AL,34,FALSE)-50)),"-",(VLOOKUP($A407,'SegEnds_NonXtal_BW#'!$A:$Z,24,FALSE)+VLOOKUP($A407,A:AL,34,FALSE)-50))</f>
        <v>283</v>
      </c>
      <c r="AJ407" s="3">
        <f>IF(ISERROR(VLOOKUP($A407,'SegEnds_NonXtal_BW#'!$A:$Z,25,FALSE)+VLOOKUP($A407,A:AL,37,FALSE)-50),"-",(VLOOKUP($A407,'SegEnds_NonXtal_BW#'!$A:$Z,25,FALSE)+VLOOKUP($A407,A:AL,37,FALSE)-50))</f>
        <v>284</v>
      </c>
      <c r="AK407" s="3">
        <v>287</v>
      </c>
      <c r="AL407" s="3">
        <f>IF(ISERROR((VLOOKUP($A407,'SegEnds_NonXtal_BW#'!$A:$Z,26,FALSE)+VLOOKUP($A407,A:AL,37,FALSE)-50)),"-",(VLOOKUP($A407,'SegEnds_NonXtal_BW#'!$A:$Z,26,FALSE)+VLOOKUP($A407,A:AL,37,FALSE)-50))</f>
        <v>297</v>
      </c>
      <c r="AM407" s="28" t="str">
        <f>VLOOKUP(A407,Classification!A:B,2,FALSE)</f>
        <v>T</v>
      </c>
      <c r="AN407" s="28" t="b">
        <f t="shared" si="224"/>
        <v>1</v>
      </c>
      <c r="AO407" s="3" t="str">
        <f>IF(ISERROR(MATCH(A407,'SegEnds_Xtal_Prot#'!B:B, 0)), "NoXtal", "Xtal")</f>
        <v>NoXtal</v>
      </c>
      <c r="AP407" s="3">
        <f t="shared" si="209"/>
        <v>1</v>
      </c>
      <c r="AQ407" s="3">
        <f t="shared" si="210"/>
        <v>1</v>
      </c>
      <c r="AR407" s="3" t="str">
        <f t="shared" si="211"/>
        <v>-</v>
      </c>
      <c r="AS407" s="3" t="str">
        <f t="shared" si="212"/>
        <v>-</v>
      </c>
      <c r="AT407" s="3">
        <f t="shared" si="213"/>
        <v>3</v>
      </c>
      <c r="AU407" s="3">
        <f t="shared" si="214"/>
        <v>1</v>
      </c>
      <c r="AV407" s="3" t="str">
        <f t="shared" si="215"/>
        <v>-</v>
      </c>
      <c r="AW407" s="3" t="str">
        <f t="shared" si="216"/>
        <v>-</v>
      </c>
      <c r="AX407" s="3">
        <f t="shared" si="217"/>
        <v>10</v>
      </c>
      <c r="AY407" s="3">
        <f t="shared" si="218"/>
        <v>6</v>
      </c>
      <c r="AZ407" s="3">
        <f t="shared" si="219"/>
        <v>1</v>
      </c>
      <c r="BA407" s="3">
        <f>IF(ISERROR(LEN(VLOOKUP(A407,Seqs!A:E,2,FALSE))-AL407),"-",LEN(VLOOKUP(A407,Seqs!A:E,2,FALSE))-AL407)</f>
        <v>2</v>
      </c>
      <c r="BB407" s="16">
        <f t="shared" si="220"/>
        <v>31</v>
      </c>
      <c r="BC407" s="9">
        <f t="shared" si="221"/>
        <v>20</v>
      </c>
      <c r="BD407" s="3">
        <f t="shared" si="222"/>
        <v>31</v>
      </c>
      <c r="BE407" s="3">
        <f t="shared" si="223"/>
        <v>53</v>
      </c>
      <c r="BF407" s="3">
        <f t="shared" si="208"/>
        <v>36</v>
      </c>
    </row>
    <row r="408" spans="1:58" s="3" customFormat="1" x14ac:dyDescent="0.2">
      <c r="A408" s="3" t="s">
        <v>477</v>
      </c>
      <c r="B408" s="3" t="str">
        <f>LOWER(VLOOKUP(A408,Xtal_Templ!A:B,2,FALSE))</f>
        <v>hrh1_human</v>
      </c>
      <c r="C408" s="3">
        <f>VLOOKUP($A408,'SegEnds_NonXtal_BW#'!$A:$Z,3,FALSE)+D408-50</f>
        <v>6</v>
      </c>
      <c r="D408" s="3">
        <v>24</v>
      </c>
      <c r="E408" s="3">
        <f t="shared" si="203"/>
        <v>36</v>
      </c>
      <c r="F408" s="3">
        <f t="shared" si="204"/>
        <v>37</v>
      </c>
      <c r="G408" s="3">
        <v>39</v>
      </c>
      <c r="H408" s="3">
        <f t="shared" si="205"/>
        <v>40</v>
      </c>
      <c r="I408" s="3">
        <f t="shared" si="20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103</v>
      </c>
      <c r="Q408" s="3">
        <f>VLOOKUP($A408,'SegEnds_NonXtal_BW#'!$A:$Z,12,FALSE)+VLOOKUP($A408,A:AL,16,FALSE)-50</f>
        <v>109</v>
      </c>
      <c r="R408" s="3">
        <f t="shared" si="206"/>
        <v>112</v>
      </c>
      <c r="S408" s="3">
        <v>112</v>
      </c>
      <c r="T408" s="100">
        <f t="shared" si="207"/>
        <v>119</v>
      </c>
      <c r="U408" s="9">
        <f>IF(ISERROR(VLOOKUP($A408,'SegEnds_NonXtal_BW#'!$A:$Z,15,FALSE)+VLOOKUP($A408,A:AL,22,FALSE)-50),"-",VLOOKUP($A408,'SegEnds_NonXtal_BW#'!$A:$Z,15,FALSE)+VLOOKUP($A408,A:AL,22,FALSE)-50)</f>
        <v>120</v>
      </c>
      <c r="V408" s="3">
        <v>132</v>
      </c>
      <c r="W408" s="3">
        <f>IF(ISERROR(VLOOKUP($A408,'SegEnds_NonXtal_BW#'!$A:$Z,16,FALSE)+VLOOKUP($A408,A:AL,22,FALSE)-50),"-",(VLOOKUP($A408,'SegEnds_NonXtal_BW#'!$A:$Z,16,FALSE)+VLOOKUP($A408,A:AL,22,FALSE)-50))</f>
        <v>144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162</v>
      </c>
      <c r="AB408" s="3">
        <v>180</v>
      </c>
      <c r="AC408" s="3">
        <f>IF(ISERROR((VLOOKUP($A408,'SegEnds_NonXtal_BW#'!$A:$Z,20,FALSE)+VLOOKUP($A408,A:AL,28,FALSE)-50)),"-",(VLOOKUP($A408,'SegEnds_NonXtal_BW#'!$A:$Z,20,FALSE)+VLOOKUP($A408,A:AL,28,FALSE)-50))</f>
        <v>202</v>
      </c>
      <c r="AD408" s="3">
        <f>IF(ISERROR(VLOOKUP($A408,'SegEnds_NonXtal_BW#'!$A:$Z,21,FALSE)+VLOOKUP($A408,A:AL,31,FALSE)-50),"-",(VLOOKUP($A408,'SegEnds_NonXtal_BW#'!$A:$Z,21,FALSE)+VLOOKUP($A408,A:AL,31,FALSE)-50))</f>
        <v>212</v>
      </c>
      <c r="AE408" s="3">
        <v>233</v>
      </c>
      <c r="AF408" s="3">
        <f>IF(ISERROR((VLOOKUP($A408,'SegEnds_NonXtal_BW#'!$A:$Z,22,FALSE)+VLOOKUP($A408,A:AL,31,FALSE)-50)),"-",(VLOOKUP($A408,'SegEnds_NonXtal_BW#'!$A:$Z,22,FALSE)+VLOOKUP($A408,A:AL,31,FALSE)-50))</f>
        <v>244</v>
      </c>
      <c r="AG408" s="3">
        <f>IF(ISERROR(VLOOKUP($A408,'SegEnds_NonXtal_BW#'!$A:$Z,23,FALSE)+VLOOKUP($A408,A:AL,34,FALSE)-50),"-",(VLOOKUP($A408,'SegEnds_NonXtal_BW#'!$A:$Z,23,FALSE)+VLOOKUP($A408,A:AL,34,FALSE)-50))</f>
        <v>250</v>
      </c>
      <c r="AH408" s="3">
        <v>269</v>
      </c>
      <c r="AI408" s="3">
        <f>IF(ISERROR((VLOOKUP($A408,'SegEnds_NonXtal_BW#'!$A:$Z,24,FALSE)+VLOOKUP($A408,A:AL,34,FALSE)-50)),"-",(VLOOKUP($A408,'SegEnds_NonXtal_BW#'!$A:$Z,24,FALSE)+VLOOKUP($A408,A:AL,34,FALSE)-50))</f>
        <v>275</v>
      </c>
      <c r="AJ408" s="3">
        <f>IF(ISERROR(VLOOKUP($A408,'SegEnds_NonXtal_BW#'!$A:$Z,25,FALSE)+VLOOKUP($A408,A:AL,37,FALSE)-50),"-",(VLOOKUP($A408,'SegEnds_NonXtal_BW#'!$A:$Z,25,FALSE)+VLOOKUP($A408,A:AL,37,FALSE)-50))</f>
        <v>276</v>
      </c>
      <c r="AK408" s="3">
        <v>279</v>
      </c>
      <c r="AL408" s="3">
        <f>IF(ISERROR((VLOOKUP($A408,'SegEnds_NonXtal_BW#'!$A:$Z,26,FALSE)+VLOOKUP($A408,A:AL,37,FALSE)-50)),"-",(VLOOKUP($A408,'SegEnds_NonXtal_BW#'!$A:$Z,26,FALSE)+VLOOKUP($A408,A:AL,37,FALSE)-50))</f>
        <v>289</v>
      </c>
      <c r="AM408" s="28" t="str">
        <f>VLOOKUP(A408,Classification!A:B,2,FALSE)</f>
        <v>T</v>
      </c>
      <c r="AN408" s="28" t="b">
        <f t="shared" si="224"/>
        <v>1</v>
      </c>
      <c r="AO408" s="3" t="str">
        <f>IF(ISERROR(MATCH(A408,'SegEnds_Xtal_Prot#'!B:B, 0)), "NoXtal", "Xtal")</f>
        <v>NoXtal</v>
      </c>
      <c r="AP408" s="3">
        <f t="shared" si="209"/>
        <v>1</v>
      </c>
      <c r="AQ408" s="3">
        <f t="shared" si="210"/>
        <v>1</v>
      </c>
      <c r="AR408" s="3" t="str">
        <f t="shared" si="211"/>
        <v>-</v>
      </c>
      <c r="AS408" s="3" t="str">
        <f t="shared" si="212"/>
        <v>-</v>
      </c>
      <c r="AT408" s="3">
        <f t="shared" si="213"/>
        <v>3</v>
      </c>
      <c r="AU408" s="3">
        <f t="shared" si="214"/>
        <v>1</v>
      </c>
      <c r="AV408" s="3" t="str">
        <f t="shared" si="215"/>
        <v>-</v>
      </c>
      <c r="AW408" s="3" t="str">
        <f t="shared" si="216"/>
        <v>-</v>
      </c>
      <c r="AX408" s="3">
        <f t="shared" si="217"/>
        <v>10</v>
      </c>
      <c r="AY408" s="3">
        <f t="shared" si="218"/>
        <v>6</v>
      </c>
      <c r="AZ408" s="3">
        <f t="shared" si="219"/>
        <v>1</v>
      </c>
      <c r="BA408" s="3">
        <f>IF(ISERROR(LEN(VLOOKUP(A408,Seqs!A:E,2,FALSE))-AL408),"-",LEN(VLOOKUP(A408,Seqs!A:E,2,FALSE))-AL408)</f>
        <v>10</v>
      </c>
      <c r="BB408" s="16">
        <f t="shared" si="220"/>
        <v>31</v>
      </c>
      <c r="BC408" s="9">
        <f t="shared" si="221"/>
        <v>20</v>
      </c>
      <c r="BD408" s="3">
        <f t="shared" si="222"/>
        <v>31</v>
      </c>
      <c r="BE408" s="3">
        <f t="shared" si="223"/>
        <v>53</v>
      </c>
      <c r="BF408" s="3">
        <f t="shared" si="208"/>
        <v>36</v>
      </c>
    </row>
    <row r="409" spans="1:58" s="3" customFormat="1" x14ac:dyDescent="0.2">
      <c r="A409" s="3" t="s">
        <v>478</v>
      </c>
      <c r="B409" s="3" t="str">
        <f>LOWER(VLOOKUP(A409,Xtal_Templ!A:B,2,FALSE))</f>
        <v>drd2_human</v>
      </c>
      <c r="C409" s="3">
        <f>VLOOKUP($A409,'SegEnds_NonXtal_BW#'!$A:$Z,3,FALSE)+D409-50</f>
        <v>6</v>
      </c>
      <c r="D409" s="3">
        <v>24</v>
      </c>
      <c r="E409" s="3">
        <f t="shared" si="203"/>
        <v>36</v>
      </c>
      <c r="F409" s="3">
        <f t="shared" si="204"/>
        <v>37</v>
      </c>
      <c r="G409" s="3">
        <v>39</v>
      </c>
      <c r="H409" s="3">
        <f t="shared" si="205"/>
        <v>40</v>
      </c>
      <c r="I409" s="3">
        <f t="shared" si="205"/>
        <v>41</v>
      </c>
      <c r="J409" s="3">
        <v>55</v>
      </c>
      <c r="K409" s="3">
        <f>VLOOKUP($A409,'SegEnds_NonXtal_BW#'!$A:$Z,8,FALSE)+VLOOKUP($A409,A:AL,10,FALSE)-50</f>
        <v>72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78</v>
      </c>
      <c r="P409" s="3">
        <v>107</v>
      </c>
      <c r="Q409" s="3">
        <f>VLOOKUP($A409,'SegEnds_NonXtal_BW#'!$A:$Z,12,FALSE)+VLOOKUP($A409,A:AL,16,FALSE)-50</f>
        <v>113</v>
      </c>
      <c r="R409" s="3">
        <f t="shared" si="206"/>
        <v>116</v>
      </c>
      <c r="S409" s="3">
        <v>116</v>
      </c>
      <c r="T409" s="100">
        <f t="shared" si="207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148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175</v>
      </c>
      <c r="AB409" s="3">
        <v>193</v>
      </c>
      <c r="AC409" s="3">
        <f>IF(ISERROR((VLOOKUP($A409,'SegEnds_NonXtal_BW#'!$A:$Z,20,FALSE)+VLOOKUP($A409,A:AL,28,FALSE)-50)),"-",(VLOOKUP($A409,'SegEnds_NonXtal_BW#'!$A:$Z,20,FALSE)+VLOOKUP($A409,A:AL,28,FALSE)-50))</f>
        <v>215</v>
      </c>
      <c r="AD409" s="3">
        <f>IF(ISERROR(VLOOKUP($A409,'SegEnds_NonXtal_BW#'!$A:$Z,21,FALSE)+VLOOKUP($A409,A:AL,31,FALSE)-50),"-",(VLOOKUP($A409,'SegEnds_NonXtal_BW#'!$A:$Z,21,FALSE)+VLOOKUP($A409,A:AL,31,FALSE)-50))</f>
        <v>225</v>
      </c>
      <c r="AE409" s="3">
        <v>246</v>
      </c>
      <c r="AF409" s="3">
        <f>IF(ISERROR((VLOOKUP($A409,'SegEnds_NonXtal_BW#'!$A:$Z,22,FALSE)+VLOOKUP($A409,A:AL,31,FALSE)-50)),"-",(VLOOKUP($A409,'SegEnds_NonXtal_BW#'!$A:$Z,22,FALSE)+VLOOKUP($A409,A:AL,31,FALSE)-50))</f>
        <v>257</v>
      </c>
      <c r="AG409" s="3">
        <f>IF(ISERROR(VLOOKUP($A409,'SegEnds_NonXtal_BW#'!$A:$Z,23,FALSE)+VLOOKUP($A409,A:AL,34,FALSE)-50),"-",(VLOOKUP($A409,'SegEnds_NonXtal_BW#'!$A:$Z,23,FALSE)+VLOOKUP($A409,A:AL,34,FALSE)-50))</f>
        <v>263</v>
      </c>
      <c r="AH409" s="3">
        <v>282</v>
      </c>
      <c r="AI409" s="3">
        <f>IF(ISERROR((VLOOKUP($A409,'SegEnds_NonXtal_BW#'!$A:$Z,24,FALSE)+VLOOKUP($A409,A:AL,34,FALSE)-50)),"-",(VLOOKUP($A409,'SegEnds_NonXtal_BW#'!$A:$Z,24,FALSE)+VLOOKUP($A409,A:AL,34,FALSE)-50))</f>
        <v>288</v>
      </c>
      <c r="AJ409" s="3">
        <f>IF(ISERROR(VLOOKUP($A409,'SegEnds_NonXtal_BW#'!$A:$Z,25,FALSE)+VLOOKUP($A409,A:AL,37,FALSE)-50),"-",(VLOOKUP($A409,'SegEnds_NonXtal_BW#'!$A:$Z,25,FALSE)+VLOOKUP($A409,A:AL,37,FALSE)-50))</f>
        <v>289</v>
      </c>
      <c r="AK409" s="3">
        <v>292</v>
      </c>
      <c r="AL409" s="3">
        <f>IF(ISERROR((VLOOKUP($A409,'SegEnds_NonXtal_BW#'!$A:$Z,26,FALSE)+VLOOKUP($A409,A:AL,37,FALSE)-50)),"-",(VLOOKUP($A409,'SegEnds_NonXtal_BW#'!$A:$Z,26,FALSE)+VLOOKUP($A409,A:AL,37,FALSE)-50))</f>
        <v>302</v>
      </c>
      <c r="AM409" s="28" t="str">
        <f>VLOOKUP(A409,Classification!A:B,2,FALSE)</f>
        <v>T</v>
      </c>
      <c r="AN409" s="28" t="b">
        <f t="shared" si="224"/>
        <v>1</v>
      </c>
      <c r="AO409" s="3" t="str">
        <f>IF(ISERROR(MATCH(A409,'SegEnds_Xtal_Prot#'!B:B, 0)), "NoXtal", "Xtal")</f>
        <v>NoXtal</v>
      </c>
      <c r="AP409" s="3">
        <f t="shared" si="209"/>
        <v>1</v>
      </c>
      <c r="AQ409" s="3">
        <f t="shared" si="210"/>
        <v>1</v>
      </c>
      <c r="AR409" s="3" t="str">
        <f t="shared" si="211"/>
        <v>-</v>
      </c>
      <c r="AS409" s="3" t="str">
        <f t="shared" si="212"/>
        <v>-</v>
      </c>
      <c r="AT409" s="3">
        <f t="shared" si="213"/>
        <v>3</v>
      </c>
      <c r="AU409" s="3">
        <f t="shared" si="214"/>
        <v>1</v>
      </c>
      <c r="AV409" s="3" t="str">
        <f t="shared" si="215"/>
        <v>-</v>
      </c>
      <c r="AW409" s="3" t="str">
        <f t="shared" si="216"/>
        <v>-</v>
      </c>
      <c r="AX409" s="3">
        <f t="shared" si="217"/>
        <v>10</v>
      </c>
      <c r="AY409" s="3">
        <f t="shared" si="218"/>
        <v>6</v>
      </c>
      <c r="AZ409" s="3">
        <f t="shared" si="219"/>
        <v>1</v>
      </c>
      <c r="BA409" s="3">
        <f>IF(ISERROR(LEN(VLOOKUP(A409,Seqs!A:E,2,FALSE))-AL409),"-",LEN(VLOOKUP(A409,Seqs!A:E,2,FALSE))-AL409)</f>
        <v>16</v>
      </c>
      <c r="BB409" s="16">
        <f t="shared" si="220"/>
        <v>31</v>
      </c>
      <c r="BC409" s="9">
        <f t="shared" si="221"/>
        <v>20</v>
      </c>
      <c r="BD409" s="3">
        <f t="shared" si="222"/>
        <v>31</v>
      </c>
      <c r="BE409" s="3">
        <f t="shared" si="223"/>
        <v>53</v>
      </c>
      <c r="BF409" s="3">
        <f t="shared" si="208"/>
        <v>36</v>
      </c>
    </row>
    <row r="410" spans="1:58" s="3" customFormat="1" x14ac:dyDescent="0.2">
      <c r="A410" s="3" t="s">
        <v>479</v>
      </c>
      <c r="B410" s="3" t="str">
        <f>LOWER(VLOOKUP(A410,Xtal_Templ!A:B,2,FALSE))</f>
        <v>drd2_human</v>
      </c>
      <c r="C410" s="3">
        <f>VLOOKUP($A410,'SegEnds_NonXtal_BW#'!$A:$Z,3,FALSE)+D410-50</f>
        <v>6</v>
      </c>
      <c r="D410" s="3">
        <v>24</v>
      </c>
      <c r="E410" s="3">
        <f t="shared" si="203"/>
        <v>36</v>
      </c>
      <c r="F410" s="3">
        <f t="shared" si="204"/>
        <v>37</v>
      </c>
      <c r="G410" s="3">
        <v>39</v>
      </c>
      <c r="H410" s="3">
        <f t="shared" si="205"/>
        <v>40</v>
      </c>
      <c r="I410" s="3">
        <f t="shared" si="205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75</v>
      </c>
      <c r="P410" s="3">
        <v>107</v>
      </c>
      <c r="Q410" s="3">
        <f>VLOOKUP($A410,'SegEnds_NonXtal_BW#'!$A:$Z,12,FALSE)+VLOOKUP($A410,A:AL,16,FALSE)-50</f>
        <v>113</v>
      </c>
      <c r="R410" s="3">
        <f t="shared" si="206"/>
        <v>116</v>
      </c>
      <c r="S410" s="3">
        <v>116</v>
      </c>
      <c r="T410" s="100">
        <f t="shared" si="207"/>
        <v>123</v>
      </c>
      <c r="U410" s="9">
        <f>IF(ISERROR(VLOOKUP($A410,'SegEnds_NonXtal_BW#'!$A:$Z,15,FALSE)+VLOOKUP($A410,A:AL,22,FALSE)-50),"-",VLOOKUP($A410,'SegEnds_NonXtal_BW#'!$A:$Z,15,FALSE)+VLOOKUP($A410,A:AL,22,FALSE)-50)</f>
        <v>124</v>
      </c>
      <c r="V410" s="3">
        <v>136</v>
      </c>
      <c r="W410" s="3">
        <f>IF(ISERROR(VLOOKUP($A410,'SegEnds_NonXtal_BW#'!$A:$Z,16,FALSE)+VLOOKUP($A410,A:AL,22,FALSE)-50),"-",(VLOOKUP($A410,'SegEnds_NonXtal_BW#'!$A:$Z,16,FALSE)+VLOOKUP($A410,A:AL,22,FALSE)-50))</f>
        <v>148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175</v>
      </c>
      <c r="AB410" s="3">
        <v>193</v>
      </c>
      <c r="AC410" s="3">
        <f>IF(ISERROR((VLOOKUP($A410,'SegEnds_NonXtal_BW#'!$A:$Z,20,FALSE)+VLOOKUP($A410,A:AL,28,FALSE)-50)),"-",(VLOOKUP($A410,'SegEnds_NonXtal_BW#'!$A:$Z,20,FALSE)+VLOOKUP($A410,A:AL,28,FALSE)-50))</f>
        <v>215</v>
      </c>
      <c r="AD410" s="3">
        <f>IF(ISERROR(VLOOKUP($A410,'SegEnds_NonXtal_BW#'!$A:$Z,21,FALSE)+VLOOKUP($A410,A:AL,31,FALSE)-50),"-",(VLOOKUP($A410,'SegEnds_NonXtal_BW#'!$A:$Z,21,FALSE)+VLOOKUP($A410,A:AL,31,FALSE)-50))</f>
        <v>225</v>
      </c>
      <c r="AE410" s="3">
        <v>246</v>
      </c>
      <c r="AF410" s="3">
        <f>IF(ISERROR((VLOOKUP($A410,'SegEnds_NonXtal_BW#'!$A:$Z,22,FALSE)+VLOOKUP($A410,A:AL,31,FALSE)-50)),"-",(VLOOKUP($A410,'SegEnds_NonXtal_BW#'!$A:$Z,22,FALSE)+VLOOKUP($A410,A:AL,31,FALSE)-50))</f>
        <v>257</v>
      </c>
      <c r="AG410" s="3">
        <f>IF(ISERROR(VLOOKUP($A410,'SegEnds_NonXtal_BW#'!$A:$Z,23,FALSE)+VLOOKUP($A410,A:AL,34,FALSE)-50),"-",(VLOOKUP($A410,'SegEnds_NonXtal_BW#'!$A:$Z,23,FALSE)+VLOOKUP($A410,A:AL,34,FALSE)-50))</f>
        <v>263</v>
      </c>
      <c r="AH410" s="3">
        <v>282</v>
      </c>
      <c r="AI410" s="3">
        <f>IF(ISERROR((VLOOKUP($A410,'SegEnds_NonXtal_BW#'!$A:$Z,24,FALSE)+VLOOKUP($A410,A:AL,34,FALSE)-50)),"-",(VLOOKUP($A410,'SegEnds_NonXtal_BW#'!$A:$Z,24,FALSE)+VLOOKUP($A410,A:AL,34,FALSE)-50))</f>
        <v>288</v>
      </c>
      <c r="AJ410" s="3">
        <f>IF(ISERROR(VLOOKUP($A410,'SegEnds_NonXtal_BW#'!$A:$Z,25,FALSE)+VLOOKUP($A410,A:AL,37,FALSE)-50),"-",(VLOOKUP($A410,'SegEnds_NonXtal_BW#'!$A:$Z,25,FALSE)+VLOOKUP($A410,A:AL,37,FALSE)-50))</f>
        <v>289</v>
      </c>
      <c r="AK410" s="3">
        <v>292</v>
      </c>
      <c r="AL410" s="3">
        <f>IF(ISERROR((VLOOKUP($A410,'SegEnds_NonXtal_BW#'!$A:$Z,26,FALSE)+VLOOKUP($A410,A:AL,37,FALSE)-50)),"-",(VLOOKUP($A410,'SegEnds_NonXtal_BW#'!$A:$Z,26,FALSE)+VLOOKUP($A410,A:AL,37,FALSE)-50))</f>
        <v>302</v>
      </c>
      <c r="AM410" s="28" t="str">
        <f>VLOOKUP(A410,Classification!A:B,2,FALSE)</f>
        <v>T</v>
      </c>
      <c r="AN410" s="28" t="b">
        <f t="shared" si="224"/>
        <v>1</v>
      </c>
      <c r="AO410" s="3" t="str">
        <f>IF(ISERROR(MATCH(A410,'SegEnds_Xtal_Prot#'!B:B, 0)), "NoXtal", "Xtal")</f>
        <v>NoXtal</v>
      </c>
      <c r="AP410" s="3">
        <f t="shared" si="209"/>
        <v>1</v>
      </c>
      <c r="AQ410" s="3">
        <f t="shared" si="210"/>
        <v>1</v>
      </c>
      <c r="AR410" s="3" t="str">
        <f t="shared" si="211"/>
        <v>-</v>
      </c>
      <c r="AS410" s="3" t="str">
        <f t="shared" si="212"/>
        <v>-</v>
      </c>
      <c r="AT410" s="3">
        <f t="shared" si="213"/>
        <v>3</v>
      </c>
      <c r="AU410" s="3">
        <f t="shared" si="214"/>
        <v>1</v>
      </c>
      <c r="AV410" s="3" t="str">
        <f t="shared" si="215"/>
        <v>-</v>
      </c>
      <c r="AW410" s="3" t="str">
        <f t="shared" si="216"/>
        <v>-</v>
      </c>
      <c r="AX410" s="3">
        <f t="shared" si="217"/>
        <v>10</v>
      </c>
      <c r="AY410" s="3">
        <f t="shared" si="218"/>
        <v>6</v>
      </c>
      <c r="AZ410" s="3">
        <f t="shared" si="219"/>
        <v>1</v>
      </c>
      <c r="BA410" s="3">
        <f>IF(ISERROR(LEN(VLOOKUP(A410,Seqs!A:E,2,FALSE))-AL410),"-",LEN(VLOOKUP(A410,Seqs!A:E,2,FALSE))-AL410)</f>
        <v>7</v>
      </c>
      <c r="BB410" s="16">
        <f t="shared" si="220"/>
        <v>31</v>
      </c>
      <c r="BC410" s="9">
        <f t="shared" si="221"/>
        <v>20</v>
      </c>
      <c r="BD410" s="3">
        <f t="shared" si="222"/>
        <v>31</v>
      </c>
      <c r="BE410" s="3">
        <f t="shared" si="223"/>
        <v>53</v>
      </c>
      <c r="BF410" s="3">
        <f t="shared" si="208"/>
        <v>36</v>
      </c>
    </row>
    <row r="411" spans="1:58" s="3" customFormat="1" x14ac:dyDescent="0.2">
      <c r="A411" s="3" t="s">
        <v>480</v>
      </c>
      <c r="B411" s="3" t="str">
        <f>LOWER(VLOOKUP(A411,Xtal_Templ!A:B,2,FALSE))</f>
        <v>agtr1_human</v>
      </c>
      <c r="C411" s="3">
        <f>VLOOKUP($A411,'SegEnds_NonXtal_BW#'!$A:$Z,3,FALSE)+D411-50</f>
        <v>6</v>
      </c>
      <c r="D411" s="3">
        <v>24</v>
      </c>
      <c r="E411" s="3">
        <f t="shared" si="203"/>
        <v>36</v>
      </c>
      <c r="F411" s="3">
        <f t="shared" si="204"/>
        <v>37</v>
      </c>
      <c r="G411" s="3">
        <v>39</v>
      </c>
      <c r="H411" s="3">
        <f t="shared" si="205"/>
        <v>40</v>
      </c>
      <c r="I411" s="3">
        <f t="shared" si="205"/>
        <v>41</v>
      </c>
      <c r="J411" s="3">
        <v>55</v>
      </c>
      <c r="K411" s="3">
        <f>VLOOKUP($A411,'SegEnds_NonXtal_BW#'!$A:$Z,8,FALSE)+VLOOKUP($A411,A:AL,10,FALSE)-50</f>
        <v>71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75</v>
      </c>
      <c r="P411" s="3">
        <v>107</v>
      </c>
      <c r="Q411" s="3">
        <f>VLOOKUP($A411,'SegEnds_NonXtal_BW#'!$A:$Z,12,FALSE)+VLOOKUP($A411,A:AL,16,FALSE)-50</f>
        <v>113</v>
      </c>
      <c r="R411" s="3">
        <f t="shared" si="206"/>
        <v>116</v>
      </c>
      <c r="S411" s="3">
        <v>116</v>
      </c>
      <c r="T411" s="100">
        <f t="shared" si="207"/>
        <v>123</v>
      </c>
      <c r="U411" s="9">
        <f>IF(ISERROR(VLOOKUP($A411,'SegEnds_NonXtal_BW#'!$A:$Z,15,FALSE)+VLOOKUP($A411,A:AL,22,FALSE)-50),"-",VLOOKUP($A411,'SegEnds_NonXtal_BW#'!$A:$Z,15,FALSE)+VLOOKUP($A411,A:AL,22,FALSE)-50)</f>
        <v>124</v>
      </c>
      <c r="V411" s="3">
        <v>136</v>
      </c>
      <c r="W411" s="3">
        <f>IF(ISERROR(VLOOKUP($A411,'SegEnds_NonXtal_BW#'!$A:$Z,16,FALSE)+VLOOKUP($A411,A:AL,22,FALSE)-50),"-",(VLOOKUP($A411,'SegEnds_NonXtal_BW#'!$A:$Z,16,FALSE)+VLOOKUP($A411,A:AL,22,FALSE)-50))</f>
        <v>150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172</v>
      </c>
      <c r="AB411" s="3">
        <v>190</v>
      </c>
      <c r="AC411" s="3">
        <f>IF(ISERROR((VLOOKUP($A411,'SegEnds_NonXtal_BW#'!$A:$Z,20,FALSE)+VLOOKUP($A411,A:AL,28,FALSE)-50)),"-",(VLOOKUP($A411,'SegEnds_NonXtal_BW#'!$A:$Z,20,FALSE)+VLOOKUP($A411,A:AL,28,FALSE)-50))</f>
        <v>212</v>
      </c>
      <c r="AD411" s="3">
        <f>IF(ISERROR(VLOOKUP($A411,'SegEnds_NonXtal_BW#'!$A:$Z,21,FALSE)+VLOOKUP($A411,A:AL,31,FALSE)-50),"-",(VLOOKUP($A411,'SegEnds_NonXtal_BW#'!$A:$Z,21,FALSE)+VLOOKUP($A411,A:AL,31,FALSE)-50))</f>
        <v>222</v>
      </c>
      <c r="AE411" s="3">
        <v>243</v>
      </c>
      <c r="AF411" s="3">
        <f>IF(ISERROR((VLOOKUP($A411,'SegEnds_NonXtal_BW#'!$A:$Z,22,FALSE)+VLOOKUP($A411,A:AL,31,FALSE)-50)),"-",(VLOOKUP($A411,'SegEnds_NonXtal_BW#'!$A:$Z,22,FALSE)+VLOOKUP($A411,A:AL,31,FALSE)-50))</f>
        <v>254</v>
      </c>
      <c r="AG411" s="3">
        <f>IF(ISERROR(VLOOKUP($A411,'SegEnds_NonXtal_BW#'!$A:$Z,23,FALSE)+VLOOKUP($A411,A:AL,34,FALSE)-50),"-",(VLOOKUP($A411,'SegEnds_NonXtal_BW#'!$A:$Z,23,FALSE)+VLOOKUP($A411,A:AL,34,FALSE)-50))</f>
        <v>260</v>
      </c>
      <c r="AH411" s="3">
        <v>279</v>
      </c>
      <c r="AI411" s="3">
        <f>IF(ISERROR((VLOOKUP($A411,'SegEnds_NonXtal_BW#'!$A:$Z,24,FALSE)+VLOOKUP($A411,A:AL,34,FALSE)-50)),"-",(VLOOKUP($A411,'SegEnds_NonXtal_BW#'!$A:$Z,24,FALSE)+VLOOKUP($A411,A:AL,34,FALSE)-50))</f>
        <v>285</v>
      </c>
      <c r="AJ411" s="3">
        <f>IF(ISERROR(VLOOKUP($A411,'SegEnds_NonXtal_BW#'!$A:$Z,25,FALSE)+VLOOKUP($A411,A:AL,37,FALSE)-50),"-",(VLOOKUP($A411,'SegEnds_NonXtal_BW#'!$A:$Z,25,FALSE)+VLOOKUP($A411,A:AL,37,FALSE)-50))</f>
        <v>286</v>
      </c>
      <c r="AK411" s="3">
        <v>289</v>
      </c>
      <c r="AL411" s="3">
        <f>IF(ISERROR((VLOOKUP($A411,'SegEnds_NonXtal_BW#'!$A:$Z,26,FALSE)+VLOOKUP($A411,A:AL,37,FALSE)-50)),"-",(VLOOKUP($A411,'SegEnds_NonXtal_BW#'!$A:$Z,26,FALSE)+VLOOKUP($A411,A:AL,37,FALSE)-50))</f>
        <v>299</v>
      </c>
      <c r="AM411" s="28" t="str">
        <f>VLOOKUP(A411,Classification!A:B,2,FALSE)</f>
        <v>T</v>
      </c>
      <c r="AN411" s="28" t="b">
        <f t="shared" si="224"/>
        <v>1</v>
      </c>
      <c r="AO411" s="3" t="str">
        <f>IF(ISERROR(MATCH(A411,'SegEnds_Xtal_Prot#'!B:B, 0)), "NoXtal", "Xtal")</f>
        <v>NoXtal</v>
      </c>
      <c r="AP411" s="3">
        <f t="shared" si="209"/>
        <v>1</v>
      </c>
      <c r="AQ411" s="3">
        <f t="shared" si="210"/>
        <v>1</v>
      </c>
      <c r="AR411" s="3" t="str">
        <f t="shared" si="211"/>
        <v>-</v>
      </c>
      <c r="AS411" s="3" t="str">
        <f t="shared" si="212"/>
        <v>-</v>
      </c>
      <c r="AT411" s="3">
        <f t="shared" si="213"/>
        <v>3</v>
      </c>
      <c r="AU411" s="3">
        <f t="shared" si="214"/>
        <v>1</v>
      </c>
      <c r="AV411" s="3" t="str">
        <f t="shared" si="215"/>
        <v>-</v>
      </c>
      <c r="AW411" s="3" t="str">
        <f t="shared" si="216"/>
        <v>-</v>
      </c>
      <c r="AX411" s="3">
        <f t="shared" si="217"/>
        <v>10</v>
      </c>
      <c r="AY411" s="3">
        <f t="shared" si="218"/>
        <v>6</v>
      </c>
      <c r="AZ411" s="3">
        <f t="shared" si="219"/>
        <v>1</v>
      </c>
      <c r="BA411" s="3">
        <f>IF(ISERROR(LEN(VLOOKUP(A411,Seqs!A:E,2,FALSE))-AL411),"-",LEN(VLOOKUP(A411,Seqs!A:E,2,FALSE))-AL411)</f>
        <v>13</v>
      </c>
      <c r="BB411" s="16">
        <f t="shared" si="220"/>
        <v>31</v>
      </c>
      <c r="BC411" s="9">
        <f t="shared" si="221"/>
        <v>20</v>
      </c>
      <c r="BD411" s="3">
        <f t="shared" si="222"/>
        <v>31</v>
      </c>
      <c r="BE411" s="3">
        <f t="shared" si="223"/>
        <v>53</v>
      </c>
      <c r="BF411" s="3">
        <f t="shared" si="208"/>
        <v>36</v>
      </c>
    </row>
    <row r="412" spans="1:58" s="3" customFormat="1" x14ac:dyDescent="0.2">
      <c r="T412" s="100"/>
      <c r="U412" s="9"/>
      <c r="AM412" s="28"/>
      <c r="AN412" s="16"/>
      <c r="BB412" s="16"/>
      <c r="BC412" s="9"/>
    </row>
    <row r="413" spans="1:58" s="3" customFormat="1" x14ac:dyDescent="0.2">
      <c r="T413" s="100"/>
      <c r="U413" s="9"/>
      <c r="AM413" s="28"/>
      <c r="AN413" s="16"/>
      <c r="BB413" s="16"/>
      <c r="BC413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1">
    <cfRule type="containsText" dxfId="30" priority="7" operator="containsText" text="FALSE">
      <formula>NOT(ISERROR(SEARCH("FALSE",AN2)))</formula>
    </cfRule>
  </conditionalFormatting>
  <conditionalFormatting sqref="AP1:BA1048576">
    <cfRule type="cellIs" dxfId="29" priority="5" operator="lessThan">
      <formula>1</formula>
    </cfRule>
  </conditionalFormatting>
  <conditionalFormatting sqref="E2:F411">
    <cfRule type="expression" dxfId="28" priority="25">
      <formula>NOT(OR(C2&lt;E2,C2="-",E2="-"))</formula>
    </cfRule>
  </conditionalFormatting>
  <conditionalFormatting sqref="K2:L2 K3 K4:L411">
    <cfRule type="expression" dxfId="27" priority="29">
      <formula>NOT(OR(G2&lt;K2,G2="-",K2="-"))</formula>
    </cfRule>
  </conditionalFormatting>
  <conditionalFormatting sqref="N2:O2 N4:N18 O3:O18 N19:O411">
    <cfRule type="expression" dxfId="26" priority="31">
      <formula>NOT(OR(I2&lt;N2,I2="-",N2="-"))</formula>
    </cfRule>
  </conditionalFormatting>
  <conditionalFormatting sqref="Q2:R411">
    <cfRule type="expression" dxfId="25" priority="33">
      <formula>NOT(OR(K2&lt;Q2,K2="-",Q2="-"))</formula>
    </cfRule>
  </conditionalFormatting>
  <conditionalFormatting sqref="T2:U411">
    <cfRule type="expression" dxfId="24" priority="35">
      <formula>NOT(OR(M2&lt;T2,M2="-",T2="-"))</formula>
    </cfRule>
  </conditionalFormatting>
  <conditionalFormatting sqref="W2:X411">
    <cfRule type="expression" dxfId="23" priority="37">
      <formula>NOT(OR(O2&lt;W2,O2="-",W2="-"))</formula>
    </cfRule>
  </conditionalFormatting>
  <conditionalFormatting sqref="Z2:AA411">
    <cfRule type="expression" dxfId="22" priority="39">
      <formula>NOT(OR(Q2&lt;Z2,Q2="-",Z2="-"))</formula>
    </cfRule>
  </conditionalFormatting>
  <conditionalFormatting sqref="AC2:AD411">
    <cfRule type="expression" dxfId="21" priority="41">
      <formula>NOT(OR(S2&lt;AC2,S2="-",AC2="-"))</formula>
    </cfRule>
  </conditionalFormatting>
  <conditionalFormatting sqref="AF2:AG411">
    <cfRule type="expression" dxfId="20" priority="43">
      <formula>NOT(OR(U2&lt;AF2,U2="-",AF2="-"))</formula>
    </cfRule>
  </conditionalFormatting>
  <conditionalFormatting sqref="AI2:AJ411">
    <cfRule type="expression" dxfId="19" priority="45">
      <formula>NOT(OR(W2&lt;AI2,W2="-",AI2="-"))</formula>
    </cfRule>
  </conditionalFormatting>
  <conditionalFormatting sqref="AL2:AL411">
    <cfRule type="expression" dxfId="18" priority="47">
      <formula>NOT(OR(Y2&lt;AL2,Y2="-",AL2="-"))</formula>
    </cfRule>
  </conditionalFormatting>
  <conditionalFormatting sqref="L3">
    <cfRule type="expression" dxfId="17" priority="3">
      <formula>NOT(OR(H3&lt;L3,H3="-",L3="-"))</formula>
    </cfRule>
  </conditionalFormatting>
  <conditionalFormatting sqref="N3">
    <cfRule type="expression" dxfId="16" priority="4">
      <formula>NOT(OR(I3&lt;N3,I3="-",N3="-"))</formula>
    </cfRule>
  </conditionalFormatting>
  <conditionalFormatting sqref="F2">
    <cfRule type="cellIs" dxfId="15" priority="2" operator="lessThan">
      <formula>$E$2</formula>
    </cfRule>
  </conditionalFormatting>
  <conditionalFormatting sqref="AN1:AN1048576">
    <cfRule type="cellIs" dxfId="14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4"/>
  <sheetViews>
    <sheetView zoomScale="120" zoomScaleNormal="120" zoomScalePageLayoutView="120" workbookViewId="0">
      <pane ySplit="1" topLeftCell="A196" activePane="bottomLeft" state="frozenSplit"/>
      <selection pane="bottomLeft" activeCell="H216" sqref="H216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1204</v>
      </c>
      <c r="C1" s="30" t="s">
        <v>99</v>
      </c>
      <c r="D1" s="30" t="s">
        <v>1227</v>
      </c>
      <c r="E1" s="30" t="s">
        <v>1470</v>
      </c>
      <c r="F1" s="55" t="s">
        <v>13</v>
      </c>
      <c r="G1" s="20" t="s">
        <v>5</v>
      </c>
      <c r="H1" s="4" t="s">
        <v>1364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1320</v>
      </c>
      <c r="P1" s="53" t="s">
        <v>1324</v>
      </c>
      <c r="Q1" s="53" t="s">
        <v>1367</v>
      </c>
      <c r="R1" s="20" t="s">
        <v>9</v>
      </c>
      <c r="S1" s="20" t="s">
        <v>1323</v>
      </c>
      <c r="T1" s="20" t="s">
        <v>12</v>
      </c>
      <c r="U1" s="20" t="s">
        <v>1325</v>
      </c>
      <c r="V1" s="26" t="s">
        <v>1310</v>
      </c>
      <c r="W1" s="30" t="s">
        <v>1311</v>
      </c>
      <c r="X1" s="30" t="s">
        <v>1312</v>
      </c>
      <c r="Y1" s="30" t="s">
        <v>1313</v>
      </c>
      <c r="Z1" s="30" t="s">
        <v>1314</v>
      </c>
      <c r="AA1" s="103" t="s">
        <v>1384</v>
      </c>
      <c r="AB1" s="26" t="s">
        <v>1315</v>
      </c>
      <c r="AC1" s="26" t="s">
        <v>1316</v>
      </c>
      <c r="AD1" s="26" t="s">
        <v>1317</v>
      </c>
      <c r="AE1" s="26" t="s">
        <v>1318</v>
      </c>
      <c r="AF1" s="30" t="s">
        <v>1319</v>
      </c>
      <c r="AG1" s="26" t="s">
        <v>1321</v>
      </c>
      <c r="AH1" s="30" t="s">
        <v>1322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adrb2_human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LOWER(VLOOKUP(A14,Xtal_Templ!A:B,2,FALSE))</f>
        <v>drd2_human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LOWER(VLOOKUP(A15,Xtal_Templ!A:B,2,FALSE))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5ht2a_human</v>
      </c>
      <c r="C21" s="2" t="str">
        <f>VLOOKUP(A21,Classification!A:D,2,FALSE)</f>
        <v>A</v>
      </c>
      <c r="D21" s="2" t="str">
        <f>IF(ISERROR(MATCH(A21,'SegEnds_Xtal_Prot#'!B:B, 0)), "NoXtal", "Xtal")</f>
        <v>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1470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LOWER(VLOOKUP(A24,Xtal_Templ!A:B,2,FALSE))</f>
        <v>5ht2a_human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1320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1320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1320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1320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LOWER(VLOOKUP(A35,Xtal_Templ!A:B,2,FALSE))</f>
        <v>ta2r_human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adrb2_human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adrb2_human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LOWER(VLOOKUP(A57,Xtal_Templ!A:B,2,FALSE))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LOWER(VLOOKUP(A59,Xtal_Templ!A:B,2,FALSE))</f>
        <v>mtr1a_human</v>
      </c>
      <c r="C59" s="2" t="str">
        <f>VLOOKUP(A59,Classification!A:D,2,FALSE)</f>
        <v>A</v>
      </c>
      <c r="D59" s="2" t="str">
        <f>IF(ISERROR(MATCH(A59,'SegEnds_Xtal_Prot#'!B:B, 0)), "NoXtal", "Xtal")</f>
        <v>Xtal</v>
      </c>
      <c r="G59" s="2" t="s">
        <v>5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LOWER(VLOOKUP(A75,Xtal_Templ!A:B,2,FALSE))</f>
        <v>apj_human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LOWER(VLOOKUP(A79,Xtal_Templ!A:B,2,FALSE))</f>
        <v>pd2r2_human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LOWER(VLOOKUP(A82,Xtal_Templ!A:B,2,FALSE))</f>
        <v>ptafr_human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LOWER(VLOOKUP(A84,Xtal_Templ!A:B,2,FALSE))</f>
        <v>oprd_human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ccr2_human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ccr2_human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cnr2_human</v>
      </c>
      <c r="C105" s="2" t="str">
        <f>VLOOKUP(A105,Classification!A:D,2,FALSE)</f>
        <v>A</v>
      </c>
      <c r="D105" s="2" t="str">
        <f>IF(ISERROR(MATCH(A105,'SegEnds_Xtal_Prot#'!B:B, 0)), "NoXtal", "Xtal")</f>
        <v>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LOWER(VLOOKUP(A110,Xtal_Templ!A:B,2,FALSE))</f>
        <v>pd2r2_human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LOWER(VLOOKUP(A111,Xtal_Templ!A:B,2,FALSE))</f>
        <v>pd2r2_human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LOWER(VLOOKUP(A112,Xtal_Templ!A:B,2,FALSE))</f>
        <v>pd2r2_human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LOWER(VLOOKUP(A120,Xtal_Templ!A:B,2,FALSE))</f>
        <v>drd2_human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LOWER(VLOOKUP(A122,Xtal_Templ!A:B,2,FALSE))</f>
        <v>pe2r4_human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1323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1323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LOWER(VLOOKUP(A132,Xtal_Templ!A:B,2,FALSE))</f>
        <v>p2y12_human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LOWER(VLOOKUP(A133,Xtal_Templ!A:B,2,FALSE))</f>
        <v>5ht2c_human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1441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1452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2"/>
      <c r="G140" s="122"/>
      <c r="H140" s="122"/>
      <c r="I140" s="122"/>
      <c r="J140" s="122"/>
      <c r="K140" s="122"/>
      <c r="L140" s="122"/>
      <c r="M140" s="122"/>
      <c r="N140" s="123" t="s">
        <v>14</v>
      </c>
      <c r="O140" s="122"/>
      <c r="P140" s="122"/>
      <c r="Q140" s="122"/>
      <c r="R140" s="122" t="s">
        <v>9</v>
      </c>
      <c r="S140" s="122"/>
      <c r="T140" s="122" t="s">
        <v>12</v>
      </c>
      <c r="U140" s="122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LOWER(VLOOKUP(A143,Xtal_Templ!A:B,2,FALSE))</f>
        <v>pd2r2_human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914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LOWER(VLOOKUP(A151,Xtal_Templ!A:B,2,FALSE))</f>
        <v>pe2r4_human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916</v>
      </c>
      <c r="B156" s="2" t="str">
        <f>LOWER(VLOOKUP(A156,Xtal_Templ!A:B,2,FALSE))</f>
        <v>oprd_mouse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LOWER(VLOOKUP(A157,Xtal_Templ!A:B,2,FALSE))</f>
        <v>pd2r2_human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LOWER(VLOOKUP(A158,Xtal_Templ!A:B,2,FALSE))</f>
        <v>oprk_human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1323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LOWER(VLOOKUP(A161,Xtal_Templ!A:B,2,FALSE))</f>
        <v>oprk_human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LOWER(VLOOKUP(A162,Xtal_Templ!A:B,2,FALSE))</f>
        <v>par2_human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LOWER(VLOOKUP(A164,Xtal_Templ!A:B,2,FALSE))</f>
        <v>pd2r2_human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6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918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LOWER(VLOOKUP(A175,Xtal_Templ!A:B,2,FALSE))</f>
        <v>par1_human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LOWER(VLOOKUP(A176,Xtal_Templ!A:B,2,FALSE))</f>
        <v>5ht2a_human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LOWER(VLOOKUP(A179,Xtal_Templ!A:B,2,FALSE))</f>
        <v>oprd_human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LOWER(VLOOKUP(A183,Xtal_Templ!A:B,2,FALSE))</f>
        <v>ccr5_human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LOWER(VLOOKUP(A184,Xtal_Templ!A:B,2,FALSE))</f>
        <v>mtr1b_human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LOWER(VLOOKUP(A185,Xtal_Templ!A:B,2,FALSE))</f>
        <v>mtr1b_human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920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920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LOWER(VLOOKUP(A190,Xtal_Templ!A:B,2,FALSE))</f>
        <v>mtr1a_human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LOWER(VLOOKUP(A194,Xtal_Templ!A:B,2,FALSE))</f>
        <v>opsd_bovin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922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1364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LOWER(VLOOKUP(A196,Xtal_Templ!A:B,2,FALSE))</f>
        <v>mtr1a_human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LOWER(VLOOKUP(A197,Xtal_Templ!A:B,2,FALSE))</f>
        <v>cxcr4_human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LOWER(VLOOKUP(A200,Xtal_Templ!A:B,2,FALSE))</f>
        <v>ednrb_human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LOWER(VLOOKUP(A201,Xtal_Templ!A:B,2,FALSE))</f>
        <v>nk1r_human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LOWER(VLOOKUP(A202,Xtal_Templ!A:B,2,FALSE))</f>
        <v>ox2r_human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1175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LOWER(VLOOKUP(A205,Xtal_Templ!A:B,2,FALSE))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LOWER(VLOOKUP(A210,Xtal_Templ!A:B,2,FALSE))</f>
        <v>ox2r_human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LOWER(VLOOKUP(A212,Xtal_Templ!A:B,2,FALSE))</f>
        <v>5ht2a_human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LOWER(VLOOKUP(A214,Xtal_Templ!A:B,2,FALSE))</f>
        <v>5ht2b_human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LOWER(VLOOKUP(A216,Xtal_Templ!A:B,2,FALSE))</f>
        <v>mtr1b_human</v>
      </c>
      <c r="C216" s="2" t="str">
        <f>VLOOKUP(A216,Classification!A:D,2,FALSE)</f>
        <v>A</v>
      </c>
      <c r="D216" s="2" t="str">
        <f>IF(ISERROR(MATCH(A216,'SegEnds_Xtal_Prot#'!B:B, 0)), "NoXtal", "Xtal")</f>
        <v>Xtal</v>
      </c>
      <c r="G216" s="2" t="s">
        <v>5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LOWER(VLOOKUP(A217,Xtal_Templ!A:B,2,FALSE))</f>
        <v>mtr1a_human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LOWER(VLOOKUP(A218,Xtal_Templ!A:B,2,FALSE))</f>
        <v>nk1r_human</v>
      </c>
      <c r="C218" s="2" t="str">
        <f>VLOOKUP(A218,Classification!A:D,2,FALSE)</f>
        <v>A</v>
      </c>
      <c r="D218" s="2" t="str">
        <f>IF(ISERROR(MATCH(A218,'SegEnds_Xtal_Prot#'!B:B, 0)), "NoXtal", "Xtal")</f>
        <v>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LOWER(VLOOKUP(A222,Xtal_Templ!A:B,2,FALSE))</f>
        <v>npy1r_human</v>
      </c>
      <c r="C222" s="2" t="str">
        <f>VLOOKUP(A222,Classification!A:D,2,FALSE)</f>
        <v>A</v>
      </c>
      <c r="D222" s="2" t="str">
        <f>IF(ISERROR(MATCH(A222,'SegEnds_Xtal_Prot#'!B:B, 0)), "NoXtal", "Xtal")</f>
        <v>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1176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LOWER(VLOOKUP(A227,Xtal_Templ!A:B,2,FALSE))</f>
        <v>pe2r4_human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LOWER(VLOOKUP(A228,Xtal_Templ!A:B,2,FALSE))</f>
        <v>npy1r_human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LOWER(VLOOKUP(A229,Xtal_Templ!A:B,2,FALSE))</f>
        <v>npy1r_human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ptafr_human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H232" s="4"/>
      <c r="N232" s="2" t="s">
        <v>14</v>
      </c>
      <c r="R232" s="2" t="s">
        <v>9</v>
      </c>
      <c r="S232" s="106"/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LOWER(VLOOKUP(A234,Xtal_Templ!A:B,2,FALSE))</f>
        <v>par2_human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LOWER(VLOOKUP(A236,Xtal_Templ!A:B,2,FALSE))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LOWER(VLOOKUP(A237,Xtal_Templ!A:B,2,FALSE))</f>
        <v>apj_human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LOWER(VLOOKUP(A238,Xtal_Templ!A:B,2,FALSE))</f>
        <v>oprd_mouse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LOWER(VLOOKUP(A239,Xtal_Templ!A:B,2,FALSE))</f>
        <v>ptafr_human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S239" s="106"/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LOWER(VLOOKUP(A244,Xtal_Templ!A:B,2,FALSE))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LOWER(VLOOKUP(A245,Xtal_Templ!A:B,2,FALSE))</f>
        <v>ptafr_human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S245" s="106"/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LOWER(VLOOKUP(A248,Xtal_Templ!A:B,2,FALSE))</f>
        <v>c5ar1_human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1323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1323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1323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1323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LOWER(VLOOKUP(A256,Xtal_Templ!A:B,2,FALSE))</f>
        <v>ptafr_human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1323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1323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LOWER(VLOOKUP(A258,Xtal_Templ!A:B,2,FALSE))</f>
        <v>ptafr_human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106"/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229</v>
      </c>
      <c r="B260" s="2" t="str">
        <f>LOWER(VLOOKUP(A260,Xtal_Templ!A:B,2,FALSE))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A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V</v>
      </c>
      <c r="AA260" s="49" t="str">
        <f>MID(VLOOKUP($A260,Seqs!$A:$B,2,FALSE),VLOOKUP($A260,'SegEnds_NonXtal_Prot#'!A:AL,10,FALSE)+10,1)</f>
        <v>K</v>
      </c>
      <c r="AB260" s="28" t="str">
        <f>MID(VLOOKUP($A260,Seqs!$A:$B,2,FALSE),VLOOKUP($A260,'SegEnds_NonXtal_Prot#'!$A:$AL,22,FALSE)+6,1)</f>
        <v>I</v>
      </c>
      <c r="AC260" s="49" t="str">
        <f>MID(VLOOKUP($A260,Seqs!$A:$B,2,FALSE),VLOOKUP($A260,'SegEnds_NonXtal_Prot#'!$A:$AL,22,FALSE)+7,1)</f>
        <v>M</v>
      </c>
      <c r="AD260" s="49" t="str">
        <f>MID(VLOOKUP($A260,Seqs!$A:$B,2,FALSE),VLOOKUP($A260,'SegEnds_NonXtal_Prot#'!$A:$AL,22,FALSE)+8,1)</f>
        <v>V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N</v>
      </c>
      <c r="AG260" s="28" t="str">
        <f>MID(VLOOKUP($A260,Seqs!$A:$B,2,FALSE),VLOOKUP($A260,'SegEnds_NonXtal_Prot#'!$A:$AL,28,FALSE)-4,1)</f>
        <v>I</v>
      </c>
      <c r="AH260" s="49" t="str">
        <f>MID(VLOOKUP($A260,Seqs!$A:$B,2,FALSE),VLOOKUP($A260,'SegEnds_NonXtal_Prot#'!$A:$AL,28,FALSE),1)</f>
        <v>F</v>
      </c>
    </row>
    <row r="261" spans="1:34" s="2" customFormat="1" x14ac:dyDescent="0.2">
      <c r="A261" s="2" t="s">
        <v>234</v>
      </c>
      <c r="B261" s="2" t="str">
        <f>LOWER(VLOOKUP(A261,Xtal_Templ!A:B,2,FALSE))</f>
        <v>oprk_human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T</v>
      </c>
      <c r="AA261" s="49" t="str">
        <f>MID(VLOOKUP($A261,Seqs!$A:$B,2,FALSE),VLOOKUP($A261,'SegEnds_NonXtal_Prot#'!A:AL,10,FALSE)+10,1)</f>
        <v>R</v>
      </c>
      <c r="AB261" s="28" t="str">
        <f>MID(VLOOKUP($A261,Seqs!$A:$B,2,FALSE),VLOOKUP($A261,'SegEnds_NonXtal_Prot#'!$A:$AL,22,FALSE)+6,1)</f>
        <v>Q</v>
      </c>
      <c r="AC261" s="49" t="str">
        <f>MID(VLOOKUP($A261,Seqs!$A:$B,2,FALSE),VLOOKUP($A261,'SegEnds_NonXtal_Prot#'!$A:$AL,22,FALSE)+7,1)</f>
        <v>T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L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253</v>
      </c>
      <c r="B262" s="2" t="str">
        <f>LOWER(VLOOKUP(A262,Xtal_Templ!A:B,2,FALSE))</f>
        <v>ptafr_human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S262" s="106"/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C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F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G</v>
      </c>
      <c r="AC262" s="49" t="str">
        <f>MID(VLOOKUP($A262,Seqs!$A:$B,2,FALSE),VLOOKUP($A262,'SegEnds_NonXtal_Prot#'!$A:$AL,22,FALSE)+7,1)</f>
        <v>F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T</v>
      </c>
      <c r="AF262" s="49" t="str">
        <f>MID(VLOOKUP($A262,Seqs!$A:$B,2,FALSE),VLOOKUP($A262,'SegEnds_NonXtal_Prot#'!$A:$AL,22,FALSE)+10,1)</f>
        <v>M</v>
      </c>
      <c r="AG262" s="28" t="str">
        <f>MID(VLOOKUP($A262,Seqs!$A:$B,2,FALSE),VLOOKUP($A262,'SegEnds_NonXtal_Prot#'!$A:$AL,28,FALSE)-4,1)</f>
        <v>M</v>
      </c>
      <c r="AH262" s="49" t="str">
        <f>MID(VLOOKUP($A262,Seqs!$A:$B,2,FALSE),VLOOKUP($A262,'SegEnds_NonXtal_Prot#'!$A:$AL,28,FALSE),1)</f>
        <v>I</v>
      </c>
    </row>
    <row r="263" spans="1:34" s="2" customFormat="1" x14ac:dyDescent="0.2">
      <c r="A263" s="2" t="s">
        <v>272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T</v>
      </c>
      <c r="X263" s="49" t="str">
        <f>MID(VLOOKUP($A263,Seqs!$A:$B,2,FALSE),VLOOKUP($A263,'SegEnds_NonXtal_Prot#'!A:AL,10,FALSE)+7,1)</f>
        <v>F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L</v>
      </c>
      <c r="AC263" s="49" t="str">
        <f>MID(VLOOKUP($A263,Seqs!$A:$B,2,FALSE),VLOOKUP($A263,'SegEnds_NonXtal_Prot#'!$A:$AL,22,FALSE)+7,1)</f>
        <v>S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N</v>
      </c>
      <c r="AG263" s="28" t="str">
        <f>MID(VLOOKUP($A263,Seqs!$A:$B,2,FALSE),VLOOKUP($A263,'SegEnds_NonXtal_Prot#'!$A:$AL,28,FALSE)-4,1)</f>
        <v>L</v>
      </c>
      <c r="AH263" s="49" t="str">
        <f>MID(VLOOKUP($A263,Seqs!$A:$B,2,FALSE),VLOOKUP($A263,'SegEnds_NonXtal_Prot#'!$A:$AL,28,FALSE),1)</f>
        <v>V</v>
      </c>
    </row>
    <row r="264" spans="1:34" s="2" customFormat="1" x14ac:dyDescent="0.2">
      <c r="A264" s="2" t="s">
        <v>307</v>
      </c>
      <c r="B264" s="2" t="str">
        <f>LOWER(VLOOKUP(A264,Xtal_Templ!A:B,2,FALSE))</f>
        <v>pd2r2_human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G</v>
      </c>
      <c r="X264" s="49" t="str">
        <f>MID(VLOOKUP($A264,Seqs!$A:$B,2,FALSE),VLOOKUP($A264,'SegEnds_NonXtal_Prot#'!A:AL,10,FALSE)+7,1)</f>
        <v>H</v>
      </c>
      <c r="Y264" s="49" t="str">
        <f>MID(VLOOKUP($A264,Seqs!$A:$B,2,FALSE),VLOOKUP($A264,'SegEnds_NonXtal_Prot#'!A:AL,10,FALSE)+8,1)</f>
        <v>I</v>
      </c>
      <c r="Z264" s="49" t="str">
        <f>MID(VLOOKUP($A264,Seqs!$A:$B,2,FALSE),VLOOKUP($A264,'SegEnds_NonXtal_Prot#'!A:AL,10,FALSE)+9,1)</f>
        <v>I</v>
      </c>
      <c r="AA264" s="49" t="str">
        <f>MID(VLOOKUP($A264,Seqs!$A:$B,2,FALSE),VLOOKUP($A264,'SegEnds_NonXtal_Prot#'!A:AL,10,FALSE)+10,1)</f>
        <v>C</v>
      </c>
      <c r="AB264" s="28" t="str">
        <f>MID(VLOOKUP($A264,Seqs!$A:$B,2,FALSE),VLOOKUP($A264,'SegEnds_NonXtal_Prot#'!$A:$AL,22,FALSE)+6,1)</f>
        <v>R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I</v>
      </c>
      <c r="AE264" s="49" t="str">
        <f>MID(VLOOKUP($A264,Seqs!$A:$B,2,FALSE),VLOOKUP($A264,'SegEnds_NonXtal_Prot#'!$A:$AL,22,FALSE)+9,1)</f>
        <v>L</v>
      </c>
      <c r="AF264" s="49" t="str">
        <f>MID(VLOOKUP($A264,Seqs!$A:$B,2,FALSE),VLOOKUP($A264,'SegEnds_NonXtal_Prot#'!$A:$AL,22,FALSE)+10,1)</f>
        <v>E</v>
      </c>
      <c r="AG264" s="28" t="str">
        <f>MID(VLOOKUP($A264,Seqs!$A:$B,2,FALSE),VLOOKUP($A264,'SegEnds_NonXtal_Prot#'!$A:$AL,28,FALSE)-4,1)</f>
        <v>V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352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H265" s="4"/>
      <c r="S265" s="2" t="s">
        <v>1323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K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I</v>
      </c>
      <c r="AH265" s="49" t="str">
        <f>MID(VLOOKUP($A265,Seqs!$A:$B,2,FALSE),VLOOKUP($A265,'SegEnds_NonXtal_Prot#'!$A:$AL,28,FALSE),1)</f>
        <v>N</v>
      </c>
    </row>
    <row r="266" spans="1:34" s="2" customFormat="1" x14ac:dyDescent="0.2">
      <c r="A266" s="2" t="s">
        <v>353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S266" s="2" t="s">
        <v>1323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M</v>
      </c>
      <c r="X266" s="49" t="str">
        <f>MID(VLOOKUP($A266,Seqs!$A:$B,2,FALSE),VLOOKUP($A266,'SegEnds_NonXtal_Prot#'!A:AL,10,FALSE)+7,1)</f>
        <v>L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I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354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1323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A</v>
      </c>
      <c r="AD267" s="49" t="str">
        <f>MID(VLOOKUP($A267,Seqs!$A:$B,2,FALSE),VLOOKUP($A267,'SegEnds_NonXtal_Prot#'!$A:$AL,22,FALSE)+8,1)</f>
        <v>V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364</v>
      </c>
      <c r="B268" s="2" t="str">
        <f>LOWER(VLOOKUP(A268,Xtal_Templ!A:B,2,FALSE))</f>
        <v>pe2r4_human</v>
      </c>
      <c r="C268" s="2" t="str">
        <f>VLOOKUP(A268,Classification!A:D,2,FALSE)</f>
        <v>A</v>
      </c>
      <c r="D268" s="2" t="str">
        <f>IF(ISERROR(MATCH(A268,'SegEnds_Xtal_Prot#'!B:B, 0)), "NoXtal", "Xtal")</f>
        <v>Xtal</v>
      </c>
      <c r="G268" s="2" t="s">
        <v>5</v>
      </c>
      <c r="H268" s="4"/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L</v>
      </c>
      <c r="X268" s="49" t="str">
        <f>MID(VLOOKUP($A268,Seqs!$A:$B,2,FALSE),VLOOKUP($A268,'SegEnds_NonXtal_Prot#'!A:AL,10,FALSE)+7,1)</f>
        <v>V</v>
      </c>
      <c r="Y268" s="49" t="str">
        <f>MID(VLOOKUP($A268,Seqs!$A:$B,2,FALSE),VLOOKUP($A268,'SegEnds_NonXtal_Prot#'!A:AL,10,FALSE)+8,1)</f>
        <v>S</v>
      </c>
      <c r="Z268" s="49" t="str">
        <f>MID(VLOOKUP($A268,Seqs!$A:$B,2,FALSE),VLOOKUP($A268,'SegEnds_NonXtal_Prot#'!A:AL,10,FALSE)+9,1)</f>
        <v>P</v>
      </c>
      <c r="AA268" s="49" t="str">
        <f>MID(VLOOKUP($A268,Seqs!$A:$B,2,FALSE),VLOOKUP($A268,'SegEnds_NonXtal_Prot#'!A:AL,10,FALSE)+10,1)</f>
        <v>V</v>
      </c>
      <c r="AB268" s="28" t="str">
        <f>MID(VLOOKUP($A268,Seqs!$A:$B,2,FALSE),VLOOKUP($A268,'SegEnds_NonXtal_Prot#'!$A:$AL,22,FALSE)+6,1)</f>
        <v>F</v>
      </c>
      <c r="AC268" s="49" t="str">
        <f>MID(VLOOKUP($A268,Seqs!$A:$B,2,FALSE),VLOOKUP($A268,'SegEnds_NonXtal_Prot#'!$A:$AL,22,FALSE)+7,1)</f>
        <v>C</v>
      </c>
      <c r="AD268" s="49" t="str">
        <f>MID(VLOOKUP($A268,Seqs!$A:$B,2,FALSE),VLOOKUP($A268,'SegEnds_NonXtal_Prot#'!$A:$AL,22,FALSE)+8,1)</f>
        <v>A</v>
      </c>
      <c r="AE268" s="49" t="str">
        <f>MID(VLOOKUP($A268,Seqs!$A:$B,2,FALSE),VLOOKUP($A268,'SegEnds_NonXtal_Prot#'!$A:$AL,22,FALSE)+9,1)</f>
        <v>L</v>
      </c>
      <c r="AF268" s="49" t="str">
        <f>MID(VLOOKUP($A268,Seqs!$A:$B,2,FALSE),VLOOKUP($A268,'SegEnds_NonXtal_Prot#'!$A:$AL,22,FALSE)+10,1)</f>
        <v>P</v>
      </c>
      <c r="AG268" s="28" t="str">
        <f>MID(VLOOKUP($A268,Seqs!$A:$B,2,FALSE),VLOOKUP($A268,'SegEnds_NonXtal_Prot#'!$A:$AL,28,FALSE)-4,1)</f>
        <v>F</v>
      </c>
      <c r="AH268" s="49" t="str">
        <f>MID(VLOOKUP($A268,Seqs!$A:$B,2,FALSE),VLOOKUP($A268,'SegEnds_NonXtal_Prot#'!$A:$AL,28,FALSE),1)</f>
        <v>L</v>
      </c>
    </row>
    <row r="269" spans="1:34" s="2" customFormat="1" x14ac:dyDescent="0.2">
      <c r="A269" s="2" t="s">
        <v>365</v>
      </c>
      <c r="B269" s="2" t="str">
        <f>LOWER(VLOOKUP(A269,Xtal_Templ!A:B,2,FALSE))</f>
        <v>ta2r_human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I</v>
      </c>
      <c r="X269" s="49" t="str">
        <f>MID(VLOOKUP($A269,Seqs!$A:$B,2,FALSE),VLOOKUP($A269,'SegEnds_NonXtal_Prot#'!A:AL,10,FALSE)+7,1)</f>
        <v>N</v>
      </c>
      <c r="Y269" s="49" t="str">
        <f>MID(VLOOKUP($A269,Seqs!$A:$B,2,FALSE),VLOOKUP($A269,'SegEnds_NonXtal_Prot#'!A:AL,10,FALSE)+8,1)</f>
        <v>G</v>
      </c>
      <c r="Z269" s="49" t="str">
        <f>MID(VLOOKUP($A269,Seqs!$A:$B,2,FALSE),VLOOKUP($A269,'SegEnds_NonXtal_Prot#'!A:AL,10,FALSE)+9,1)</f>
        <v>A</v>
      </c>
      <c r="AA269" s="49" t="str">
        <f>MID(VLOOKUP($A269,Seqs!$A:$B,2,FALSE),VLOOKUP($A269,'SegEnds_NonXtal_Prot#'!A:AL,10,FALSE)+10,1)</f>
        <v>I</v>
      </c>
      <c r="AB269" s="28" t="str">
        <f>MID(VLOOKUP($A269,Seqs!$A:$B,2,FALSE),VLOOKUP($A269,'SegEnds_NonXtal_Prot#'!$A:$AL,22,FALSE)+6,1)</f>
        <v>I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L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L</v>
      </c>
      <c r="AH269" s="49" t="str">
        <f>MID(VLOOKUP($A269,Seqs!$A:$B,2,FALSE),VLOOKUP($A269,'SegEnds_NonXtal_Prot#'!$A:$AL,28,FALSE),1)</f>
        <v>G</v>
      </c>
    </row>
    <row r="270" spans="1:34" s="2" customFormat="1" x14ac:dyDescent="0.2">
      <c r="A270" s="2" t="s">
        <v>371</v>
      </c>
      <c r="B270" s="2" t="str">
        <f>LOWER(VLOOKUP(A270,Xtal_Templ!A:B,2,FALSE))</f>
        <v>ptafr_human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H270" s="4"/>
      <c r="S270" s="2" t="s">
        <v>1323</v>
      </c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T</v>
      </c>
      <c r="X270" s="49" t="str">
        <f>MID(VLOOKUP($A270,Seqs!$A:$B,2,FALSE),VLOOKUP($A270,'SegEnds_NonXtal_Prot#'!A:AL,10,FALSE)+7,1)</f>
        <v>L</v>
      </c>
      <c r="Y270" s="49" t="str">
        <f>MID(VLOOKUP($A270,Seqs!$A:$B,2,FALSE),VLOOKUP($A270,'SegEnds_NonXtal_Prot#'!A:AL,10,FALSE)+8,1)</f>
        <v>P</v>
      </c>
      <c r="Z270" s="49" t="str">
        <f>MID(VLOOKUP($A270,Seqs!$A:$B,2,FALSE),VLOOKUP($A270,'SegEnds_NonXtal_Prot#'!A:AL,10,FALSE)+9,1)</f>
        <v>L</v>
      </c>
      <c r="AA270" s="49" t="str">
        <f>MID(VLOOKUP($A270,Seqs!$A:$B,2,FALSE),VLOOKUP($A270,'SegEnds_NonXtal_Prot#'!A:AL,10,FALSE)+10,1)</f>
        <v>W</v>
      </c>
      <c r="AB270" s="28" t="str">
        <f>MID(VLOOKUP($A270,Seqs!$A:$B,2,FALSE),VLOOKUP($A270,'SegEnds_NonXtal_Prot#'!$A:$AL,22,FALSE)+6,1)</f>
        <v>A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S</v>
      </c>
      <c r="AE270" s="49" t="str">
        <f>MID(VLOOKUP($A270,Seqs!$A:$B,2,FALSE),VLOOKUP($A270,'SegEnds_NonXtal_Prot#'!$A:$AL,22,FALSE)+9,1)</f>
        <v>Y</v>
      </c>
      <c r="AF270" s="49" t="str">
        <f>MID(VLOOKUP($A270,Seqs!$A:$B,2,FALSE),VLOOKUP($A270,'SegEnds_NonXtal_Prot#'!$A:$AL,22,FALSE)+10,1)</f>
        <v>F</v>
      </c>
      <c r="AG270" s="28" t="str">
        <f>MID(VLOOKUP($A270,Seqs!$A:$B,2,FALSE),VLOOKUP($A270,'SegEnds_NonXtal_Prot#'!$A:$AL,28,FALSE)-4,1)</f>
        <v>S</v>
      </c>
      <c r="AH270" s="49" t="str">
        <f>MID(VLOOKUP($A270,Seqs!$A:$B,2,FALSE),VLOOKUP($A270,'SegEnds_NonXtal_Prot#'!$A:$AL,28,FALSE),1)</f>
        <v>V</v>
      </c>
    </row>
    <row r="271" spans="1:34" s="2" customFormat="1" x14ac:dyDescent="0.2">
      <c r="A271" s="2" t="s">
        <v>199</v>
      </c>
      <c r="B271" s="2" t="str">
        <f>LOWER(VLOOKUP(A271,Xtal_Templ!A:B,2,FALSE))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R271" s="2" t="s">
        <v>9</v>
      </c>
      <c r="S271" s="2" t="s">
        <v>1323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F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F</v>
      </c>
      <c r="AA271" s="49" t="str">
        <f>MID(VLOOKUP($A271,Seqs!$A:$B,2,FALSE),VLOOKUP($A271,'SegEnds_NonXtal_Prot#'!A:AL,10,FALSE)+10,1)</f>
        <v>R</v>
      </c>
      <c r="AB271" s="28" t="str">
        <f>MID(VLOOKUP($A271,Seqs!$A:$B,2,FALSE),VLOOKUP($A271,'SegEnds_NonXtal_Prot#'!$A:$AL,22,FALSE)+6,1)</f>
        <v>H</v>
      </c>
      <c r="AC271" s="49" t="str">
        <f>MID(VLOOKUP($A271,Seqs!$A:$B,2,FALSE),VLOOKUP($A271,'SegEnds_NonXtal_Prot#'!$A:$AL,22,FALSE)+7,1)</f>
        <v>C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V</v>
      </c>
      <c r="AF271" s="49" t="str">
        <f>MID(VLOOKUP($A271,Seqs!$A:$B,2,FALSE),VLOOKUP($A271,'SegEnds_NonXtal_Prot#'!$A:$AL,22,FALSE)+10,1)</f>
        <v>V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P</v>
      </c>
    </row>
    <row r="272" spans="1:34" s="2" customFormat="1" x14ac:dyDescent="0.2">
      <c r="A272" s="2" t="s">
        <v>243</v>
      </c>
      <c r="B272" s="2" t="str">
        <f>LOWER(VLOOKUP(A272,Xtal_Templ!A:B,2,FALSE))</f>
        <v>par2_human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S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T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V</v>
      </c>
      <c r="AC272" s="49" t="str">
        <f>MID(VLOOKUP($A272,Seqs!$A:$B,2,FALSE),VLOOKUP($A272,'SegEnds_NonXtal_Prot#'!$A:$AL,22,FALSE)+7,1)</f>
        <v>T</v>
      </c>
      <c r="AD272" s="49" t="str">
        <f>MID(VLOOKUP($A272,Seqs!$A:$B,2,FALSE),VLOOKUP($A272,'SegEnds_NonXtal_Prot#'!$A:$AL,22,FALSE)+8,1)</f>
        <v>L</v>
      </c>
      <c r="AE272" s="49" t="str">
        <f>MID(VLOOKUP($A272,Seqs!$A:$B,2,FALSE),VLOOKUP($A272,'SegEnds_NonXtal_Prot#'!$A:$AL,22,FALSE)+9,1)</f>
        <v>S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E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254</v>
      </c>
      <c r="B273" s="2" t="str">
        <f>LOWER(VLOOKUP(A273,Xtal_Templ!A:B,2,FALSE))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T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V</v>
      </c>
      <c r="AB273" s="28" t="str">
        <f>MID(VLOOKUP($A273,Seqs!$A:$B,2,FALSE),VLOOKUP($A273,'SegEnds_NonXtal_Prot#'!$A:$AL,22,FALSE)+6,1)</f>
        <v>S</v>
      </c>
      <c r="AC273" s="49" t="str">
        <f>MID(VLOOKUP($A273,Seqs!$A:$B,2,FALSE),VLOOKUP($A273,'SegEnds_NonXtal_Prot#'!$A:$AL,22,FALSE)+7,1)</f>
        <v>L</v>
      </c>
      <c r="AD273" s="49" t="str">
        <f>MID(VLOOKUP($A273,Seqs!$A:$B,2,FALSE),VLOOKUP($A273,'SegEnds_NonXtal_Prot#'!$A:$AL,22,FALSE)+8,1)</f>
        <v>V</v>
      </c>
      <c r="AE273" s="49" t="str">
        <f>MID(VLOOKUP($A273,Seqs!$A:$B,2,FALSE),VLOOKUP($A273,'SegEnds_NonXtal_Prot#'!$A:$AL,22,FALSE)+9,1)</f>
        <v>A</v>
      </c>
      <c r="AF273" s="49" t="str">
        <f>MID(VLOOKUP($A273,Seqs!$A:$B,2,FALSE),VLOOKUP($A273,'SegEnds_NonXtal_Prot#'!$A:$AL,22,FALSE)+10,1)</f>
        <v>R</v>
      </c>
      <c r="AG273" s="28" t="str">
        <f>MID(VLOOKUP($A273,Seqs!$A:$B,2,FALSE),VLOOKUP($A273,'SegEnds_NonXtal_Prot#'!$A:$AL,28,FALSE)-4,1)</f>
        <v>G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258</v>
      </c>
      <c r="B274" s="2" t="str">
        <f>LOWER(VLOOKUP(A274,Xtal_Templ!A:B,2,FALSE))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S274" s="2" t="s">
        <v>1323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F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H</v>
      </c>
      <c r="AC274" s="49" t="str">
        <f>MID(VLOOKUP($A274,Seqs!$A:$B,2,FALSE),VLOOKUP($A274,'SegEnds_NonXtal_Prot#'!$A:$AL,22,FALSE)+7,1)</f>
        <v>C</v>
      </c>
      <c r="AD274" s="49" t="str">
        <f>MID(VLOOKUP($A274,Seqs!$A:$B,2,FALSE),VLOOKUP($A274,'SegEnds_NonXtal_Prot#'!$A:$AL,22,FALSE)+8,1)</f>
        <v>S</v>
      </c>
      <c r="AE274" s="49" t="str">
        <f>MID(VLOOKUP($A274,Seqs!$A:$B,2,FALSE),VLOOKUP($A274,'SegEnds_NonXtal_Prot#'!$A:$AL,22,FALSE)+9,1)</f>
        <v>V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L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261</v>
      </c>
      <c r="B275" s="2" t="str">
        <f>LOWER(VLOOKUP(A275,Xtal_Templ!A:B,2,FALSE))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N275" s="2" t="s">
        <v>14</v>
      </c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S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K</v>
      </c>
      <c r="AB275" s="28" t="str">
        <f>MID(VLOOKUP($A275,Seqs!$A:$B,2,FALSE),VLOOKUP($A275,'SegEnds_NonXtal_Prot#'!$A:$AL,22,FALSE)+6,1)</f>
        <v>G</v>
      </c>
      <c r="AC275" s="49" t="str">
        <f>MID(VLOOKUP($A275,Seqs!$A:$B,2,FALSE),VLOOKUP($A275,'SegEnds_NonXtal_Prot#'!$A:$AL,22,FALSE)+7,1)</f>
        <v>S</v>
      </c>
      <c r="AD275" s="49" t="str">
        <f>MID(VLOOKUP($A275,Seqs!$A:$B,2,FALSE),VLOOKUP($A275,'SegEnds_NonXtal_Prot#'!$A:$AL,22,FALSE)+8,1)</f>
        <v>I</v>
      </c>
      <c r="AE275" s="49" t="str">
        <f>MID(VLOOKUP($A275,Seqs!$A:$B,2,FALSE),VLOOKUP($A275,'SegEnds_NonXtal_Prot#'!$A:$AL,22,FALSE)+9,1)</f>
        <v>P</v>
      </c>
      <c r="AF275" s="49" t="str">
        <f>MID(VLOOKUP($A275,Seqs!$A:$B,2,FALSE),VLOOKUP($A275,'SegEnds_NonXtal_Prot#'!$A:$AL,22,FALSE)+10,1)</f>
        <v>I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302</v>
      </c>
      <c r="B276" s="2" t="str">
        <f>LOWER(VLOOKUP(A276,Xtal_Templ!A:B,2,FALSE))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C</v>
      </c>
      <c r="X276" s="49" t="str">
        <f>MID(VLOOKUP($A276,Seqs!$A:$B,2,FALSE),VLOOKUP($A276,'SegEnds_NonXtal_Prot#'!A:AL,10,FALSE)+7,1)</f>
        <v>H</v>
      </c>
      <c r="Y276" s="49" t="str">
        <f>MID(VLOOKUP($A276,Seqs!$A:$B,2,FALSE),VLOOKUP($A276,'SegEnds_NonXtal_Prot#'!A:AL,10,FALSE)+8,1)</f>
        <v>M</v>
      </c>
      <c r="Z276" s="49" t="str">
        <f>MID(VLOOKUP($A276,Seqs!$A:$B,2,FALSE),VLOOKUP($A276,'SegEnds_NonXtal_Prot#'!A:AL,10,FALSE)+9,1)</f>
        <v>V</v>
      </c>
      <c r="AA276" s="49" t="str">
        <f>MID(VLOOKUP($A276,Seqs!$A:$B,2,FALSE),VLOOKUP($A276,'SegEnds_NonXtal_Prot#'!A:AL,10,FALSE)+10,1)</f>
        <v>A</v>
      </c>
      <c r="AB276" s="28" t="str">
        <f>MID(VLOOKUP($A276,Seqs!$A:$B,2,FALSE),VLOOKUP($A276,'SegEnds_NonXtal_Prot#'!$A:$AL,22,FALSE)+6,1)</f>
        <v>L</v>
      </c>
      <c r="AC276" s="49" t="str">
        <f>MID(VLOOKUP($A276,Seqs!$A:$B,2,FALSE),VLOOKUP($A276,'SegEnds_NonXtal_Prot#'!$A:$AL,22,FALSE)+7,1)</f>
        <v>H</v>
      </c>
      <c r="AD276" s="49" t="str">
        <f>MID(VLOOKUP($A276,Seqs!$A:$B,2,FALSE),VLOOKUP($A276,'SegEnds_NonXtal_Prot#'!$A:$AL,22,FALSE)+8,1)</f>
        <v>L</v>
      </c>
      <c r="AE276" s="49" t="str">
        <f>MID(VLOOKUP($A276,Seqs!$A:$B,2,FALSE),VLOOKUP($A276,'SegEnds_NonXtal_Prot#'!$A:$AL,22,FALSE)+9,1)</f>
        <v>L</v>
      </c>
      <c r="AF276" s="49" t="str">
        <f>MID(VLOOKUP($A276,Seqs!$A:$B,2,FALSE),VLOOKUP($A276,'SegEnds_NonXtal_Prot#'!$A:$AL,22,FALSE)+10,1)</f>
        <v>L</v>
      </c>
      <c r="AG276" s="28" t="str">
        <f>MID(VLOOKUP($A276,Seqs!$A:$B,2,FALSE),VLOOKUP($A276,'SegEnds_NonXtal_Prot#'!$A:$AL,28,FALSE)-4,1)</f>
        <v>A</v>
      </c>
      <c r="AH276" s="49" t="str">
        <f>MID(VLOOKUP($A276,Seqs!$A:$B,2,FALSE),VLOOKUP($A276,'SegEnds_NonXtal_Prot#'!$A:$AL,28,FALSE),1)</f>
        <v>C</v>
      </c>
    </row>
    <row r="277" spans="1:34" s="2" customFormat="1" x14ac:dyDescent="0.2">
      <c r="A277" s="2" t="s">
        <v>349</v>
      </c>
      <c r="B277" s="2" t="str">
        <f>LOWER(VLOOKUP(A277,Xtal_Templ!A:B,2,FALSE))</f>
        <v>par2_human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R277" s="2" t="s">
        <v>9</v>
      </c>
      <c r="S277" s="2" t="s">
        <v>1323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V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Q</v>
      </c>
      <c r="AB277" s="28" t="str">
        <f>MID(VLOOKUP($A277,Seqs!$A:$B,2,FALSE),VLOOKUP($A277,'SegEnds_NonXtal_Prot#'!$A:$AL,22,FALSE)+6,1)</f>
        <v>A</v>
      </c>
      <c r="AC277" s="49" t="str">
        <f>MID(VLOOKUP($A277,Seqs!$A:$B,2,FALSE),VLOOKUP($A277,'SegEnds_NonXtal_Prot#'!$A:$AL,22,FALSE)+7,1)</f>
        <v>L</v>
      </c>
      <c r="AD277" s="49" t="str">
        <f>MID(VLOOKUP($A277,Seqs!$A:$B,2,FALSE),VLOOKUP($A277,'SegEnds_NonXtal_Prot#'!$A:$AL,22,FALSE)+8,1)</f>
        <v>S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L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355</v>
      </c>
      <c r="B278" s="2" t="str">
        <f>LOWER(VLOOKUP(A278,Xtal_Templ!A:B,2,FALSE))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H278" s="4"/>
      <c r="N278" s="2" t="s">
        <v>14</v>
      </c>
      <c r="S278" s="2" t="s">
        <v>1323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K</v>
      </c>
      <c r="AB278" s="28" t="str">
        <f>MID(VLOOKUP($A278,Seqs!$A:$B,2,FALSE),VLOOKUP($A278,'SegEnds_NonXtal_Prot#'!$A:$AL,22,FALSE)+6,1)</f>
        <v>G</v>
      </c>
      <c r="AC278" s="49" t="str">
        <f>MID(VLOOKUP($A278,Seqs!$A:$B,2,FALSE),VLOOKUP($A278,'SegEnds_NonXtal_Prot#'!$A:$AL,22,FALSE)+7,1)</f>
        <v>V</v>
      </c>
      <c r="AD278" s="49" t="str">
        <f>MID(VLOOKUP($A278,Seqs!$A:$B,2,FALSE),VLOOKUP($A278,'SegEnds_NonXtal_Prot#'!$A:$AL,22,FALSE)+8,1)</f>
        <v>V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F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356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R279" s="2" t="s">
        <v>9</v>
      </c>
      <c r="S279" s="2" t="s">
        <v>1323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W</v>
      </c>
      <c r="X279" s="49" t="str">
        <f>MID(VLOOKUP($A279,Seqs!$A:$B,2,FALSE),VLOOKUP($A279,'SegEnds_NonXtal_Prot#'!A:AL,10,FALSE)+7,1)</f>
        <v>F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L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V</v>
      </c>
      <c r="AC279" s="49" t="str">
        <f>MID(VLOOKUP($A279,Seqs!$A:$B,2,FALSE),VLOOKUP($A279,'SegEnds_NonXtal_Prot#'!$A:$AL,22,FALSE)+7,1)</f>
        <v>T</v>
      </c>
      <c r="AD279" s="49" t="str">
        <f>MID(VLOOKUP($A279,Seqs!$A:$B,2,FALSE),VLOOKUP($A279,'SegEnds_NonXtal_Prot#'!$A:$AL,22,FALSE)+8,1)</f>
        <v>I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V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357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H280" s="4"/>
      <c r="N280" s="2" t="s">
        <v>14</v>
      </c>
      <c r="R280" s="2" t="s">
        <v>9</v>
      </c>
      <c r="S280" s="2" t="s">
        <v>1323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T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Y</v>
      </c>
      <c r="AC280" s="49" t="str">
        <f>MID(VLOOKUP($A280,Seqs!$A:$B,2,FALSE),VLOOKUP($A280,'SegEnds_NonXtal_Prot#'!$A:$AL,22,FALSE)+7,1)</f>
        <v>M</v>
      </c>
      <c r="AD280" s="49" t="str">
        <f>MID(VLOOKUP($A280,Seqs!$A:$B,2,FALSE),VLOOKUP($A280,'SegEnds_NonXtal_Prot#'!$A:$AL,22,FALSE)+8,1)</f>
        <v>L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F</v>
      </c>
      <c r="AG280" s="28" t="str">
        <f>MID(VLOOKUP($A280,Seqs!$A:$B,2,FALSE),VLOOKUP($A280,'SegEnds_NonXtal_Prot#'!$A:$AL,28,FALSE)-4,1)</f>
        <v>G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358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1323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A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P</v>
      </c>
      <c r="AA281" s="49" t="str">
        <f>MID(VLOOKUP($A281,Seqs!$A:$B,2,FALSE),VLOOKUP($A281,'SegEnds_NonXtal_Prot#'!A:AL,10,FALSE)+10,1)</f>
        <v>R</v>
      </c>
      <c r="AB281" s="28" t="str">
        <f>MID(VLOOKUP($A281,Seqs!$A:$B,2,FALSE),VLOOKUP($A281,'SegEnds_NonXtal_Prot#'!$A:$AL,22,FALSE)+6,1)</f>
        <v>L</v>
      </c>
      <c r="AC281" s="49" t="str">
        <f>MID(VLOOKUP($A281,Seqs!$A:$B,2,FALSE),VLOOKUP($A281,'SegEnds_NonXtal_Prot#'!$A:$AL,22,FALSE)+7,1)</f>
        <v>A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151</v>
      </c>
      <c r="B282" s="2" t="str">
        <f>LOWER(VLOOKUP(A282,Xtal_Templ!A:B,2,FALSE))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Y</v>
      </c>
      <c r="X282" s="49" t="str">
        <f>MID(VLOOKUP($A282,Seqs!$A:$B,2,FALSE),VLOOKUP($A282,'SegEnds_NonXtal_Prot#'!A:AL,10,FALSE)+7,1)</f>
        <v>K</v>
      </c>
      <c r="Y282" s="49" t="str">
        <f>MID(VLOOKUP($A282,Seqs!$A:$B,2,FALSE),VLOOKUP($A282,'SegEnds_NonXtal_Prot#'!A:AL,10,FALSE)+8,1)</f>
        <v>I</v>
      </c>
      <c r="Z282" s="49" t="str">
        <f>MID(VLOOKUP($A282,Seqs!$A:$B,2,FALSE),VLOOKUP($A282,'SegEnds_NonXtal_Prot#'!A:AL,10,FALSE)+9,1)</f>
        <v>L</v>
      </c>
      <c r="AA282" s="49" t="str">
        <f>MID(VLOOKUP($A282,Seqs!$A:$B,2,FALSE),VLOOKUP($A282,'SegEnds_NonXtal_Prot#'!A:AL,10,FALSE)+10,1)</f>
        <v>E</v>
      </c>
      <c r="AB282" s="28" t="str">
        <f>MID(VLOOKUP($A282,Seqs!$A:$B,2,FALSE),VLOOKUP($A282,'SegEnds_NonXtal_Prot#'!$A:$AL,22,FALSE)+6,1)</f>
        <v>T</v>
      </c>
      <c r="AC282" s="49" t="str">
        <f>MID(VLOOKUP($A282,Seqs!$A:$B,2,FALSE),VLOOKUP($A282,'SegEnds_NonXtal_Prot#'!$A:$AL,22,FALSE)+7,1)</f>
        <v>G</v>
      </c>
      <c r="AD282" s="49" t="str">
        <f>MID(VLOOKUP($A282,Seqs!$A:$B,2,FALSE),VLOOKUP($A282,'SegEnds_NonXtal_Prot#'!$A:$AL,22,FALSE)+8,1)</f>
        <v>I</v>
      </c>
      <c r="AE282" s="49" t="str">
        <f>MID(VLOOKUP($A282,Seqs!$A:$B,2,FALSE),VLOOKUP($A282,'SegEnds_NonXtal_Prot#'!$A:$AL,22,FALSE)+9,1)</f>
        <v>T</v>
      </c>
      <c r="AF282" s="49" t="str">
        <f>MID(VLOOKUP($A282,Seqs!$A:$B,2,FALSE),VLOOKUP($A282,'SegEnds_NonXtal_Prot#'!$A:$AL,22,FALSE)+10,1)</f>
        <v>M</v>
      </c>
      <c r="AG282" s="28" t="str">
        <f>MID(VLOOKUP($A282,Seqs!$A:$B,2,FALSE),VLOOKUP($A282,'SegEnds_NonXtal_Prot#'!$A:$AL,28,FALSE)-4,1)</f>
        <v>C</v>
      </c>
      <c r="AH282" s="49" t="str">
        <f>MID(VLOOKUP($A282,Seqs!$A:$B,2,FALSE),VLOOKUP($A282,'SegEnds_NonXtal_Prot#'!$A:$AL,28,FALSE),1)</f>
        <v>H</v>
      </c>
    </row>
    <row r="283" spans="1:34" s="2" customFormat="1" x14ac:dyDescent="0.2">
      <c r="A283" s="2" t="s">
        <v>213</v>
      </c>
      <c r="B283" s="2" t="str">
        <f>LOWER(VLOOKUP(A283,Xtal_Templ!A:B,2,FALSE))</f>
        <v>aa1r_human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R283" s="2" t="s">
        <v>9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I</v>
      </c>
      <c r="Y283" s="49" t="str">
        <f>MID(VLOOKUP($A283,Seqs!$A:$B,2,FALSE),VLOOKUP($A283,'SegEnds_NonXtal_Prot#'!A:AL,10,FALSE)+8,1)</f>
        <v>S</v>
      </c>
      <c r="Z283" s="49" t="str">
        <f>MID(VLOOKUP($A283,Seqs!$A:$B,2,FALSE),VLOOKUP($A283,'SegEnds_NonXtal_Prot#'!A:AL,10,FALSE)+9,1)</f>
        <v>G</v>
      </c>
      <c r="AA283" s="49" t="str">
        <f>MID(VLOOKUP($A283,Seqs!$A:$B,2,FALSE),VLOOKUP($A283,'SegEnds_NonXtal_Prot#'!A:AL,10,FALSE)+10,1)</f>
        <v>L</v>
      </c>
      <c r="AB283" s="28" t="str">
        <f>MID(VLOOKUP($A283,Seqs!$A:$B,2,FALSE),VLOOKUP($A283,'SegEnds_NonXtal_Prot#'!$A:$AL,22,FALSE)+6,1)</f>
        <v>I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F</v>
      </c>
      <c r="AE283" s="49" t="str">
        <f>MID(VLOOKUP($A283,Seqs!$A:$B,2,FALSE),VLOOKUP($A283,'SegEnds_NonXtal_Prot#'!$A:$AL,22,FALSE)+9,1)</f>
        <v>L</v>
      </c>
      <c r="AF283" s="49" t="str">
        <f>MID(VLOOKUP($A283,Seqs!$A:$B,2,FALSE),VLOOKUP($A283,'SegEnds_NonXtal_Prot#'!$A:$AL,22,FALSE)+10,1)</f>
        <v>P</v>
      </c>
      <c r="AG283" s="28" t="str">
        <f>MID(VLOOKUP($A283,Seqs!$A:$B,2,FALSE),VLOOKUP($A283,'SegEnds_NonXtal_Prot#'!$A:$AL,28,FALSE)-4,1)</f>
        <v>V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238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G</v>
      </c>
      <c r="X284" s="49" t="str">
        <f>MID(VLOOKUP($A284,Seqs!$A:$B,2,FALSE),VLOOKUP($A284,'SegEnds_NonXtal_Prot#'!A:AL,10,FALSE)+7,1)</f>
        <v>L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T</v>
      </c>
      <c r="AA284" s="49" t="str">
        <f>MID(VLOOKUP($A284,Seqs!$A:$B,2,FALSE),VLOOKUP($A284,'SegEnds_NonXtal_Prot#'!A:AL,10,FALSE)+10,1)</f>
        <v>N</v>
      </c>
      <c r="AB284" s="28" t="str">
        <f>MID(VLOOKUP($A284,Seqs!$A:$B,2,FALSE),VLOOKUP($A284,'SegEnds_NonXtal_Prot#'!$A:$AL,22,FALSE)+6,1)</f>
        <v>L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L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S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262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L</v>
      </c>
      <c r="AA285" s="49" t="str">
        <f>MID(VLOOKUP($A285,Seqs!$A:$B,2,FALSE),VLOOKUP($A285,'SegEnds_NonXtal_Prot#'!A:AL,10,FALSE)+10,1)</f>
        <v>H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A</v>
      </c>
      <c r="AH285" s="49" t="str">
        <f>MID(VLOOKUP($A285,Seqs!$A:$B,2,FALSE),VLOOKUP($A285,'SegEnds_NonXtal_Prot#'!$A:$AL,28,FALSE),1)</f>
        <v>V</v>
      </c>
    </row>
    <row r="286" spans="1:34" s="2" customFormat="1" x14ac:dyDescent="0.2">
      <c r="A286" s="2" t="s">
        <v>296</v>
      </c>
      <c r="B286" s="2" t="str">
        <f>LOWER(VLOOKUP(A286,Xtal_Templ!A:B,2,FALSE))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S</v>
      </c>
      <c r="X286" s="49" t="str">
        <f>MID(VLOOKUP($A286,Seqs!$A:$B,2,FALSE),VLOOKUP($A286,'SegEnds_NonXtal_Prot#'!A:AL,10,FALSE)+7,1)</f>
        <v>N</v>
      </c>
      <c r="Y286" s="49" t="str">
        <f>MID(VLOOKUP($A286,Seqs!$A:$B,2,FALSE),VLOOKUP($A286,'SegEnds_NonXtal_Prot#'!A:AL,10,FALSE)+8,1)</f>
        <v>A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E</v>
      </c>
      <c r="AB286" s="28" t="str">
        <f>MID(VLOOKUP($A286,Seqs!$A:$B,2,FALSE),VLOOKUP($A286,'SegEnds_NonXtal_Prot#'!$A:$AL,22,FALSE)+6,1)</f>
        <v>C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V</v>
      </c>
      <c r="AE286" s="49" t="str">
        <f>MID(VLOOKUP($A286,Seqs!$A:$B,2,FALSE),VLOOKUP($A286,'SegEnds_NonXtal_Prot#'!$A:$AL,22,FALSE)+9,1)</f>
        <v>V</v>
      </c>
      <c r="AF286" s="49" t="str">
        <f>MID(VLOOKUP($A286,Seqs!$A:$B,2,FALSE),VLOOKUP($A286,'SegEnds_NonXtal_Prot#'!$A:$AL,22,FALSE)+10,1)</f>
        <v>F</v>
      </c>
      <c r="AG286" s="28" t="str">
        <f>MID(VLOOKUP($A286,Seqs!$A:$B,2,FALSE),VLOOKUP($A286,'SegEnds_NonXtal_Prot#'!$A:$AL,28,FALSE)-4,1)</f>
        <v>T</v>
      </c>
      <c r="AH286" s="49" t="str">
        <f>MID(VLOOKUP($A286,Seqs!$A:$B,2,FALSE),VLOOKUP($A286,'SegEnds_NonXtal_Prot#'!$A:$AL,28,FALSE),1)</f>
        <v>H</v>
      </c>
    </row>
    <row r="287" spans="1:34" s="2" customFormat="1" x14ac:dyDescent="0.2">
      <c r="A287" s="2" t="s">
        <v>297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G</v>
      </c>
      <c r="Z287" s="49" t="str">
        <f>MID(VLOOKUP($A287,Seqs!$A:$B,2,FALSE),VLOOKUP($A287,'SegEnds_NonXtal_Prot#'!A:AL,10,FALSE)+9,1)</f>
        <v>S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S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I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S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309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V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F</v>
      </c>
      <c r="AC288" s="49" t="str">
        <f>MID(VLOOKUP($A288,Seqs!$A:$B,2,FALSE),VLOOKUP($A288,'SegEnds_NonXtal_Prot#'!$A:$AL,22,FALSE)+7,1)</f>
        <v>S</v>
      </c>
      <c r="AD288" s="49" t="str">
        <f>MID(VLOOKUP($A288,Seqs!$A:$B,2,FALSE),VLOOKUP($A288,'SegEnds_NonXtal_Prot#'!$A:$AL,22,FALSE)+8,1)</f>
        <v>T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V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363</v>
      </c>
      <c r="B289" s="2" t="str">
        <f>LOWER(VLOOKUP(A289,Xtal_Templ!A:B,2,FALSE))</f>
        <v>pe2r3_human</v>
      </c>
      <c r="C289" s="2" t="str">
        <f>VLOOKUP(A289,Classification!A:D,2,FALSE)</f>
        <v>A</v>
      </c>
      <c r="D289" s="2" t="str">
        <f>IF(ISERROR(MATCH(A289,'SegEnds_Xtal_Prot#'!B:B, 0)), "NoXtal", "Xtal")</f>
        <v>Xtal</v>
      </c>
      <c r="G289" s="2" t="s">
        <v>5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L</v>
      </c>
      <c r="X289" s="49" t="str">
        <f>MID(VLOOKUP($A289,Seqs!$A:$B,2,FALSE),VLOOKUP($A289,'SegEnds_NonXtal_Prot#'!A:AL,10,FALSE)+7,1)</f>
        <v>T</v>
      </c>
      <c r="Y289" s="49" t="str">
        <f>MID(VLOOKUP($A289,Seqs!$A:$B,2,FALSE),VLOOKUP($A289,'SegEnds_NonXtal_Prot#'!A:AL,10,FALSE)+8,1)</f>
        <v>T</v>
      </c>
      <c r="Z289" s="49" t="str">
        <f>MID(VLOOKUP($A289,Seqs!$A:$B,2,FALSE),VLOOKUP($A289,'SegEnds_NonXtal_Prot#'!A:AL,10,FALSE)+9,1)</f>
        <v>P</v>
      </c>
      <c r="AA289" s="49" t="str">
        <f>MID(VLOOKUP($A289,Seqs!$A:$B,2,FALSE),VLOOKUP($A289,'SegEnds_NonXtal_Prot#'!A:AL,10,FALSE)+10,1)</f>
        <v>V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A</v>
      </c>
      <c r="AD289" s="49" t="str">
        <f>MID(VLOOKUP($A289,Seqs!$A:$B,2,FALSE),VLOOKUP($A289,'SegEnds_NonXtal_Prot#'!$A:$AL,22,FALSE)+8,1)</f>
        <v>L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P</v>
      </c>
      <c r="AG289" s="28" t="str">
        <f>MID(VLOOKUP($A289,Seqs!$A:$B,2,FALSE),VLOOKUP($A289,'SegEnds_NonXtal_Prot#'!$A:$AL,28,FALSE)-4,1)</f>
        <v>L</v>
      </c>
      <c r="AH289" s="49" t="str">
        <f>MID(VLOOKUP($A289,Seqs!$A:$B,2,FALSE),VLOOKUP($A289,'SegEnds_NonXtal_Prot#'!$A:$AL,28,FALSE),1)</f>
        <v>A</v>
      </c>
    </row>
    <row r="290" spans="1:34" s="2" customFormat="1" x14ac:dyDescent="0.2">
      <c r="A290" s="2" t="s">
        <v>104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H290" s="4"/>
      <c r="I290" s="2" t="s">
        <v>21</v>
      </c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A</v>
      </c>
      <c r="X290" s="49" t="str">
        <f>MID(VLOOKUP($A290,Seqs!$A:$B,2,FALSE),VLOOKUP($A290,'SegEnds_NonXtal_Prot#'!A:AL,10,FALSE)+7,1)</f>
        <v>Y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A</v>
      </c>
      <c r="AA290" s="49" t="str">
        <f>MID(VLOOKUP($A290,Seqs!$A:$B,2,FALSE),VLOOKUP($A290,'SegEnds_NonXtal_Prot#'!A:AL,10,FALSE)+10,1)</f>
        <v>N</v>
      </c>
      <c r="AB290" s="28" t="str">
        <f>MID(VLOOKUP($A290,Seqs!$A:$B,2,FALSE),VLOOKUP($A290,'SegEnds_NonXtal_Prot#'!$A:$AL,22,FALSE)+6,1)</f>
        <v>L</v>
      </c>
      <c r="AC290" s="49" t="str">
        <f>MID(VLOOKUP($A290,Seqs!$A:$B,2,FALSE),VLOOKUP($A290,'SegEnds_NonXtal_Prot#'!$A:$AL,22,FALSE)+7,1)</f>
        <v>G</v>
      </c>
      <c r="AD290" s="49" t="str">
        <f>MID(VLOOKUP($A290,Seqs!$A:$B,2,FALSE),VLOOKUP($A290,'SegEnds_NonXtal_Prot#'!$A:$AL,22,FALSE)+8,1)</f>
        <v>G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V</v>
      </c>
      <c r="AH290" s="49" t="str">
        <f>MID(VLOOKUP($A290,Seqs!$A:$B,2,FALSE),VLOOKUP($A290,'SegEnds_NonXtal_Prot#'!$A:$AL,28,FALSE),1)</f>
        <v>L</v>
      </c>
    </row>
    <row r="291" spans="1:34" s="2" customFormat="1" x14ac:dyDescent="0.2">
      <c r="A291" s="2" t="s">
        <v>377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F</v>
      </c>
      <c r="Y291" s="49" t="str">
        <f>MID(VLOOKUP($A291,Seqs!$A:$B,2,FALSE),VLOOKUP($A291,'SegEnds_NonXtal_Prot#'!A:AL,10,FALSE)+8,1)</f>
        <v>V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I</v>
      </c>
      <c r="AH291" s="49" t="str">
        <f>MID(VLOOKUP($A291,Seqs!$A:$B,2,FALSE),VLOOKUP($A291,'SegEnds_NonXtal_Prot#'!$A:$AL,28,FALSE),1)</f>
        <v>I</v>
      </c>
    </row>
    <row r="292" spans="1:34" s="2" customFormat="1" x14ac:dyDescent="0.2">
      <c r="A292" s="2" t="s">
        <v>378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K</v>
      </c>
      <c r="Z292" s="49" t="str">
        <f>MID(VLOOKUP($A292,Seqs!$A:$B,2,FALSE),VLOOKUP($A292,'SegEnds_NonXtal_Prot#'!A:AL,10,FALSE)+9,1)</f>
        <v>V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A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379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L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M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V</v>
      </c>
    </row>
    <row r="294" spans="1:34" s="2" customFormat="1" x14ac:dyDescent="0.2">
      <c r="A294" s="2" t="s">
        <v>380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A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L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A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473</v>
      </c>
      <c r="B295" s="2" t="str">
        <f>LOWER(VLOOKUP(A295,Xtal_Templ!A:B,2,FALSE))</f>
        <v>ta2r_human</v>
      </c>
      <c r="C295" s="2" t="str">
        <f>VLOOKUP(A295,Classification!A:D,2,FALSE)</f>
        <v>A</v>
      </c>
      <c r="D295" s="2" t="str">
        <f>IF(ISERROR(MATCH(A295,'SegEnds_Xtal_Prot#'!B:B, 0)), "NoXtal", "Xtal")</f>
        <v>Xtal</v>
      </c>
      <c r="G295" s="2" t="s">
        <v>5</v>
      </c>
      <c r="H295" s="4"/>
      <c r="I295" s="2" t="s">
        <v>21</v>
      </c>
      <c r="S295" s="2" t="s">
        <v>1323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V</v>
      </c>
      <c r="X295" s="49" t="str">
        <f>MID(VLOOKUP($A295,Seqs!$A:$B,2,FALSE),VLOOKUP($A295,'SegEnds_NonXtal_Prot#'!A:AL,10,FALSE)+7,1)</f>
        <v>T</v>
      </c>
      <c r="Y295" s="49" t="str">
        <f>MID(VLOOKUP($A295,Seqs!$A:$B,2,FALSE),VLOOKUP($A295,'SegEnds_NonXtal_Prot#'!A:AL,10,FALSE)+8,1)</f>
        <v>G</v>
      </c>
      <c r="Z295" s="49" t="str">
        <f>MID(VLOOKUP($A295,Seqs!$A:$B,2,FALSE),VLOOKUP($A295,'SegEnds_NonXtal_Prot#'!A:AL,10,FALSE)+9,1)</f>
        <v>T</v>
      </c>
      <c r="AA295" s="49" t="str">
        <f>MID(VLOOKUP($A295,Seqs!$A:$B,2,FALSE),VLOOKUP($A295,'SegEnds_NonXtal_Prot#'!A:AL,10,FALSE)+10,1)</f>
        <v>I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L</v>
      </c>
      <c r="AH295" s="49" t="str">
        <f>MID(VLOOKUP($A295,Seqs!$A:$B,2,FALSE),VLOOKUP($A295,'SegEnds_NonXtal_Prot#'!$A:$AL,28,FALSE),1)</f>
        <v>S</v>
      </c>
    </row>
    <row r="296" spans="1:34" s="2" customFormat="1" x14ac:dyDescent="0.2">
      <c r="A296" s="2" t="s">
        <v>221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R296" s="2" t="s">
        <v>9</v>
      </c>
      <c r="T296" s="4" t="s">
        <v>12</v>
      </c>
      <c r="V296" s="28" t="str">
        <f>MID(VLOOKUP($A296,Seqs!$A:$B,2,FALSE),VLOOKUP($A296,'SegEnds_NonXtal_Prot#'!A:AL,10,FALSE),1)</f>
        <v>Q</v>
      </c>
      <c r="W296" s="49" t="str">
        <f>MID(VLOOKUP($A296,Seqs!$A:$B,2,FALSE),VLOOKUP($A296,'SegEnds_NonXtal_Prot#'!A:AL,10,FALSE)+6,1)</f>
        <v>S</v>
      </c>
      <c r="X296" s="49" t="str">
        <f>MID(VLOOKUP($A296,Seqs!$A:$B,2,FALSE),VLOOKUP($A296,'SegEnds_NonXtal_Prot#'!A:AL,10,FALSE)+7,1)</f>
        <v>M</v>
      </c>
      <c r="Y296" s="49" t="str">
        <f>MID(VLOOKUP($A296,Seqs!$A:$B,2,FALSE),VLOOKUP($A296,'SegEnds_NonXtal_Prot#'!A:AL,10,FALSE)+8,1)</f>
        <v>L</v>
      </c>
      <c r="Z296" s="49" t="str">
        <f>MID(VLOOKUP($A296,Seqs!$A:$B,2,FALSE),VLOOKUP($A296,'SegEnds_NonXtal_Prot#'!A:AL,10,FALSE)+9,1)</f>
        <v>V</v>
      </c>
      <c r="AA296" s="49" t="str">
        <f>MID(VLOOKUP($A296,Seqs!$A:$B,2,FALSE),VLOOKUP($A296,'SegEnds_NonXtal_Prot#'!A:AL,10,FALSE)+10,1)</f>
        <v>A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S</v>
      </c>
      <c r="AD296" s="49" t="str">
        <f>MID(VLOOKUP($A296,Seqs!$A:$B,2,FALSE),VLOOKUP($A296,'SegEnds_NonXtal_Prot#'!$A:$AL,22,FALSE)+8,1)</f>
        <v>A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G</v>
      </c>
      <c r="AH296" s="49" t="str">
        <f>MID(VLOOKUP($A296,Seqs!$A:$B,2,FALSE),VLOOKUP($A296,'SegEnds_NonXtal_Prot#'!$A:$AL,28,FALSE),1)</f>
        <v>P</v>
      </c>
    </row>
    <row r="297" spans="1:34" s="2" customFormat="1" x14ac:dyDescent="0.2">
      <c r="A297" s="2" t="s">
        <v>924</v>
      </c>
      <c r="B297" s="2" t="str">
        <f>LOWER(VLOOKUP(A297,Xtal_Templ!A:B,2,FALSE))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H297" s="4"/>
      <c r="N297" s="2" t="s">
        <v>14</v>
      </c>
      <c r="R297" s="2" t="s">
        <v>9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T</v>
      </c>
      <c r="X297" s="49" t="str">
        <f>MID(VLOOKUP($A297,Seqs!$A:$B,2,FALSE),VLOOKUP($A297,'SegEnds_NonXtal_Prot#'!A:AL,10,FALSE)+7,1)</f>
        <v>L</v>
      </c>
      <c r="Y297" s="49" t="str">
        <f>MID(VLOOKUP($A297,Seqs!$A:$B,2,FALSE),VLOOKUP($A297,'SegEnds_NonXtal_Prot#'!A:AL,10,FALSE)+8,1)</f>
        <v>P</v>
      </c>
      <c r="Z297" s="49" t="str">
        <f>MID(VLOOKUP($A297,Seqs!$A:$B,2,FALSE),VLOOKUP($A297,'SegEnds_NonXtal_Prot#'!A:AL,10,FALSE)+9,1)</f>
        <v>L</v>
      </c>
      <c r="AA297" s="49" t="str">
        <f>MID(VLOOKUP($A297,Seqs!$A:$B,2,FALSE),VLOOKUP($A297,'SegEnds_NonXtal_Prot#'!A:AL,10,FALSE)+10,1)</f>
        <v>W</v>
      </c>
      <c r="AB297" s="28" t="str">
        <f>MID(VLOOKUP($A297,Seqs!$A:$B,2,FALSE),VLOOKUP($A297,'SegEnds_NonXtal_Prot#'!$A:$AL,22,FALSE)+6,1)</f>
        <v>I</v>
      </c>
      <c r="AC297" s="49" t="str">
        <f>MID(VLOOKUP($A297,Seqs!$A:$B,2,FALSE),VLOOKUP($A297,'SegEnds_NonXtal_Prot#'!$A:$AL,22,FALSE)+7,1)</f>
        <v>A</v>
      </c>
      <c r="AD297" s="49" t="str">
        <f>MID(VLOOKUP($A297,Seqs!$A:$B,2,FALSE),VLOOKUP($A297,'SegEnds_NonXtal_Prot#'!$A:$AL,22,FALSE)+8,1)</f>
        <v>I</v>
      </c>
      <c r="AE297" s="49" t="str">
        <f>MID(VLOOKUP($A297,Seqs!$A:$B,2,FALSE),VLOOKUP($A297,'SegEnds_NonXtal_Prot#'!$A:$AL,22,FALSE)+9,1)</f>
        <v>P</v>
      </c>
      <c r="AF297" s="49" t="str">
        <f>MID(VLOOKUP($A297,Seqs!$A:$B,2,FALSE),VLOOKUP($A297,'SegEnds_NonXtal_Prot#'!$A:$AL,22,FALSE)+10,1)</f>
        <v>H</v>
      </c>
      <c r="AG297" s="28" t="str">
        <f>MID(VLOOKUP($A297,Seqs!$A:$B,2,FALSE),VLOOKUP($A297,'SegEnds_NonXtal_Prot#'!$A:$AL,28,FALSE)-4,1)</f>
        <v>A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1508</v>
      </c>
      <c r="B298" s="2" t="str">
        <f>LOWER(VLOOKUP(A298,Xtal_Templ!A:B,2,FALSE))</f>
        <v>q80km9_hcmv</v>
      </c>
      <c r="C298" s="2" t="str">
        <f>VLOOKUP(A298,Classification!A:D,2,FALSE)</f>
        <v>A</v>
      </c>
      <c r="D298" s="2" t="str">
        <f>IF(ISERROR(MATCH(A298,'SegEnds_Xtal_Prot#'!B:B, 0)), "NoXtal", "Xtal")</f>
        <v>Xtal</v>
      </c>
      <c r="H298" s="4"/>
      <c r="N298" s="2" t="s">
        <v>14</v>
      </c>
      <c r="R298" s="2" t="s">
        <v>9</v>
      </c>
      <c r="T298" s="4" t="s">
        <v>12</v>
      </c>
      <c r="V298" s="28" t="str">
        <f>MID(VLOOKUP($A298,Seqs!$A:$B,2,FALSE),VLOOKUP($A298,'SegEnds_NonXtal_Prot#'!A:AL,10,FALSE),1)</f>
        <v>D</v>
      </c>
      <c r="W298" s="49" t="str">
        <f>MID(VLOOKUP($A298,Seqs!$A:$B,2,FALSE),VLOOKUP($A298,'SegEnds_NonXtal_Prot#'!A:AL,10,FALSE)+6,1)</f>
        <v>T</v>
      </c>
      <c r="X298" s="49" t="str">
        <f>MID(VLOOKUP($A298,Seqs!$A:$B,2,FALSE),VLOOKUP($A298,'SegEnds_NonXtal_Prot#'!A:AL,10,FALSE)+7,1)</f>
        <v>L</v>
      </c>
      <c r="Y298" s="49" t="str">
        <f>MID(VLOOKUP($A298,Seqs!$A:$B,2,FALSE),VLOOKUP($A298,'SegEnds_NonXtal_Prot#'!A:AL,10,FALSE)+8,1)</f>
        <v>P</v>
      </c>
      <c r="Z298" s="49" t="str">
        <f>MID(VLOOKUP($A298,Seqs!$A:$B,2,FALSE),VLOOKUP($A298,'SegEnds_NonXtal_Prot#'!A:AL,10,FALSE)+9,1)</f>
        <v>L</v>
      </c>
      <c r="AA298" s="49" t="str">
        <f>MID(VLOOKUP($A298,Seqs!$A:$B,2,FALSE),VLOOKUP($A298,'SegEnds_NonXtal_Prot#'!A:AL,10,FALSE)+10,1)</f>
        <v>W</v>
      </c>
      <c r="AB298" s="28" t="str">
        <f>MID(VLOOKUP($A298,Seqs!$A:$B,2,FALSE),VLOOKUP($A298,'SegEnds_NonXtal_Prot#'!$A:$AL,22,FALSE)+6,1)</f>
        <v>I</v>
      </c>
      <c r="AC298" s="49" t="str">
        <f>MID(VLOOKUP($A298,Seqs!$A:$B,2,FALSE),VLOOKUP($A298,'SegEnds_NonXtal_Prot#'!$A:$AL,22,FALSE)+7,1)</f>
        <v>A</v>
      </c>
      <c r="AD298" s="49" t="str">
        <f>MID(VLOOKUP($A298,Seqs!$A:$B,2,FALSE),VLOOKUP($A298,'SegEnds_NonXtal_Prot#'!$A:$AL,22,FALSE)+8,1)</f>
        <v>I</v>
      </c>
      <c r="AE298" s="49" t="str">
        <f>MID(VLOOKUP($A298,Seqs!$A:$B,2,FALSE),VLOOKUP($A298,'SegEnds_NonXtal_Prot#'!$A:$AL,22,FALSE)+9,1)</f>
        <v>P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A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401</v>
      </c>
      <c r="B299" s="2" t="str">
        <f>LOWER(VLOOKUP(A299,Xtal_Templ!A:B,2,FALSE))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Xtal</v>
      </c>
      <c r="H299" s="4"/>
      <c r="J299" s="106" t="s">
        <v>25</v>
      </c>
      <c r="P299" s="2" t="s">
        <v>1324</v>
      </c>
      <c r="T299" s="4" t="s">
        <v>12</v>
      </c>
      <c r="V299" s="28" t="str">
        <f>MID(VLOOKUP($A299,Seqs!$A:$B,2,FALSE),VLOOKUP($A299,'SegEnds_NonXtal_Prot#'!A:AL,10,FALSE),1)</f>
        <v>Y</v>
      </c>
      <c r="W299" s="49" t="str">
        <f>MID(VLOOKUP($A299,Seqs!$A:$B,2,FALSE),VLOOKUP($A299,'SegEnds_NonXtal_Prot#'!A:AL,10,FALSE)+6,1)</f>
        <v>I</v>
      </c>
      <c r="X299" s="49" t="str">
        <f>MID(VLOOKUP($A299,Seqs!$A:$B,2,FALSE),VLOOKUP($A299,'SegEnds_NonXtal_Prot#'!A:AL,10,FALSE)+7,1)</f>
        <v>I</v>
      </c>
      <c r="Y299" s="49" t="str">
        <f>MID(VLOOKUP($A299,Seqs!$A:$B,2,FALSE),VLOOKUP($A299,'SegEnds_NonXtal_Prot#'!A:AL,10,FALSE)+8,1)</f>
        <v>I</v>
      </c>
      <c r="Z299" s="49" t="str">
        <f>MID(VLOOKUP($A299,Seqs!$A:$B,2,FALSE),VLOOKUP($A299,'SegEnds_NonXtal_Prot#'!A:AL,10,FALSE)+9,1)</f>
        <v>I</v>
      </c>
      <c r="AA299" s="49" t="str">
        <f>MID(VLOOKUP($A299,Seqs!$A:$B,2,FALSE),VLOOKUP($A299,'SegEnds_NonXtal_Prot#'!A:AL,10,FALSE)+10,1)</f>
        <v>H</v>
      </c>
      <c r="AB299" s="28" t="str">
        <f>MID(VLOOKUP($A299,Seqs!$A:$B,2,FALSE),VLOOKUP($A299,'SegEnds_NonXtal_Prot#'!$A:$AL,22,FALSE)+6,1)</f>
        <v>P</v>
      </c>
      <c r="AC299" s="49" t="str">
        <f>MID(VLOOKUP($A299,Seqs!$A:$B,2,FALSE),VLOOKUP($A299,'SegEnds_NonXtal_Prot#'!$A:$AL,22,FALSE)+7,1)</f>
        <v>T</v>
      </c>
      <c r="AD299" s="49" t="str">
        <f>MID(VLOOKUP($A299,Seqs!$A:$B,2,FALSE),VLOOKUP($A299,'SegEnds_NonXtal_Prot#'!$A:$AL,22,FALSE)+8,1)</f>
        <v>T</v>
      </c>
      <c r="AE299" s="49" t="str">
        <f>MID(VLOOKUP($A299,Seqs!$A:$B,2,FALSE),VLOOKUP($A299,'SegEnds_NonXtal_Prot#'!$A:$AL,22,FALSE)+9,1)</f>
        <v>I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P</v>
      </c>
      <c r="AH299" s="49" t="str">
        <f>MID(VLOOKUP($A299,Seqs!$A:$B,2,FALSE),VLOOKUP($A299,'SegEnds_NonXtal_Prot#'!$A:$AL,28,FALSE),1)</f>
        <v>A</v>
      </c>
    </row>
    <row r="300" spans="1:34" s="2" customFormat="1" x14ac:dyDescent="0.2">
      <c r="A300" s="2" t="s">
        <v>402</v>
      </c>
      <c r="B300" s="2" t="str">
        <f>LOWER(VLOOKUP(A300,Xtal_Templ!A:B,2,FALSE))</f>
        <v>calrl_human</v>
      </c>
      <c r="C300" s="2" t="str">
        <f>VLOOKUP(A300,Classification!A:D,2,FALSE)</f>
        <v>B1</v>
      </c>
      <c r="D300" s="2" t="str">
        <f>IF(ISERROR(MATCH(A300,'SegEnds_Xtal_Prot#'!B:B, 0)), "NoXtal", "Xtal")</f>
        <v>Xtal</v>
      </c>
      <c r="H300" s="4"/>
      <c r="J300" s="106" t="s">
        <v>25</v>
      </c>
      <c r="P300" s="2" t="s">
        <v>1324</v>
      </c>
      <c r="T300" s="4" t="s">
        <v>12</v>
      </c>
      <c r="V300" s="28" t="str">
        <f>MID(VLOOKUP($A300,Seqs!$A:$B,2,FALSE),VLOOKUP($A300,'SegEnds_NonXtal_Prot#'!A:AL,10,FALSE),1)</f>
        <v>F</v>
      </c>
      <c r="W300" s="49" t="str">
        <f>MID(VLOOKUP($A300,Seqs!$A:$B,2,FALSE),VLOOKUP($A300,'SegEnds_NonXtal_Prot#'!A:AL,10,FALSE)+6,1)</f>
        <v>V</v>
      </c>
      <c r="X300" s="49" t="str">
        <f>MID(VLOOKUP($A300,Seqs!$A:$B,2,FALSE),VLOOKUP($A300,'SegEnds_NonXtal_Prot#'!A:AL,10,FALSE)+7,1)</f>
        <v>T</v>
      </c>
      <c r="Y300" s="49" t="str">
        <f>MID(VLOOKUP($A300,Seqs!$A:$B,2,FALSE),VLOOKUP($A300,'SegEnds_NonXtal_Prot#'!A:AL,10,FALSE)+8,1)</f>
        <v>I</v>
      </c>
      <c r="Z300" s="49" t="str">
        <f>MID(VLOOKUP($A300,Seqs!$A:$B,2,FALSE),VLOOKUP($A300,'SegEnds_NonXtal_Prot#'!A:AL,10,FALSE)+9,1)</f>
        <v>I</v>
      </c>
      <c r="AA300" s="49" t="str">
        <f>MID(VLOOKUP($A300,Seqs!$A:$B,2,FALSE),VLOOKUP($A300,'SegEnds_NonXtal_Prot#'!A:AL,10,FALSE)+10,1)</f>
        <v>H</v>
      </c>
      <c r="AB300" s="28" t="str">
        <f>MID(VLOOKUP($A300,Seqs!$A:$B,2,FALSE),VLOOKUP($A300,'SegEnds_NonXtal_Prot#'!$A:$AL,22,FALSE)+6,1)</f>
        <v>P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C</v>
      </c>
      <c r="AE300" s="49" t="str">
        <f>MID(VLOOKUP($A300,Seqs!$A:$B,2,FALSE),VLOOKUP($A300,'SegEnds_NonXtal_Prot#'!$A:$AL,22,FALSE)+9,1)</f>
        <v>I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P</v>
      </c>
      <c r="AH300" s="49" t="str">
        <f>MID(VLOOKUP($A300,Seqs!$A:$B,2,FALSE),VLOOKUP($A300,'SegEnds_NonXtal_Prot#'!$A:$AL,28,FALSE),1)</f>
        <v>A</v>
      </c>
    </row>
    <row r="301" spans="1:34" s="2" customFormat="1" x14ac:dyDescent="0.2">
      <c r="A301" s="2" t="s">
        <v>38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Xtal</v>
      </c>
      <c r="F301" s="49"/>
      <c r="H301" s="4"/>
      <c r="J301" s="52" t="s">
        <v>25</v>
      </c>
      <c r="K301" s="107"/>
      <c r="P301" s="2" t="s">
        <v>1324</v>
      </c>
      <c r="T301" s="4" t="s">
        <v>12</v>
      </c>
      <c r="V301" s="28" t="str">
        <f>MID(VLOOKUP($A301,Seqs!$A:$B,2,FALSE),VLOOKUP($A301,'SegEnds_NonXtal_Prot#'!A:AL,10,FALSE),1)</f>
        <v>F</v>
      </c>
      <c r="W301" s="49" t="str">
        <f>MID(VLOOKUP($A301,Seqs!$A:$B,2,FALSE),VLOOKUP($A301,'SegEnds_NonXtal_Prot#'!A:AL,10,FALSE)+6,1)</f>
        <v>T</v>
      </c>
      <c r="X301" s="49" t="str">
        <f>MID(VLOOKUP($A301,Seqs!$A:$B,2,FALSE),VLOOKUP($A301,'SegEnds_NonXtal_Prot#'!A:AL,10,FALSE)+7,1)</f>
        <v>W</v>
      </c>
      <c r="Y301" s="49" t="str">
        <f>MID(VLOOKUP($A301,Seqs!$A:$B,2,FALSE),VLOOKUP($A301,'SegEnds_NonXtal_Prot#'!A:AL,10,FALSE)+8,1)</f>
        <v>F</v>
      </c>
      <c r="Z301" s="49" t="str">
        <f>MID(VLOOKUP($A301,Seqs!$A:$B,2,FALSE),VLOOKUP($A301,'SegEnds_NonXtal_Prot#'!A:AL,10,FALSE)+9,1)</f>
        <v>V</v>
      </c>
      <c r="AA301" s="49" t="str">
        <f>MID(VLOOKUP($A301,Seqs!$A:$B,2,FALSE),VLOOKUP($A301,'SegEnds_NonXtal_Prot#'!A:AL,10,FALSE)+10,1)</f>
        <v>V</v>
      </c>
      <c r="AB301" s="28" t="str">
        <f>MID(VLOOKUP($A301,Seqs!$A:$B,2,FALSE),VLOOKUP($A301,'SegEnds_NonXtal_Prot#'!$A:$AL,22,FALSE)+6,1)</f>
        <v>I</v>
      </c>
      <c r="AC301" s="49" t="str">
        <f>MID(VLOOKUP($A301,Seqs!$A:$B,2,FALSE),VLOOKUP($A301,'SegEnds_NonXtal_Prot#'!$A:$AL,22,FALSE)+7,1)</f>
        <v>I</v>
      </c>
      <c r="AD301" s="49" t="str">
        <f>MID(VLOOKUP($A301,Seqs!$A:$B,2,FALSE),VLOOKUP($A301,'SegEnds_NonXtal_Prot#'!$A:$AL,22,FALSE)+8,1)</f>
        <v>V</v>
      </c>
      <c r="AE301" s="49" t="str">
        <f>MID(VLOOKUP($A301,Seqs!$A:$B,2,FALSE),VLOOKUP($A301,'SegEnds_NonXtal_Prot#'!$A:$AL,22,FALSE)+9,1)</f>
        <v>A</v>
      </c>
      <c r="AF301" s="49" t="str">
        <f>MID(VLOOKUP($A301,Seqs!$A:$B,2,FALSE),VLOOKUP($A301,'SegEnds_NonXtal_Prot#'!$A:$AL,22,FALSE)+10,1)</f>
        <v>W</v>
      </c>
      <c r="AG301" s="28" t="str">
        <f>MID(VLOOKUP($A301,Seqs!$A:$B,2,FALSE),VLOOKUP($A301,'SegEnds_NonXtal_Prot#'!$A:$AL,28,FALSE)-4,1)</f>
        <v>P</v>
      </c>
      <c r="AH301" s="49" t="str">
        <f>MID(VLOOKUP($A301,Seqs!$A:$B,2,FALSE),VLOOKUP($A301,'SegEnds_NonXtal_Prot#'!$A:$AL,28,FALSE),1)</f>
        <v>V</v>
      </c>
    </row>
    <row r="302" spans="1:34" s="2" customFormat="1" x14ac:dyDescent="0.2">
      <c r="A302" s="2" t="s">
        <v>403</v>
      </c>
      <c r="B302" s="2" t="str">
        <f>LOWER(VLOOKUP(A302,Xtal_Templ!A:B,2,FALSE))</f>
        <v>crfr1_human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F302" s="49"/>
      <c r="H302" s="4"/>
      <c r="J302" s="106" t="s">
        <v>25</v>
      </c>
      <c r="P302" s="2" t="s">
        <v>1324</v>
      </c>
      <c r="T302" s="4" t="s">
        <v>12</v>
      </c>
      <c r="V302" s="28" t="str">
        <f>MID(VLOOKUP($A302,Seqs!$A:$B,2,FALSE),VLOOKUP($A302,'SegEnds_NonXtal_Prot#'!A:AL,10,FALSE),1)</f>
        <v>F</v>
      </c>
      <c r="W302" s="49" t="str">
        <f>MID(VLOOKUP($A302,Seqs!$A:$B,2,FALSE),VLOOKUP($A302,'SegEnds_NonXtal_Prot#'!A:AL,10,FALSE)+6,1)</f>
        <v>M</v>
      </c>
      <c r="X302" s="49" t="str">
        <f>MID(VLOOKUP($A302,Seqs!$A:$B,2,FALSE),VLOOKUP($A302,'SegEnds_NonXtal_Prot#'!A:AL,10,FALSE)+7,1)</f>
        <v>W</v>
      </c>
      <c r="Y302" s="49" t="str">
        <f>MID(VLOOKUP($A302,Seqs!$A:$B,2,FALSE),VLOOKUP($A302,'SegEnds_NonXtal_Prot#'!A:AL,10,FALSE)+8,1)</f>
        <v>F</v>
      </c>
      <c r="Z302" s="49" t="str">
        <f>MID(VLOOKUP($A302,Seqs!$A:$B,2,FALSE),VLOOKUP($A302,'SegEnds_NonXtal_Prot#'!A:AL,10,FALSE)+9,1)</f>
        <v>L</v>
      </c>
      <c r="AA302" s="49" t="str">
        <f>MID(VLOOKUP($A302,Seqs!$A:$B,2,FALSE),VLOOKUP($A302,'SegEnds_NonXtal_Prot#'!A:AL,10,FALSE)+10,1)</f>
        <v>L</v>
      </c>
      <c r="AB302" s="28" t="str">
        <f>MID(VLOOKUP($A302,Seqs!$A:$B,2,FALSE),VLOOKUP($A302,'SegEnds_NonXtal_Prot#'!$A:$AL,22,FALSE)+6,1)</f>
        <v>I</v>
      </c>
      <c r="AC302" s="49" t="str">
        <f>MID(VLOOKUP($A302,Seqs!$A:$B,2,FALSE),VLOOKUP($A302,'SegEnds_NonXtal_Prot#'!$A:$AL,22,FALSE)+7,1)</f>
        <v>I</v>
      </c>
      <c r="AD302" s="49" t="str">
        <f>MID(VLOOKUP($A302,Seqs!$A:$B,2,FALSE),VLOOKUP($A302,'SegEnds_NonXtal_Prot#'!$A:$AL,22,FALSE)+8,1)</f>
        <v>V</v>
      </c>
      <c r="AE302" s="49" t="str">
        <f>MID(VLOOKUP($A302,Seqs!$A:$B,2,FALSE),VLOOKUP($A302,'SegEnds_NonXtal_Prot#'!$A:$AL,22,FALSE)+9,1)</f>
        <v>A</v>
      </c>
      <c r="AF302" s="49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49" t="str">
        <f>MID(VLOOKUP($A302,Seqs!$A:$B,2,FALSE),VLOOKUP($A302,'SegEnds_NonXtal_Prot#'!$A:$AL,28,FALSE),1)</f>
        <v>V</v>
      </c>
    </row>
    <row r="303" spans="1:34" s="2" customFormat="1" x14ac:dyDescent="0.2">
      <c r="A303" s="2" t="s">
        <v>404</v>
      </c>
      <c r="B303" s="2" t="str">
        <f>LOWER(VLOOKUP(A303,Xtal_Templ!A:B,2,FALSE))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H303" s="4"/>
      <c r="J303" s="106" t="s">
        <v>25</v>
      </c>
      <c r="P303" s="2" t="s">
        <v>1324</v>
      </c>
      <c r="T303" s="4" t="s">
        <v>12</v>
      </c>
      <c r="V303" s="28" t="str">
        <f>MID(VLOOKUP($A303,Seqs!$A:$B,2,FALSE),VLOOKUP($A303,'SegEnds_NonXtal_Prot#'!A:AL,10,FALSE),1)</f>
        <v>F</v>
      </c>
      <c r="W303" s="49" t="str">
        <f>MID(VLOOKUP($A303,Seqs!$A:$B,2,FALSE),VLOOKUP($A303,'SegEnds_NonXtal_Prot#'!A:AL,10,FALSE)+6,1)</f>
        <v>A</v>
      </c>
      <c r="X303" s="49" t="str">
        <f>MID(VLOOKUP($A303,Seqs!$A:$B,2,FALSE),VLOOKUP($A303,'SegEnds_NonXtal_Prot#'!A:AL,10,FALSE)+7,1)</f>
        <v>V</v>
      </c>
      <c r="Y303" s="49" t="str">
        <f>MID(VLOOKUP($A303,Seqs!$A:$B,2,FALSE),VLOOKUP($A303,'SegEnds_NonXtal_Prot#'!A:AL,10,FALSE)+8,1)</f>
        <v>F</v>
      </c>
      <c r="Z303" s="49" t="str">
        <f>MID(VLOOKUP($A303,Seqs!$A:$B,2,FALSE),VLOOKUP($A303,'SegEnds_NonXtal_Prot#'!A:AL,10,FALSE)+9,1)</f>
        <v>L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F</v>
      </c>
      <c r="AC303" s="49" t="str">
        <f>MID(VLOOKUP($A303,Seqs!$A:$B,2,FALSE),VLOOKUP($A303,'SegEnds_NonXtal_Prot#'!$A:$AL,22,FALSE)+7,1)</f>
        <v>T</v>
      </c>
      <c r="AD303" s="49" t="str">
        <f>MID(VLOOKUP($A303,Seqs!$A:$B,2,FALSE),VLOOKUP($A303,'SegEnds_NonXtal_Prot#'!$A:$AL,22,FALSE)+8,1)</f>
        <v>G</v>
      </c>
      <c r="AE303" s="49" t="str">
        <f>MID(VLOOKUP($A303,Seqs!$A:$B,2,FALSE),VLOOKUP($A303,'SegEnds_NonXtal_Prot#'!$A:$AL,22,FALSE)+9,1)</f>
        <v>T</v>
      </c>
      <c r="AF303" s="49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S</v>
      </c>
    </row>
    <row r="304" spans="1:34" s="2" customFormat="1" x14ac:dyDescent="0.2">
      <c r="A304" s="2" t="s">
        <v>405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NoXtal</v>
      </c>
      <c r="H304" s="4"/>
      <c r="J304" s="106" t="s">
        <v>25</v>
      </c>
      <c r="P304" s="2" t="s">
        <v>1324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A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L</v>
      </c>
      <c r="Z304" s="49" t="str">
        <f>MID(VLOOKUP($A304,Seqs!$A:$B,2,FALSE),VLOOKUP($A304,'SegEnds_NonXtal_Prot#'!A:AL,10,FALSE)+9,1)</f>
        <v>S</v>
      </c>
      <c r="AA304" s="49" t="str">
        <f>MID(VLOOKUP($A304,Seqs!$A:$B,2,FALSE),VLOOKUP($A304,'SegEnds_NonXtal_Prot#'!A:AL,10,FALSE)+10,1)</f>
        <v>R</v>
      </c>
      <c r="AB304" s="28" t="str">
        <f>MID(VLOOKUP($A304,Seqs!$A:$B,2,FALSE),VLOOKUP($A304,'SegEnds_NonXtal_Prot#'!$A:$AL,22,FALSE)+6,1)</f>
        <v>F</v>
      </c>
      <c r="AC304" s="49" t="str">
        <f>MID(VLOOKUP($A304,Seqs!$A:$B,2,FALSE),VLOOKUP($A304,'SegEnds_NonXtal_Prot#'!$A:$AL,22,FALSE)+7,1)</f>
        <v>V</v>
      </c>
      <c r="AD304" s="49" t="str">
        <f>MID(VLOOKUP($A304,Seqs!$A:$B,2,FALSE),VLOOKUP($A304,'SegEnds_NonXtal_Prot#'!$A:$AL,22,FALSE)+8,1)</f>
        <v>I</v>
      </c>
      <c r="AE304" s="49" t="str">
        <f>MID(VLOOKUP($A304,Seqs!$A:$B,2,FALSE),VLOOKUP($A304,'SegEnds_NonXtal_Prot#'!$A:$AL,22,FALSE)+9,1)</f>
        <v>P</v>
      </c>
      <c r="AF304" s="49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T</v>
      </c>
    </row>
    <row r="305" spans="1:34" s="2" customFormat="1" x14ac:dyDescent="0.2">
      <c r="A305" s="2" t="s">
        <v>406</v>
      </c>
      <c r="B305" s="2" t="str">
        <f>LOWER(VLOOKUP(A305,Xtal_Templ!A:B,2,FALSE))</f>
        <v>glp1r_human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1324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S</v>
      </c>
      <c r="X305" s="49" t="str">
        <f>MID(VLOOKUP($A305,Seqs!$A:$B,2,FALSE),VLOOKUP($A305,'SegEnds_NonXtal_Prot#'!A:AL,10,FALSE)+7,1)</f>
        <v>V</v>
      </c>
      <c r="Y305" s="49" t="str">
        <f>MID(VLOOKUP($A305,Seqs!$A:$B,2,FALSE),VLOOKUP($A305,'SegEnds_NonXtal_Prot#'!A:AL,10,FALSE)+8,1)</f>
        <v>F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K</v>
      </c>
      <c r="AB305" s="28" t="str">
        <f>MID(VLOOKUP($A305,Seqs!$A:$B,2,FALSE),VLOOKUP($A305,'SegEnds_NonXtal_Prot#'!$A:$AL,22,FALSE)+6,1)</f>
        <v>F</v>
      </c>
      <c r="AC305" s="49" t="str">
        <f>MID(VLOOKUP($A305,Seqs!$A:$B,2,FALSE),VLOOKUP($A305,'SegEnds_NonXtal_Prot#'!$A:$AL,22,FALSE)+7,1)</f>
        <v>V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P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407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H306" s="4"/>
      <c r="J306" s="106" t="s">
        <v>25</v>
      </c>
      <c r="P306" s="2" t="s">
        <v>1324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A</v>
      </c>
      <c r="X306" s="49" t="str">
        <f>MID(VLOOKUP($A306,Seqs!$A:$B,2,FALSE),VLOOKUP($A306,'SegEnds_NonXtal_Prot#'!A:AL,10,FALSE)+7,1)</f>
        <v>V</v>
      </c>
      <c r="Y306" s="49" t="str">
        <f>MID(VLOOKUP($A306,Seqs!$A:$B,2,FALSE),VLOOKUP($A306,'SegEnds_NonXtal_Prot#'!A:AL,10,FALSE)+8,1)</f>
        <v>L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K</v>
      </c>
      <c r="AB306" s="28" t="str">
        <f>MID(VLOOKUP($A306,Seqs!$A:$B,2,FALSE),VLOOKUP($A306,'SegEnds_NonXtal_Prot#'!$A:$AL,22,FALSE)+6,1)</f>
        <v>F</v>
      </c>
      <c r="AC306" s="49" t="str">
        <f>MID(VLOOKUP($A306,Seqs!$A:$B,2,FALSE),VLOOKUP($A306,'SegEnds_NonXtal_Prot#'!$A:$AL,22,FALSE)+7,1)</f>
        <v>V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P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C</v>
      </c>
    </row>
    <row r="307" spans="1:34" s="2" customFormat="1" x14ac:dyDescent="0.2">
      <c r="A307" s="2" t="s">
        <v>32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H307" s="4"/>
      <c r="J307" s="106" t="s">
        <v>25</v>
      </c>
      <c r="P307" s="2" t="s">
        <v>1324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S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L</v>
      </c>
      <c r="Z307" s="49" t="str">
        <f>MID(VLOOKUP($A307,Seqs!$A:$B,2,FALSE),VLOOKUP($A307,'SegEnds_NonXtal_Prot#'!A:AL,10,FALSE)+9,1)</f>
        <v>V</v>
      </c>
      <c r="AA307" s="49" t="str">
        <f>MID(VLOOKUP($A307,Seqs!$A:$B,2,FALSE),VLOOKUP($A307,'SegEnds_NonXtal_Prot#'!A:AL,10,FALSE)+10,1)</f>
        <v>I</v>
      </c>
      <c r="AB307" s="28" t="str">
        <f>MID(VLOOKUP($A307,Seqs!$A:$B,2,FALSE),VLOOKUP($A307,'SegEnds_NonXtal_Prot#'!$A:$AL,22,FALSE)+6,1)</f>
        <v>F</v>
      </c>
      <c r="AC307" s="49" t="str">
        <f>MID(VLOOKUP($A307,Seqs!$A:$B,2,FALSE),VLOOKUP($A307,'SegEnds_NonXtal_Prot#'!$A:$AL,22,FALSE)+7,1)</f>
        <v>V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P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A</v>
      </c>
    </row>
    <row r="308" spans="1:34" s="2" customFormat="1" x14ac:dyDescent="0.2">
      <c r="A308" s="2" t="s">
        <v>408</v>
      </c>
      <c r="B308" s="2" t="str">
        <f>LOWER(VLOOKUP(A308,Xtal_Templ!A:B,2,FALSE))</f>
        <v>pth1r_human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1324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S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I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C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T</v>
      </c>
      <c r="AE308" s="49" t="str">
        <f>MID(VLOOKUP($A308,Seqs!$A:$B,2,FALSE),VLOOKUP($A308,'SegEnds_NonXtal_Prot#'!$A:$AL,22,FALSE)+9,1)</f>
        <v>V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409</v>
      </c>
      <c r="B309" s="2" t="str">
        <f>LOWER(VLOOKUP(A309,Xtal_Templ!A:B,2,FALSE))</f>
        <v>pth1r_human</v>
      </c>
      <c r="C309" s="2" t="str">
        <f>VLOOKUP(A309,Classification!A:D,2,FALSE)</f>
        <v>B1</v>
      </c>
      <c r="D309" s="2" t="str">
        <f>IF(ISERROR(MATCH(A309,'SegEnds_Xtal_Prot#'!B:B, 0)), "NoXtal", "Xtal")</f>
        <v>Xtal</v>
      </c>
      <c r="H309" s="4"/>
      <c r="J309" s="106" t="s">
        <v>25</v>
      </c>
      <c r="P309" s="2" t="s">
        <v>1324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V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A</v>
      </c>
      <c r="AE309" s="49" t="str">
        <f>MID(VLOOKUP($A309,Seqs!$A:$B,2,FALSE),VLOOKUP($A309,'SegEnds_NonXtal_Prot#'!$A:$AL,22,FALSE)+9,1)</f>
        <v>V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S</v>
      </c>
    </row>
    <row r="310" spans="1:34" s="2" customFormat="1" x14ac:dyDescent="0.2">
      <c r="A310" s="2" t="s">
        <v>410</v>
      </c>
      <c r="B310" s="2" t="str">
        <f>LOWER(VLOOKUP(A310,Xtal_Templ!A:B,2,FALSE))</f>
        <v>pth1r_human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6" t="s">
        <v>25</v>
      </c>
      <c r="P310" s="2" t="s">
        <v>1324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I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V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A</v>
      </c>
      <c r="AE310" s="49" t="str">
        <f>MID(VLOOKUP($A310,Seqs!$A:$B,2,FALSE),VLOOKUP($A310,'SegEnds_NonXtal_Prot#'!$A:$AL,22,FALSE)+9,1)</f>
        <v>A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411</v>
      </c>
      <c r="B311" s="2" t="str">
        <f>LOWER(VLOOKUP(A311,Xtal_Templ!A:B,2,FALSE))</f>
        <v>glp1r_human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1324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S</v>
      </c>
      <c r="X311" s="49" t="str">
        <f>MID(VLOOKUP($A311,Seqs!$A:$B,2,FALSE),VLOOKUP($A311,'SegEnds_NonXtal_Prot#'!A:AL,10,FALSE)+7,1)</f>
        <v>N</v>
      </c>
      <c r="Y311" s="49" t="str">
        <f>MID(VLOOKUP($A311,Seqs!$A:$B,2,FALSE),VLOOKUP($A311,'SegEnds_NonXtal_Prot#'!A:AL,10,FALSE)+8,1)</f>
        <v>F</v>
      </c>
      <c r="Z311" s="49" t="str">
        <f>MID(VLOOKUP($A311,Seqs!$A:$B,2,FALSE),VLOOKUP($A311,'SegEnds_NonXtal_Prot#'!A:AL,10,FALSE)+9,1)</f>
        <v>I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A</v>
      </c>
      <c r="AE311" s="49" t="str">
        <f>MID(VLOOKUP($A311,Seqs!$A:$B,2,FALSE),VLOOKUP($A311,'SegEnds_NonXtal_Prot#'!$A:$AL,22,FALSE)+9,1)</f>
        <v>L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S</v>
      </c>
    </row>
    <row r="312" spans="1:34" s="2" customFormat="1" x14ac:dyDescent="0.2">
      <c r="A312" s="2" t="s">
        <v>412</v>
      </c>
      <c r="B312" s="2" t="str">
        <f>LOWER(VLOOKUP(A312,Xtal_Templ!A:B,2,FALSE))</f>
        <v>pth1r_human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6" t="s">
        <v>25</v>
      </c>
      <c r="P312" s="2" t="s">
        <v>1324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A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F</v>
      </c>
      <c r="Z312" s="49" t="str">
        <f>MID(VLOOKUP($A312,Seqs!$A:$B,2,FALSE),VLOOKUP($A312,'SegEnds_NonXtal_Prot#'!A:AL,10,FALSE)+9,1)</f>
        <v>I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T</v>
      </c>
      <c r="AD312" s="49" t="str">
        <f>MID(VLOOKUP($A312,Seqs!$A:$B,2,FALSE),VLOOKUP($A312,'SegEnds_NonXtal_Prot#'!$A:$AL,22,FALSE)+8,1)</f>
        <v>M</v>
      </c>
      <c r="AE312" s="49" t="str">
        <f>MID(VLOOKUP($A312,Seqs!$A:$B,2,FALSE),VLOOKUP($A312,'SegEnds_NonXtal_Prot#'!$A:$AL,22,FALSE)+9,1)</f>
        <v>V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413</v>
      </c>
      <c r="B313" s="2" t="str">
        <f>LOWER(VLOOKUP(A313,Xtal_Templ!A:B,2,FALSE))</f>
        <v>pth1r_human</v>
      </c>
      <c r="C313" s="2" t="str">
        <f>VLOOKUP(A313,Classification!A:D,2,FALSE)</f>
        <v>B1</v>
      </c>
      <c r="D313" s="2" t="str">
        <f>IF(ISERROR(MATCH(A313,'SegEnds_Xtal_Prot#'!B:B, 0)), "NoXtal", "Xtal")</f>
        <v>NoXtal</v>
      </c>
      <c r="H313" s="4"/>
      <c r="J313" s="106" t="s">
        <v>25</v>
      </c>
      <c r="P313" s="2" t="s">
        <v>1324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L</v>
      </c>
      <c r="Z313" s="49" t="str">
        <f>MID(VLOOKUP($A313,Seqs!$A:$B,2,FALSE),VLOOKUP($A313,'SegEnds_NonXtal_Prot#'!A:AL,10,FALSE)+9,1)</f>
        <v>V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I</v>
      </c>
      <c r="AD313" s="49" t="str">
        <f>MID(VLOOKUP($A313,Seqs!$A:$B,2,FALSE),VLOOKUP($A313,'SegEnds_NonXtal_Prot#'!$A:$AL,22,FALSE)+8,1)</f>
        <v>G</v>
      </c>
      <c r="AE313" s="49" t="str">
        <f>MID(VLOOKUP($A313,Seqs!$A:$B,2,FALSE),VLOOKUP($A313,'SegEnds_NonXtal_Prot#'!$A:$AL,22,FALSE)+9,1)</f>
        <v>A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1421</v>
      </c>
      <c r="B314" s="2" t="str">
        <f>LOWER(VLOOKUP(A314,Xtal_Templ!A:B,2,FALSE))</f>
        <v>g1sgd4_rabit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1324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V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I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I</v>
      </c>
      <c r="AE314" s="49" t="str">
        <f>MID(VLOOKUP($A314,Seqs!$A:$B,2,FALSE),VLOOKUP($A314,'SegEnds_NonXtal_Prot#'!$A:$AL,22,FALSE)+9,1)</f>
        <v>P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A</v>
      </c>
    </row>
    <row r="315" spans="1:34" s="2" customFormat="1" x14ac:dyDescent="0.2">
      <c r="A315" s="2" t="s">
        <v>1177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H315" s="4"/>
      <c r="J315" s="106" t="s">
        <v>25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F</v>
      </c>
      <c r="X315" s="49" t="str">
        <f>MID(VLOOKUP($A315,Seqs!$A:$B,2,FALSE),VLOOKUP($A315,'SegEnds_NonXtal_Prot#'!A:AL,10,FALSE)+7,1)</f>
        <v>T</v>
      </c>
      <c r="Y315" s="49" t="str">
        <f>MID(VLOOKUP($A315,Seqs!$A:$B,2,FALSE),VLOOKUP($A315,'SegEnds_NonXtal_Prot#'!A:AL,10,FALSE)+8,1)</f>
        <v>V</v>
      </c>
      <c r="Z315" s="49" t="str">
        <f>MID(VLOOKUP($A315,Seqs!$A:$B,2,FALSE),VLOOKUP($A315,'SegEnds_NonXtal_Prot#'!A:AL,10,FALSE)+9,1)</f>
        <v>F</v>
      </c>
      <c r="AA315" s="49" t="str">
        <f>MID(VLOOKUP($A315,Seqs!$A:$B,2,FALSE),VLOOKUP($A315,'SegEnds_NonXtal_Prot#'!A:AL,10,FALSE)+10,1)</f>
        <v>A</v>
      </c>
      <c r="AB315" s="28" t="str">
        <f>MID(VLOOKUP($A315,Seqs!$A:$B,2,FALSE),VLOOKUP($A315,'SegEnds_NonXtal_Prot#'!$A:$AL,22,FALSE)+6,1)</f>
        <v>I</v>
      </c>
      <c r="AC315" s="49" t="str">
        <f>MID(VLOOKUP($A315,Seqs!$A:$B,2,FALSE),VLOOKUP($A315,'SegEnds_NonXtal_Prot#'!$A:$AL,22,FALSE)+7,1)</f>
        <v>C</v>
      </c>
      <c r="AD315" s="49" t="str">
        <f>MID(VLOOKUP($A315,Seqs!$A:$B,2,FALSE),VLOOKUP($A315,'SegEnds_NonXtal_Prot#'!$A:$AL,22,FALSE)+8,1)</f>
        <v>G</v>
      </c>
      <c r="AE315" s="49" t="str">
        <f>MID(VLOOKUP($A315,Seqs!$A:$B,2,FALSE),VLOOKUP($A315,'SegEnds_NonXtal_Prot#'!$A:$AL,22,FALSE)+9,1)</f>
        <v>V</v>
      </c>
      <c r="AF315" s="49" t="str">
        <f>MID(VLOOKUP($A315,Seqs!$A:$B,2,FALSE),VLOOKUP($A315,'SegEnds_NonXtal_Prot#'!$A:$AL,22,FALSE)+10,1)</f>
        <v>T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I</v>
      </c>
    </row>
    <row r="316" spans="1:34" s="2" customFormat="1" x14ac:dyDescent="0.2">
      <c r="A316" s="2" t="s">
        <v>1178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6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A</v>
      </c>
      <c r="Y316" s="49" t="str">
        <f>MID(VLOOKUP($A316,Seqs!$A:$B,2,FALSE),VLOOKUP($A316,'SegEnds_NonXtal_Prot#'!A:AL,10,FALSE)+8,1)</f>
        <v>V</v>
      </c>
      <c r="Z316" s="49" t="str">
        <f>MID(VLOOKUP($A316,Seqs!$A:$B,2,FALSE),VLOOKUP($A316,'SegEnds_NonXtal_Prot#'!A:AL,10,FALSE)+9,1)</f>
        <v>F</v>
      </c>
      <c r="AA316" s="49" t="str">
        <f>MID(VLOOKUP($A316,Seqs!$A:$B,2,FALSE),VLOOKUP($A316,'SegEnds_NonXtal_Prot#'!A:AL,10,FALSE)+10,1)</f>
        <v>A</v>
      </c>
      <c r="AB316" s="28" t="str">
        <f>MID(VLOOKUP($A316,Seqs!$A:$B,2,FALSE),VLOOKUP($A316,'SegEnds_NonXtal_Prot#'!$A:$AL,22,FALSE)+6,1)</f>
        <v>I</v>
      </c>
      <c r="AC316" s="49" t="str">
        <f>MID(VLOOKUP($A316,Seqs!$A:$B,2,FALSE),VLOOKUP($A316,'SegEnds_NonXtal_Prot#'!$A:$AL,22,FALSE)+7,1)</f>
        <v>C</v>
      </c>
      <c r="AD316" s="49" t="str">
        <f>MID(VLOOKUP($A316,Seqs!$A:$B,2,FALSE),VLOOKUP($A316,'SegEnds_NonXtal_Prot#'!$A:$AL,22,FALSE)+8,1)</f>
        <v>G</v>
      </c>
      <c r="AE316" s="49" t="str">
        <f>MID(VLOOKUP($A316,Seqs!$A:$B,2,FALSE),VLOOKUP($A316,'SegEnds_NonXtal_Prot#'!$A:$AL,22,FALSE)+9,1)</f>
        <v>I</v>
      </c>
      <c r="AF316" s="49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1179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6" t="s">
        <v>25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C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V</v>
      </c>
      <c r="Z317" s="49" t="str">
        <f>MID(VLOOKUP($A317,Seqs!$A:$B,2,FALSE),VLOOKUP($A317,'SegEnds_NonXtal_Prot#'!A:AL,10,FALSE)+9,1)</f>
        <v>F</v>
      </c>
      <c r="AA317" s="49" t="str">
        <f>MID(VLOOKUP($A317,Seqs!$A:$B,2,FALSE),VLOOKUP($A317,'SegEnds_NonXtal_Prot#'!A:AL,10,FALSE)+10,1)</f>
        <v>V</v>
      </c>
      <c r="AB317" s="28" t="str">
        <f>MID(VLOOKUP($A317,Seqs!$A:$B,2,FALSE),VLOOKUP($A317,'SegEnds_NonXtal_Prot#'!$A:$AL,22,FALSE)+6,1)</f>
        <v>V</v>
      </c>
      <c r="AC317" s="49" t="str">
        <f>MID(VLOOKUP($A317,Seqs!$A:$B,2,FALSE),VLOOKUP($A317,'SegEnds_NonXtal_Prot#'!$A:$AL,22,FALSE)+7,1)</f>
        <v>C</v>
      </c>
      <c r="AD317" s="49" t="str">
        <f>MID(VLOOKUP($A317,Seqs!$A:$B,2,FALSE),VLOOKUP($A317,'SegEnds_NonXtal_Prot#'!$A:$AL,22,FALSE)+8,1)</f>
        <v>G</v>
      </c>
      <c r="AE317" s="49" t="str">
        <f>MID(VLOOKUP($A317,Seqs!$A:$B,2,FALSE),VLOOKUP($A317,'SegEnds_NonXtal_Prot#'!$A:$AL,22,FALSE)+9,1)</f>
        <v>I</v>
      </c>
      <c r="AF317" s="49" t="str">
        <f>MID(VLOOKUP($A317,Seqs!$A:$B,2,FALSE),VLOOKUP($A317,'SegEnds_NonXtal_Prot#'!$A:$AL,22,FALSE)+10,1)</f>
        <v>T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1180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6" t="s">
        <v>25</v>
      </c>
      <c r="T318" s="4" t="s">
        <v>12</v>
      </c>
      <c r="V318" s="28" t="str">
        <f>MID(VLOOKUP($A318,Seqs!$A:$B,2,FALSE),VLOOKUP($A318,'SegEnds_NonXtal_Prot#'!A:AL,10,FALSE),1)</f>
        <v>I</v>
      </c>
      <c r="W318" s="49" t="str">
        <f>MID(VLOOKUP($A318,Seqs!$A:$B,2,FALSE),VLOOKUP($A318,'SegEnds_NonXtal_Prot#'!A:AL,10,FALSE)+6,1)</f>
        <v>L</v>
      </c>
      <c r="X318" s="49" t="str">
        <f>MID(VLOOKUP($A318,Seqs!$A:$B,2,FALSE),VLOOKUP($A318,'SegEnds_NonXtal_Prot#'!A:AL,10,FALSE)+7,1)</f>
        <v>I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G</v>
      </c>
      <c r="AB318" s="28" t="str">
        <f>MID(VLOOKUP($A318,Seqs!$A:$B,2,FALSE),VLOOKUP($A318,'SegEnds_NonXtal_Prot#'!$A:$AL,22,FALSE)+6,1)</f>
        <v>V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A</v>
      </c>
      <c r="AE318" s="49" t="str">
        <f>MID(VLOOKUP($A318,Seqs!$A:$B,2,FALSE),VLOOKUP($A318,'SegEnds_NonXtal_Prot#'!$A:$AL,22,FALSE)+9,1)</f>
        <v>V</v>
      </c>
      <c r="AF318" s="49" t="str">
        <f>MID(VLOOKUP($A318,Seqs!$A:$B,2,FALSE),VLOOKUP($A318,'SegEnds_NonXtal_Prot#'!$A:$AL,22,FALSE)+10,1)</f>
        <v>S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I</v>
      </c>
    </row>
    <row r="319" spans="1:34" s="2" customFormat="1" x14ac:dyDescent="0.2">
      <c r="A319" s="2" t="s">
        <v>1181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6" t="s">
        <v>25</v>
      </c>
      <c r="T319" s="4" t="s">
        <v>12</v>
      </c>
      <c r="V319" s="28" t="str">
        <f>MID(VLOOKUP($A319,Seqs!$A:$B,2,FALSE),VLOOKUP($A319,'SegEnds_NonXtal_Prot#'!A:AL,10,FALSE),1)</f>
        <v>I</v>
      </c>
      <c r="W319" s="49" t="str">
        <f>MID(VLOOKUP($A319,Seqs!$A:$B,2,FALSE),VLOOKUP($A319,'SegEnds_NonXtal_Prot#'!A:AL,10,FALSE)+6,1)</f>
        <v>L</v>
      </c>
      <c r="X319" s="49" t="str">
        <f>MID(VLOOKUP($A319,Seqs!$A:$B,2,FALSE),VLOOKUP($A319,'SegEnds_NonXtal_Prot#'!A:AL,10,FALSE)+7,1)</f>
        <v>I</v>
      </c>
      <c r="Y319" s="49" t="str">
        <f>MID(VLOOKUP($A319,Seqs!$A:$B,2,FALSE),VLOOKUP($A319,'SegEnds_NonXtal_Prot#'!A:AL,10,FALSE)+8,1)</f>
        <v>L</v>
      </c>
      <c r="Z319" s="49" t="str">
        <f>MID(VLOOKUP($A319,Seqs!$A:$B,2,FALSE),VLOOKUP($A319,'SegEnds_NonXtal_Prot#'!A:AL,10,FALSE)+9,1)</f>
        <v>V</v>
      </c>
      <c r="AA319" s="49" t="str">
        <f>MID(VLOOKUP($A319,Seqs!$A:$B,2,FALSE),VLOOKUP($A319,'SegEnds_NonXtal_Prot#'!A:AL,10,FALSE)+10,1)</f>
        <v>G</v>
      </c>
      <c r="AB319" s="28" t="str">
        <f>MID(VLOOKUP($A319,Seqs!$A:$B,2,FALSE),VLOOKUP($A319,'SegEnds_NonXtal_Prot#'!$A:$AL,22,FALSE)+6,1)</f>
        <v>V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A</v>
      </c>
      <c r="AE319" s="49" t="str">
        <f>MID(VLOOKUP($A319,Seqs!$A:$B,2,FALSE),VLOOKUP($A319,'SegEnds_NonXtal_Prot#'!$A:$AL,22,FALSE)+9,1)</f>
        <v>T</v>
      </c>
      <c r="AF319" s="49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V</v>
      </c>
    </row>
    <row r="320" spans="1:34" s="2" customFormat="1" x14ac:dyDescent="0.2">
      <c r="A320" s="2" t="s">
        <v>1182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V</v>
      </c>
      <c r="W320" s="49" t="str">
        <f>MID(VLOOKUP($A320,Seqs!$A:$B,2,FALSE),VLOOKUP($A320,'SegEnds_NonXtal_Prot#'!A:AL,10,FALSE)+6,1)</f>
        <v>L</v>
      </c>
      <c r="X320" s="49" t="str">
        <f>MID(VLOOKUP($A320,Seqs!$A:$B,2,FALSE),VLOOKUP($A320,'SegEnds_NonXtal_Prot#'!A:AL,10,FALSE)+7,1)</f>
        <v>L</v>
      </c>
      <c r="Y320" s="49" t="str">
        <f>MID(VLOOKUP($A320,Seqs!$A:$B,2,FALSE),VLOOKUP($A320,'SegEnds_NonXtal_Prot#'!A:AL,10,FALSE)+8,1)</f>
        <v>L</v>
      </c>
      <c r="Z320" s="49" t="str">
        <f>MID(VLOOKUP($A320,Seqs!$A:$B,2,FALSE),VLOOKUP($A320,'SegEnds_NonXtal_Prot#'!A:AL,10,FALSE)+9,1)</f>
        <v>I</v>
      </c>
      <c r="AA320" s="49" t="str">
        <f>MID(VLOOKUP($A320,Seqs!$A:$B,2,FALSE),VLOOKUP($A320,'SegEnds_NonXtal_Prot#'!A:AL,10,FALSE)+10,1)</f>
        <v>S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I</v>
      </c>
      <c r="AE320" s="49" t="str">
        <f>MID(VLOOKUP($A320,Seqs!$A:$B,2,FALSE),VLOOKUP($A320,'SegEnds_NonXtal_Prot#'!$A:$AL,22,FALSE)+9,1)</f>
        <v>I</v>
      </c>
      <c r="AF320" s="49" t="str">
        <f>MID(VLOOKUP($A320,Seqs!$A:$B,2,FALSE),VLOOKUP($A320,'SegEnds_NonXtal_Prot#'!$A:$AL,22,FALSE)+10,1)</f>
        <v>S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1183</v>
      </c>
      <c r="B321" s="2" t="str">
        <f>LOWER(VLOOKUP(A321,Xtal_Templ!A:B,2,FALSE))</f>
        <v>glp1r_human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L</v>
      </c>
      <c r="W321" s="49" t="str">
        <f>MID(VLOOKUP($A321,Seqs!$A:$B,2,FALSE),VLOOKUP($A321,'SegEnds_NonXtal_Prot#'!A:AL,10,FALSE)+6,1)</f>
        <v>F</v>
      </c>
      <c r="X321" s="49" t="str">
        <f>MID(VLOOKUP($A321,Seqs!$A:$B,2,FALSE),VLOOKUP($A321,'SegEnds_NonXtal_Prot#'!A:AL,10,FALSE)+7,1)</f>
        <v>L</v>
      </c>
      <c r="Y321" s="49" t="str">
        <f>MID(VLOOKUP($A321,Seqs!$A:$B,2,FALSE),VLOOKUP($A321,'SegEnds_NonXtal_Prot#'!A:AL,10,FALSE)+8,1)</f>
        <v>M</v>
      </c>
      <c r="Z321" s="49" t="str">
        <f>MID(VLOOKUP($A321,Seqs!$A:$B,2,FALSE),VLOOKUP($A321,'SegEnds_NonXtal_Prot#'!A:AL,10,FALSE)+9,1)</f>
        <v>T</v>
      </c>
      <c r="AA321" s="49" t="str">
        <f>MID(VLOOKUP($A321,Seqs!$A:$B,2,FALSE),VLOOKUP($A321,'SegEnds_NonXtal_Prot#'!A:AL,10,FALSE)+10,1)</f>
        <v>S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V</v>
      </c>
      <c r="AD321" s="49" t="str">
        <f>MID(VLOOKUP($A321,Seqs!$A:$B,2,FALSE),VLOOKUP($A321,'SegEnds_NonXtal_Prot#'!$A:$AL,22,FALSE)+8,1)</f>
        <v>A</v>
      </c>
      <c r="AE321" s="49" t="str">
        <f>MID(VLOOKUP($A321,Seqs!$A:$B,2,FALSE),VLOOKUP($A321,'SegEnds_NonXtal_Prot#'!$A:$AL,22,FALSE)+9,1)</f>
        <v>V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1184</v>
      </c>
      <c r="B322" s="2" t="str">
        <f>LOWER(VLOOKUP(A322,Xtal_Templ!A:B,2,FALSE))</f>
        <v>pth1r_human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F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A</v>
      </c>
      <c r="AA322" s="49" t="str">
        <f>MID(VLOOKUP($A322,Seqs!$A:$B,2,FALSE),VLOOKUP($A322,'SegEnds_NonXtal_Prot#'!A:AL,10,FALSE)+10,1)</f>
        <v>G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V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V</v>
      </c>
    </row>
    <row r="323" spans="1:34" s="2" customFormat="1" x14ac:dyDescent="0.2">
      <c r="A323" s="2" t="s">
        <v>1185</v>
      </c>
      <c r="B323" s="2" t="str">
        <f>LOWER(VLOOKUP(A323,Xtal_Templ!A:B,2,FALSE))</f>
        <v>glp1r_human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F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A</v>
      </c>
      <c r="AB323" s="28" t="str">
        <f>MID(VLOOKUP($A323,Seqs!$A:$B,2,FALSE),VLOOKUP($A323,'SegEnds_NonXtal_Prot#'!$A:$AL,22,FALSE)+6,1)</f>
        <v>T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I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1186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F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T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I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1187</v>
      </c>
      <c r="B325" s="2" t="str">
        <f>LOWER(VLOOKUP(A325,Xtal_Templ!A:B,2,FALSE))</f>
        <v>glp1r_human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L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F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T</v>
      </c>
      <c r="AA325" s="49" t="str">
        <f>MID(VLOOKUP($A325,Seqs!$A:$B,2,FALSE),VLOOKUP($A325,'SegEnds_NonXtal_Prot#'!A:AL,10,FALSE)+10,1)</f>
        <v>G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I</v>
      </c>
      <c r="AD325" s="49" t="str">
        <f>MID(VLOOKUP($A325,Seqs!$A:$B,2,FALSE),VLOOKUP($A325,'SegEnds_NonXtal_Prot#'!$A:$AL,22,FALSE)+8,1)</f>
        <v>A</v>
      </c>
      <c r="AE325" s="49" t="str">
        <f>MID(VLOOKUP($A325,Seqs!$A:$B,2,FALSE),VLOOKUP($A325,'SegEnds_NonXtal_Prot#'!$A:$AL,22,FALSE)+9,1)</f>
        <v>V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1188</v>
      </c>
      <c r="B326" s="2" t="str">
        <f>LOWER(VLOOKUP(A326,Xtal_Templ!A:B,2,FALSE))</f>
        <v>pth1r_human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A</v>
      </c>
      <c r="W326" s="49" t="str">
        <f>MID(VLOOKUP($A326,Seqs!$A:$B,2,FALSE),VLOOKUP($A326,'SegEnds_NonXtal_Prot#'!A:AL,10,FALSE)+6,1)</f>
        <v>A</v>
      </c>
      <c r="X326" s="49" t="str">
        <f>MID(VLOOKUP($A326,Seqs!$A:$B,2,FALSE),VLOOKUP($A326,'SegEnds_NonXtal_Prot#'!A:AL,10,FALSE)+7,1)</f>
        <v>D</v>
      </c>
      <c r="Y326" s="49" t="str">
        <f>MID(VLOOKUP($A326,Seqs!$A:$B,2,FALSE),VLOOKUP($A326,'SegEnds_NonXtal_Prot#'!A:AL,10,FALSE)+8,1)</f>
        <v>V</v>
      </c>
      <c r="Z326" s="49" t="str">
        <f>MID(VLOOKUP($A326,Seqs!$A:$B,2,FALSE),VLOOKUP($A326,'SegEnds_NonXtal_Prot#'!A:AL,10,FALSE)+9,1)</f>
        <v>W</v>
      </c>
      <c r="AA326" s="49" t="str">
        <f>MID(VLOOKUP($A326,Seqs!$A:$B,2,FALSE),VLOOKUP($A326,'SegEnds_NonXtal_Prot#'!A:AL,10,FALSE)+10,1)</f>
        <v>F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S</v>
      </c>
      <c r="AD326" s="49" t="str">
        <f>MID(VLOOKUP($A326,Seqs!$A:$B,2,FALSE),VLOOKUP($A326,'SegEnds_NonXtal_Prot#'!$A:$AL,22,FALSE)+8,1)</f>
        <v>V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1189</v>
      </c>
      <c r="B327" s="2" t="str">
        <f>LOWER(VLOOKUP(A327,Xtal_Templ!A:B,2,FALSE))</f>
        <v>calrl_human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A</v>
      </c>
      <c r="W327" s="49" t="str">
        <f>MID(VLOOKUP($A327,Seqs!$A:$B,2,FALSE),VLOOKUP($A327,'SegEnds_NonXtal_Prot#'!A:AL,10,FALSE)+6,1)</f>
        <v>A</v>
      </c>
      <c r="X327" s="49" t="str">
        <f>MID(VLOOKUP($A327,Seqs!$A:$B,2,FALSE),VLOOKUP($A327,'SegEnds_NonXtal_Prot#'!A:AL,10,FALSE)+7,1)</f>
        <v>D</v>
      </c>
      <c r="Y327" s="49" t="str">
        <f>MID(VLOOKUP($A327,Seqs!$A:$B,2,FALSE),VLOOKUP($A327,'SegEnds_NonXtal_Prot#'!A:AL,10,FALSE)+8,1)</f>
        <v>V</v>
      </c>
      <c r="Z327" s="49" t="str">
        <f>MID(VLOOKUP($A327,Seqs!$A:$B,2,FALSE),VLOOKUP($A327,'SegEnds_NonXtal_Prot#'!A:AL,10,FALSE)+9,1)</f>
        <v>W</v>
      </c>
      <c r="AA327" s="49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I</v>
      </c>
      <c r="AC327" s="49" t="str">
        <f>MID(VLOOKUP($A327,Seqs!$A:$B,2,FALSE),VLOOKUP($A327,'SegEnds_NonXtal_Prot#'!$A:$AL,22,FALSE)+7,1)</f>
        <v>A</v>
      </c>
      <c r="AD327" s="49" t="str">
        <f>MID(VLOOKUP($A327,Seqs!$A:$B,2,FALSE),VLOOKUP($A327,'SegEnds_NonXtal_Prot#'!$A:$AL,22,FALSE)+8,1)</f>
        <v>A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1190</v>
      </c>
      <c r="B328" s="2" t="str">
        <f>LOWER(VLOOKUP(A328,Xtal_Templ!A:B,2,FALSE))</f>
        <v>calrl_human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V</v>
      </c>
      <c r="W328" s="49" t="str">
        <f>MID(VLOOKUP($A328,Seqs!$A:$B,2,FALSE),VLOOKUP($A328,'SegEnds_NonXtal_Prot#'!A:AL,10,FALSE)+6,1)</f>
        <v>A</v>
      </c>
      <c r="X328" s="49" t="str">
        <f>MID(VLOOKUP($A328,Seqs!$A:$B,2,FALSE),VLOOKUP($A328,'SegEnds_NonXtal_Prot#'!A:AL,10,FALSE)+7,1)</f>
        <v>D</v>
      </c>
      <c r="Y328" s="49" t="str">
        <f>MID(VLOOKUP($A328,Seqs!$A:$B,2,FALSE),VLOOKUP($A328,'SegEnds_NonXtal_Prot#'!A:AL,10,FALSE)+8,1)</f>
        <v>T</v>
      </c>
      <c r="Z328" s="49" t="str">
        <f>MID(VLOOKUP($A328,Seqs!$A:$B,2,FALSE),VLOOKUP($A328,'SegEnds_NonXtal_Prot#'!A:AL,10,FALSE)+9,1)</f>
        <v>C</v>
      </c>
      <c r="AA328" s="49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L</v>
      </c>
      <c r="AC328" s="49" t="str">
        <f>MID(VLOOKUP($A328,Seqs!$A:$B,2,FALSE),VLOOKUP($A328,'SegEnds_NonXtal_Prot#'!$A:$AL,22,FALSE)+7,1)</f>
        <v>A</v>
      </c>
      <c r="AD328" s="49" t="str">
        <f>MID(VLOOKUP($A328,Seqs!$A:$B,2,FALSE),VLOOKUP($A328,'SegEnds_NonXtal_Prot#'!$A:$AL,22,FALSE)+8,1)</f>
        <v>G</v>
      </c>
      <c r="AE328" s="49" t="str">
        <f>MID(VLOOKUP($A328,Seqs!$A:$B,2,FALSE),VLOOKUP($A328,'SegEnds_NonXtal_Prot#'!$A:$AL,22,FALSE)+9,1)</f>
        <v>V</v>
      </c>
      <c r="AF328" s="49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1191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A</v>
      </c>
      <c r="W329" s="49" t="str">
        <f>MID(VLOOKUP($A329,Seqs!$A:$B,2,FALSE),VLOOKUP($A329,'SegEnds_NonXtal_Prot#'!A:AL,10,FALSE)+6,1)</f>
        <v>A</v>
      </c>
      <c r="X329" s="49" t="str">
        <f>MID(VLOOKUP($A329,Seqs!$A:$B,2,FALSE),VLOOKUP($A329,'SegEnds_NonXtal_Prot#'!A:AL,10,FALSE)+7,1)</f>
        <v>N</v>
      </c>
      <c r="Y329" s="49" t="str">
        <f>MID(VLOOKUP($A329,Seqs!$A:$B,2,FALSE),VLOOKUP($A329,'SegEnds_NonXtal_Prot#'!A:AL,10,FALSE)+8,1)</f>
        <v>V</v>
      </c>
      <c r="Z329" s="49" t="str">
        <f>MID(VLOOKUP($A329,Seqs!$A:$B,2,FALSE),VLOOKUP($A329,'SegEnds_NonXtal_Prot#'!A:AL,10,FALSE)+9,1)</f>
        <v>W</v>
      </c>
      <c r="AA329" s="49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A</v>
      </c>
      <c r="AD329" s="49" t="str">
        <f>MID(VLOOKUP($A329,Seqs!$A:$B,2,FALSE),VLOOKUP($A329,'SegEnds_NonXtal_Prot#'!$A:$AL,22,FALSE)+8,1)</f>
        <v>V</v>
      </c>
      <c r="AE329" s="49" t="str">
        <f>MID(VLOOKUP($A329,Seqs!$A:$B,2,FALSE),VLOOKUP($A329,'SegEnds_NonXtal_Prot#'!$A:$AL,22,FALSE)+9,1)</f>
        <v>T</v>
      </c>
      <c r="AF329" s="49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1192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A</v>
      </c>
      <c r="W330" s="49" t="str">
        <f>MID(VLOOKUP($A330,Seqs!$A:$B,2,FALSE),VLOOKUP($A330,'SegEnds_NonXtal_Prot#'!A:AL,10,FALSE)+6,1)</f>
        <v>A</v>
      </c>
      <c r="X330" s="49" t="str">
        <f>MID(VLOOKUP($A330,Seqs!$A:$B,2,FALSE),VLOOKUP($A330,'SegEnds_NonXtal_Prot#'!A:AL,10,FALSE)+7,1)</f>
        <v>N</v>
      </c>
      <c r="Y330" s="49" t="str">
        <f>MID(VLOOKUP($A330,Seqs!$A:$B,2,FALSE),VLOOKUP($A330,'SegEnds_NonXtal_Prot#'!A:AL,10,FALSE)+8,1)</f>
        <v>T</v>
      </c>
      <c r="Z330" s="49" t="str">
        <f>MID(VLOOKUP($A330,Seqs!$A:$B,2,FALSE),VLOOKUP($A330,'SegEnds_NonXtal_Prot#'!A:AL,10,FALSE)+9,1)</f>
        <v>W</v>
      </c>
      <c r="AA330" s="49" t="str">
        <f>MID(VLOOKUP($A330,Seqs!$A:$B,2,FALSE),VLOOKUP($A330,'SegEnds_NonXtal_Prot#'!A:AL,10,FALSE)+10,1)</f>
        <v>F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S</v>
      </c>
      <c r="AD330" s="49" t="str">
        <f>MID(VLOOKUP($A330,Seqs!$A:$B,2,FALSE),VLOOKUP($A330,'SegEnds_NonXtal_Prot#'!$A:$AL,22,FALSE)+8,1)</f>
        <v>V</v>
      </c>
      <c r="AE330" s="49" t="str">
        <f>MID(VLOOKUP($A330,Seqs!$A:$B,2,FALSE),VLOOKUP($A330,'SegEnds_NonXtal_Prot#'!$A:$AL,22,FALSE)+9,1)</f>
        <v>I</v>
      </c>
      <c r="AF330" s="49" t="str">
        <f>MID(VLOOKUP($A330,Seqs!$A:$B,2,FALSE),VLOOKUP($A330,'SegEnds_NonXtal_Prot#'!$A:$AL,22,FALSE)+10,1)</f>
        <v>T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1193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V</v>
      </c>
      <c r="W331" s="49" t="str">
        <f>MID(VLOOKUP($A331,Seqs!$A:$B,2,FALSE),VLOOKUP($A331,'SegEnds_NonXtal_Prot#'!A:AL,10,FALSE)+6,1)</f>
        <v>S</v>
      </c>
      <c r="X331" s="49" t="str">
        <f>MID(VLOOKUP($A331,Seqs!$A:$B,2,FALSE),VLOOKUP($A331,'SegEnds_NonXtal_Prot#'!A:AL,10,FALSE)+7,1)</f>
        <v>F</v>
      </c>
      <c r="Y331" s="49" t="str">
        <f>MID(VLOOKUP($A331,Seqs!$A:$B,2,FALSE),VLOOKUP($A331,'SegEnds_NonXtal_Prot#'!A:AL,10,FALSE)+8,1)</f>
        <v>L</v>
      </c>
      <c r="Z331" s="49" t="str">
        <f>MID(VLOOKUP($A331,Seqs!$A:$B,2,FALSE),VLOOKUP($A331,'SegEnds_NonXtal_Prot#'!A:AL,10,FALSE)+9,1)</f>
        <v>L</v>
      </c>
      <c r="AA331" s="49" t="str">
        <f>MID(VLOOKUP($A331,Seqs!$A:$B,2,FALSE),VLOOKUP($A331,'SegEnds_NonXtal_Prot#'!A:AL,10,FALSE)+10,1)</f>
        <v>S</v>
      </c>
      <c r="AB331" s="28" t="str">
        <f>MID(VLOOKUP($A331,Seqs!$A:$B,2,FALSE),VLOOKUP($A331,'SegEnds_NonXtal_Prot#'!$A:$AL,22,FALSE)+6,1)</f>
        <v>L</v>
      </c>
      <c r="AC331" s="49" t="str">
        <f>MID(VLOOKUP($A331,Seqs!$A:$B,2,FALSE),VLOOKUP($A331,'SegEnds_NonXtal_Prot#'!$A:$AL,22,FALSE)+7,1)</f>
        <v>V</v>
      </c>
      <c r="AD331" s="49" t="str">
        <f>MID(VLOOKUP($A331,Seqs!$A:$B,2,FALSE),VLOOKUP($A331,'SegEnds_NonXtal_Prot#'!$A:$AL,22,FALSE)+8,1)</f>
        <v>T</v>
      </c>
      <c r="AE331" s="49" t="str">
        <f>MID(VLOOKUP($A331,Seqs!$A:$B,2,FALSE),VLOOKUP($A331,'SegEnds_NonXtal_Prot#'!$A:$AL,22,FALSE)+9,1)</f>
        <v>L</v>
      </c>
      <c r="AF331" s="49" t="str">
        <f>MID(VLOOKUP($A331,Seqs!$A:$B,2,FALSE),VLOOKUP($A331,'SegEnds_NonXtal_Prot#'!$A:$AL,22,FALSE)+10,1)</f>
        <v>V</v>
      </c>
      <c r="AG331" s="28" t="str">
        <f>MID(VLOOKUP($A331,Seqs!$A:$B,2,FALSE),VLOOKUP($A331,'SegEnds_NonXtal_Prot#'!$A:$AL,28,FALSE)-4,1)</f>
        <v>L</v>
      </c>
      <c r="AH331" s="49" t="str">
        <f>MID(VLOOKUP($A331,Seqs!$A:$B,2,FALSE),VLOOKUP($A331,'SegEnds_NonXtal_Prot#'!$A:$AL,28,FALSE),1)</f>
        <v>V</v>
      </c>
    </row>
    <row r="332" spans="1:34" s="2" customFormat="1" x14ac:dyDescent="0.2">
      <c r="A332" s="2" t="s">
        <v>1194</v>
      </c>
      <c r="B332" s="2" t="str">
        <f>LOWER(VLOOKUP(A332,Xtal_Templ!A:B,2,FALSE))</f>
        <v>pth1r_human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L</v>
      </c>
      <c r="W332" s="49" t="str">
        <f>MID(VLOOKUP($A332,Seqs!$A:$B,2,FALSE),VLOOKUP($A332,'SegEnds_NonXtal_Prot#'!A:AL,10,FALSE)+6,1)</f>
        <v>V</v>
      </c>
      <c r="X332" s="49" t="str">
        <f>MID(VLOOKUP($A332,Seqs!$A:$B,2,FALSE),VLOOKUP($A332,'SegEnds_NonXtal_Prot#'!A:AL,10,FALSE)+7,1)</f>
        <v>F</v>
      </c>
      <c r="Y332" s="49" t="str">
        <f>MID(VLOOKUP($A332,Seqs!$A:$B,2,FALSE),VLOOKUP($A332,'SegEnds_NonXtal_Prot#'!A:AL,10,FALSE)+8,1)</f>
        <v>L</v>
      </c>
      <c r="Z332" s="49" t="str">
        <f>MID(VLOOKUP($A332,Seqs!$A:$B,2,FALSE),VLOOKUP($A332,'SegEnds_NonXtal_Prot#'!A:AL,10,FALSE)+9,1)</f>
        <v>L</v>
      </c>
      <c r="AA332" s="49" t="str">
        <f>MID(VLOOKUP($A332,Seqs!$A:$B,2,FALSE),VLOOKUP($A332,'SegEnds_NonXtal_Prot#'!A:AL,10,FALSE)+10,1)</f>
        <v>D</v>
      </c>
      <c r="AB332" s="28" t="str">
        <f>MID(VLOOKUP($A332,Seqs!$A:$B,2,FALSE),VLOOKUP($A332,'SegEnds_NonXtal_Prot#'!$A:$AL,22,FALSE)+6,1)</f>
        <v>V</v>
      </c>
      <c r="AC332" s="49" t="str">
        <f>MID(VLOOKUP($A332,Seqs!$A:$B,2,FALSE),VLOOKUP($A332,'SegEnds_NonXtal_Prot#'!$A:$AL,22,FALSE)+7,1)</f>
        <v>V</v>
      </c>
      <c r="AD332" s="49" t="str">
        <f>MID(VLOOKUP($A332,Seqs!$A:$B,2,FALSE),VLOOKUP($A332,'SegEnds_NonXtal_Prot#'!$A:$AL,22,FALSE)+8,1)</f>
        <v>T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I</v>
      </c>
      <c r="AG332" s="28" t="str">
        <f>MID(VLOOKUP($A332,Seqs!$A:$B,2,FALSE),VLOOKUP($A332,'SegEnds_NonXtal_Prot#'!$A:$AL,28,FALSE)-4,1)</f>
        <v>Y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1195</v>
      </c>
      <c r="B333" s="2" t="str">
        <f>LOWER(VLOOKUP(A333,Xtal_Templ!A:B,2,FALSE))</f>
        <v>pth1r_human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F</v>
      </c>
      <c r="Y333" s="49" t="str">
        <f>MID(VLOOKUP($A333,Seqs!$A:$B,2,FALSE),VLOOKUP($A333,'SegEnds_NonXtal_Prot#'!A:AL,10,FALSE)+8,1)</f>
        <v>L</v>
      </c>
      <c r="Z333" s="49" t="str">
        <f>MID(VLOOKUP($A333,Seqs!$A:$B,2,FALSE),VLOOKUP($A333,'SegEnds_NonXtal_Prot#'!A:AL,10,FALSE)+9,1)</f>
        <v>V</v>
      </c>
      <c r="AA333" s="49" t="str">
        <f>MID(VLOOKUP($A333,Seqs!$A:$B,2,FALSE),VLOOKUP($A333,'SegEnds_NonXtal_Prot#'!A:AL,10,FALSE)+10,1)</f>
        <v>N</v>
      </c>
      <c r="AB333" s="28" t="str">
        <f>MID(VLOOKUP($A333,Seqs!$A:$B,2,FALSE),VLOOKUP($A333,'SegEnds_NonXtal_Prot#'!$A:$AL,22,FALSE)+6,1)</f>
        <v>M</v>
      </c>
      <c r="AC333" s="49" t="str">
        <f>MID(VLOOKUP($A333,Seqs!$A:$B,2,FALSE),VLOOKUP($A333,'SegEnds_NonXtal_Prot#'!$A:$AL,22,FALSE)+7,1)</f>
        <v>V</v>
      </c>
      <c r="AD333" s="49" t="str">
        <f>MID(VLOOKUP($A333,Seqs!$A:$B,2,FALSE),VLOOKUP($A333,'SegEnds_NonXtal_Prot#'!$A:$AL,22,FALSE)+8,1)</f>
        <v>I</v>
      </c>
      <c r="AE333" s="49" t="str">
        <f>MID(VLOOKUP($A333,Seqs!$A:$B,2,FALSE),VLOOKUP($A333,'SegEnds_NonXtal_Prot#'!$A:$AL,22,FALSE)+9,1)</f>
        <v>G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T</v>
      </c>
      <c r="AH333" s="49" t="str">
        <f>MID(VLOOKUP($A333,Seqs!$A:$B,2,FALSE),VLOOKUP($A333,'SegEnds_NonXtal_Prot#'!$A:$AL,28,FALSE),1)</f>
        <v>Y</v>
      </c>
    </row>
    <row r="334" spans="1:34" s="2" customFormat="1" x14ac:dyDescent="0.2">
      <c r="A334" s="2" t="s">
        <v>1196</v>
      </c>
      <c r="B334" s="2" t="str">
        <f>LOWER(VLOOKUP(A334,Xtal_Templ!A:B,2,FALSE))</f>
        <v>pth1r_human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L</v>
      </c>
      <c r="W334" s="49" t="str">
        <f>MID(VLOOKUP($A334,Seqs!$A:$B,2,FALSE),VLOOKUP($A334,'SegEnds_NonXtal_Prot#'!A:AL,10,FALSE)+6,1)</f>
        <v>V</v>
      </c>
      <c r="X334" s="49" t="str">
        <f>MID(VLOOKUP($A334,Seqs!$A:$B,2,FALSE),VLOOKUP($A334,'SegEnds_NonXtal_Prot#'!A:AL,10,FALSE)+7,1)</f>
        <v>F</v>
      </c>
      <c r="Y334" s="49" t="str">
        <f>MID(VLOOKUP($A334,Seqs!$A:$B,2,FALSE),VLOOKUP($A334,'SegEnds_NonXtal_Prot#'!A:AL,10,FALSE)+8,1)</f>
        <v>L</v>
      </c>
      <c r="Z334" s="49" t="str">
        <f>MID(VLOOKUP($A334,Seqs!$A:$B,2,FALSE),VLOOKUP($A334,'SegEnds_NonXtal_Prot#'!A:AL,10,FALSE)+9,1)</f>
        <v>I</v>
      </c>
      <c r="AA334" s="49" t="str">
        <f>MID(VLOOKUP($A334,Seqs!$A:$B,2,FALSE),VLOOKUP($A334,'SegEnds_NonXtal_Prot#'!A:AL,10,FALSE)+10,1)</f>
        <v>N</v>
      </c>
      <c r="AB334" s="28" t="str">
        <f>MID(VLOOKUP($A334,Seqs!$A:$B,2,FALSE),VLOOKUP($A334,'SegEnds_NonXtal_Prot#'!$A:$AL,22,FALSE)+6,1)</f>
        <v>M</v>
      </c>
      <c r="AC334" s="49" t="str">
        <f>MID(VLOOKUP($A334,Seqs!$A:$B,2,FALSE),VLOOKUP($A334,'SegEnds_NonXtal_Prot#'!$A:$AL,22,FALSE)+7,1)</f>
        <v>V</v>
      </c>
      <c r="AD334" s="49" t="str">
        <f>MID(VLOOKUP($A334,Seqs!$A:$B,2,FALSE),VLOOKUP($A334,'SegEnds_NonXtal_Prot#'!$A:$AL,22,FALSE)+8,1)</f>
        <v>A</v>
      </c>
      <c r="AE334" s="49" t="str">
        <f>MID(VLOOKUP($A334,Seqs!$A:$B,2,FALSE),VLOOKUP($A334,'SegEnds_NonXtal_Prot#'!$A:$AL,22,FALSE)+9,1)</f>
        <v>I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Y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1197</v>
      </c>
      <c r="B335" s="2" t="str">
        <f>LOWER(VLOOKUP(A335,Xtal_Templ!A:B,2,FALSE))</f>
        <v>pth1r_human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V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L</v>
      </c>
      <c r="Z335" s="49" t="str">
        <f>MID(VLOOKUP($A335,Seqs!$A:$B,2,FALSE),VLOOKUP($A335,'SegEnds_NonXtal_Prot#'!A:AL,10,FALSE)+9,1)</f>
        <v>L</v>
      </c>
      <c r="AA335" s="49" t="str">
        <f>MID(VLOOKUP($A335,Seqs!$A:$B,2,FALSE),VLOOKUP($A335,'SegEnds_NonXtal_Prot#'!A:AL,10,FALSE)+10,1)</f>
        <v>S</v>
      </c>
      <c r="AB335" s="28" t="str">
        <f>MID(VLOOKUP($A335,Seqs!$A:$B,2,FALSE),VLOOKUP($A335,'SegEnds_NonXtal_Prot#'!$A:$AL,22,FALSE)+6,1)</f>
        <v>L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L</v>
      </c>
      <c r="AE335" s="49" t="str">
        <f>MID(VLOOKUP($A335,Seqs!$A:$B,2,FALSE),VLOOKUP($A335,'SegEnds_NonXtal_Prot#'!$A:$AL,22,FALSE)+9,1)</f>
        <v>L</v>
      </c>
      <c r="AF335" s="49" t="str">
        <f>MID(VLOOKUP($A335,Seqs!$A:$B,2,FALSE),VLOOKUP($A335,'SegEnds_NonXtal_Prot#'!$A:$AL,22,FALSE)+10,1)</f>
        <v>S</v>
      </c>
      <c r="AG335" s="28" t="str">
        <f>MID(VLOOKUP($A335,Seqs!$A:$B,2,FALSE),VLOOKUP($A335,'SegEnds_NonXtal_Prot#'!$A:$AL,28,FALSE)-4,1)</f>
        <v>Y</v>
      </c>
      <c r="AH335" s="49" t="str">
        <f>MID(VLOOKUP($A335,Seqs!$A:$B,2,FALSE),VLOOKUP($A335,'SegEnds_NonXtal_Prot#'!$A:$AL,28,FALSE),1)</f>
        <v>T</v>
      </c>
    </row>
    <row r="336" spans="1:34" s="2" customFormat="1" x14ac:dyDescent="0.2">
      <c r="A336" s="2" t="s">
        <v>1198</v>
      </c>
      <c r="B336" s="2" t="str">
        <f>LOWER(VLOOKUP(A336,Xtal_Templ!A:B,2,FALSE))</f>
        <v>pth1r_human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M</v>
      </c>
      <c r="W336" s="49" t="str">
        <f>MID(VLOOKUP($A336,Seqs!$A:$B,2,FALSE),VLOOKUP($A336,'SegEnds_NonXtal_Prot#'!A:AL,10,FALSE)+6,1)</f>
        <v>L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V</v>
      </c>
      <c r="Z336" s="49" t="str">
        <f>MID(VLOOKUP($A336,Seqs!$A:$B,2,FALSE),VLOOKUP($A336,'SegEnds_NonXtal_Prot#'!A:AL,10,FALSE)+9,1)</f>
        <v>F</v>
      </c>
      <c r="AA336" s="49" t="str">
        <f>MID(VLOOKUP($A336,Seqs!$A:$B,2,FALSE),VLOOKUP($A336,'SegEnds_NonXtal_Prot#'!A:AL,10,FALSE)+10,1)</f>
        <v>G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A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T</v>
      </c>
      <c r="AG336" s="28" t="str">
        <f>MID(VLOOKUP($A336,Seqs!$A:$B,2,FALSE),VLOOKUP($A336,'SegEnds_NonXtal_Prot#'!$A:$AL,28,FALSE)-4,1)</f>
        <v>P</v>
      </c>
      <c r="AH336" s="49" t="str">
        <f>MID(VLOOKUP($A336,Seqs!$A:$B,2,FALSE),VLOOKUP($A336,'SegEnds_NonXtal_Prot#'!$A:$AL,28,FALSE),1)</f>
        <v>I</v>
      </c>
    </row>
    <row r="337" spans="1:34" s="2" customFormat="1" x14ac:dyDescent="0.2">
      <c r="A337" s="2" t="s">
        <v>1199</v>
      </c>
      <c r="B337" s="2" t="str">
        <f>LOWER(VLOOKUP(A337,Xtal_Templ!A:B,2,FALSE))</f>
        <v>crfr1_human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L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V</v>
      </c>
      <c r="AA337" s="49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G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A</v>
      </c>
      <c r="AG337" s="28" t="str">
        <f>MID(VLOOKUP($A337,Seqs!$A:$B,2,FALSE),VLOOKUP($A337,'SegEnds_NonXtal_Prot#'!$A:$AL,28,FALSE)-4,1)</f>
        <v>P</v>
      </c>
      <c r="AH337" s="49" t="str">
        <f>MID(VLOOKUP($A337,Seqs!$A:$B,2,FALSE),VLOOKUP($A337,'SegEnds_NonXtal_Prot#'!$A:$AL,28,FALSE),1)</f>
        <v>V</v>
      </c>
    </row>
    <row r="338" spans="1:34" s="2" customFormat="1" x14ac:dyDescent="0.2">
      <c r="A338" s="2" t="s">
        <v>1200</v>
      </c>
      <c r="B338" s="2" t="str">
        <f>LOWER(VLOOKUP(A338,Xtal_Templ!A:B,2,FALSE))</f>
        <v>calcr_human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I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V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G</v>
      </c>
      <c r="AE338" s="49" t="str">
        <f>MID(VLOOKUP($A338,Seqs!$A:$B,2,FALSE),VLOOKUP($A338,'SegEnds_NonXtal_Prot#'!$A:$AL,22,FALSE)+9,1)</f>
        <v>V</v>
      </c>
      <c r="AF338" s="49" t="str">
        <f>MID(VLOOKUP($A338,Seqs!$A:$B,2,FALSE),VLOOKUP($A338,'SegEnds_NonXtal_Prot#'!$A:$AL,22,FALSE)+10,1)</f>
        <v>S</v>
      </c>
      <c r="AG338" s="28" t="str">
        <f>MID(VLOOKUP($A338,Seqs!$A:$B,2,FALSE),VLOOKUP($A338,'SegEnds_NonXtal_Prot#'!$A:$AL,28,FALSE)-4,1)</f>
        <v>P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1201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L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I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V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1202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L</v>
      </c>
      <c r="W340" s="49" t="str">
        <f>MID(VLOOKUP($A340,Seqs!$A:$B,2,FALSE),VLOOKUP($A340,'SegEnds_NonXtal_Prot#'!A:AL,10,FALSE)+6,1)</f>
        <v>V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V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G</v>
      </c>
      <c r="AE340" s="49" t="str">
        <f>MID(VLOOKUP($A340,Seqs!$A:$B,2,FALSE),VLOOKUP($A340,'SegEnds_NonXtal_Prot#'!$A:$AL,22,FALSE)+9,1)</f>
        <v>F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I</v>
      </c>
    </row>
    <row r="341" spans="1:34" s="2" customFormat="1" x14ac:dyDescent="0.2">
      <c r="A341" s="2" t="s">
        <v>414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I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I</v>
      </c>
      <c r="Y341" s="49" t="str">
        <f>MID(VLOOKUP($A341,Seqs!$A:$B,2,FALSE),VLOOKUP($A341,'SegEnds_NonXtal_Prot#'!A:AL,10,FALSE)+8,1)</f>
        <v>L</v>
      </c>
      <c r="Z341" s="49" t="str">
        <f>MID(VLOOKUP($A341,Seqs!$A:$B,2,FALSE),VLOOKUP($A341,'SegEnds_NonXtal_Prot#'!A:AL,10,FALSE)+9,1)</f>
        <v>I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S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418</v>
      </c>
      <c r="B342" s="2" t="str">
        <f>LOWER(VLOOKUP(A342,Xtal_Templ!A:B,2,FALSE))</f>
        <v>calcr_human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V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V</v>
      </c>
      <c r="Z342" s="49" t="str">
        <f>MID(VLOOKUP($A342,Seqs!$A:$B,2,FALSE),VLOOKUP($A342,'SegEnds_NonXtal_Prot#'!A:AL,10,FALSE)+9,1)</f>
        <v>I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T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L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419</v>
      </c>
      <c r="B343" s="2" t="str">
        <f>LOWER(VLOOKUP(A343,Xtal_Templ!A:B,2,FALSE))</f>
        <v>calrl_human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V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L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I</v>
      </c>
      <c r="AC343" s="49" t="str">
        <f>MID(VLOOKUP($A343,Seqs!$A:$B,2,FALSE),VLOOKUP($A343,'SegEnds_NonXtal_Prot#'!$A:$AL,22,FALSE)+7,1)</f>
        <v>T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L</v>
      </c>
      <c r="AF343" s="49" t="str">
        <f>MID(VLOOKUP($A343,Seqs!$A:$B,2,FALSE),VLOOKUP($A343,'SegEnds_NonXtal_Prot#'!$A:$AL,22,FALSE)+10,1)</f>
        <v>A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A</v>
      </c>
    </row>
    <row r="344" spans="1:34" s="2" customFormat="1" x14ac:dyDescent="0.2">
      <c r="A344" s="2" t="s">
        <v>1414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L</v>
      </c>
      <c r="AA344" s="49" t="str">
        <f>MID(VLOOKUP($A344,Seqs!$A:$B,2,FALSE),VLOOKUP($A344,'SegEnds_NonXtal_Prot#'!A:AL,10,FALSE)+10,1)</f>
        <v>D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S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V</v>
      </c>
      <c r="AG344" s="28" t="str">
        <f>MID(VLOOKUP($A344,Seqs!$A:$B,2,FALSE),VLOOKUP($A344,'SegEnds_NonXtal_Prot#'!$A:$AL,28,FALSE)-4,1)</f>
        <v>Y</v>
      </c>
      <c r="AH344" s="49" t="str">
        <f>MID(VLOOKUP($A344,Seqs!$A:$B,2,FALSE),VLOOKUP($A344,'SegEnds_NonXtal_Prot#'!$A:$AL,28,FALSE),1)</f>
        <v>M</v>
      </c>
    </row>
    <row r="345" spans="1:34" s="2" customFormat="1" x14ac:dyDescent="0.2">
      <c r="A345" s="2" t="s">
        <v>442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S</v>
      </c>
      <c r="W345" s="49" t="str">
        <f>MID(VLOOKUP($A345,Seqs!$A:$B,2,FALSE),VLOOKUP($A345,'SegEnds_NonXtal_Prot#'!A:AL,10,FALSE)+6,1)</f>
        <v>L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A</v>
      </c>
      <c r="AA345" s="49" t="str">
        <f>MID(VLOOKUP($A345,Seqs!$A:$B,2,FALSE),VLOOKUP($A345,'SegEnds_NonXtal_Prot#'!A:AL,10,FALSE)+10,1)</f>
        <v>S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I</v>
      </c>
      <c r="AE345" s="49" t="str">
        <f>MID(VLOOKUP($A345,Seqs!$A:$B,2,FALSE),VLOOKUP($A345,'SegEnds_NonXtal_Prot#'!$A:$AL,22,FALSE)+9,1)</f>
        <v>L</v>
      </c>
      <c r="AF345" s="49" t="str">
        <f>MID(VLOOKUP($A345,Seqs!$A:$B,2,FALSE),VLOOKUP($A345,'SegEnds_NonXtal_Prot#'!$A:$AL,22,FALSE)+10,1)</f>
        <v>L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L</v>
      </c>
    </row>
    <row r="346" spans="1:34" s="2" customFormat="1" x14ac:dyDescent="0.2">
      <c r="A346" s="2" t="s">
        <v>417</v>
      </c>
      <c r="B346" s="2" t="str">
        <f>LOWER(VLOOKUP(A346,Xtal_Templ!A:B,2,FALSE))</f>
        <v>glp1r_human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I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A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I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V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I</v>
      </c>
    </row>
    <row r="347" spans="1:34" s="2" customFormat="1" x14ac:dyDescent="0.2">
      <c r="A347" s="2" t="s">
        <v>420</v>
      </c>
      <c r="B347" s="2" t="str">
        <f>LOWER(VLOOKUP(A347,Xtal_Templ!A:B,2,FALSE))</f>
        <v>crfr1_human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L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L</v>
      </c>
      <c r="Z347" s="49" t="str">
        <f>MID(VLOOKUP($A347,Seqs!$A:$B,2,FALSE),VLOOKUP($A347,'SegEnds_NonXtal_Prot#'!A:AL,10,FALSE)+9,1)</f>
        <v>L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L</v>
      </c>
      <c r="AC347" s="49" t="str">
        <f>MID(VLOOKUP($A347,Seqs!$A:$B,2,FALSE),VLOOKUP($A347,'SegEnds_NonXtal_Prot#'!$A:$AL,22,FALSE)+7,1)</f>
        <v>L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106</v>
      </c>
      <c r="B348" s="2" t="str">
        <f>LOWER(VLOOKUP(A348,Xtal_Templ!A:B,2,FALSE))</f>
        <v>grm5_human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H348" s="4"/>
      <c r="U348" s="2" t="s">
        <v>1325</v>
      </c>
      <c r="V348" s="28" t="str">
        <f>MID(VLOOKUP($A348,Seqs!$A:$B,2,FALSE),VLOOKUP($A348,'SegEnds_NonXtal_Prot#'!A:AL,10,FALSE),1)</f>
        <v>C</v>
      </c>
      <c r="W348" s="49" t="str">
        <f>MID(VLOOKUP($A348,Seqs!$A:$B,2,FALSE),VLOOKUP($A348,'SegEnds_NonXtal_Prot#'!A:AL,10,FALSE)+6,1)</f>
        <v>A</v>
      </c>
      <c r="X348" s="49" t="str">
        <f>MID(VLOOKUP($A348,Seqs!$A:$B,2,FALSE),VLOOKUP($A348,'SegEnds_NonXtal_Prot#'!A:AL,10,FALSE)+7,1)</f>
        <v>V</v>
      </c>
      <c r="Y348" s="49" t="str">
        <f>MID(VLOOKUP($A348,Seqs!$A:$B,2,FALSE),VLOOKUP($A348,'SegEnds_NonXtal_Prot#'!A:AL,10,FALSE)+8,1)</f>
        <v>F</v>
      </c>
      <c r="Z348" s="49" t="str">
        <f>MID(VLOOKUP($A348,Seqs!$A:$B,2,FALSE),VLOOKUP($A348,'SegEnds_NonXtal_Prot#'!A:AL,10,FALSE)+9,1)</f>
        <v>P</v>
      </c>
      <c r="AA348" s="49" t="str">
        <f>MID(VLOOKUP($A348,Seqs!$A:$B,2,FALSE),VLOOKUP($A348,'SegEnds_NonXtal_Prot#'!A:AL,10,FALSE)+10,1)</f>
        <v>L</v>
      </c>
      <c r="AB348" s="28" t="str">
        <f>MID(VLOOKUP($A348,Seqs!$A:$B,2,FALSE),VLOOKUP($A348,'SegEnds_NonXtal_Prot#'!$A:$AL,22,FALSE)+6,1)</f>
        <v>T</v>
      </c>
      <c r="AC348" s="49" t="str">
        <f>MID(VLOOKUP($A348,Seqs!$A:$B,2,FALSE),VLOOKUP($A348,'SegEnds_NonXtal_Prot#'!$A:$AL,22,FALSE)+7,1)</f>
        <v>L</v>
      </c>
      <c r="AD348" s="49" t="str">
        <f>MID(VLOOKUP($A348,Seqs!$A:$B,2,FALSE),VLOOKUP($A348,'SegEnds_NonXtal_Prot#'!$A:$AL,22,FALSE)+8,1)</f>
        <v>A</v>
      </c>
      <c r="AE348" s="49" t="str">
        <f>MID(VLOOKUP($A348,Seqs!$A:$B,2,FALSE),VLOOKUP($A348,'SegEnds_NonXtal_Prot#'!$A:$AL,22,FALSE)+9,1)</f>
        <v>I</v>
      </c>
      <c r="AF348" s="49" t="str">
        <f>MID(VLOOKUP($A348,Seqs!$A:$B,2,FALSE),VLOOKUP($A348,'SegEnds_NonXtal_Prot#'!$A:$AL,22,FALSE)+10,1)</f>
        <v>W</v>
      </c>
      <c r="AG348" s="28" t="str">
        <f>MID(VLOOKUP($A348,Seqs!$A:$B,2,FALSE),VLOOKUP($A348,'SegEnds_NonXtal_Prot#'!$A:$AL,28,FALSE)-4,1)</f>
        <v>Y</v>
      </c>
      <c r="AH348" s="49" t="str">
        <f>MID(VLOOKUP($A348,Seqs!$A:$B,2,FALSE),VLOOKUP($A348,'SegEnds_NonXtal_Prot#'!$A:$AL,28,FALSE),1)</f>
        <v>L</v>
      </c>
    </row>
    <row r="349" spans="1:34" s="2" customFormat="1" x14ac:dyDescent="0.2">
      <c r="A349" s="2" t="s">
        <v>108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1325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S</v>
      </c>
      <c r="X349" s="49" t="str">
        <f>MID(VLOOKUP($A349,Seqs!$A:$B,2,FALSE),VLOOKUP($A349,'SegEnds_NonXtal_Prot#'!A:AL,10,FALSE)+7,1)</f>
        <v>A</v>
      </c>
      <c r="Y349" s="49" t="str">
        <f>MID(VLOOKUP($A349,Seqs!$A:$B,2,FALSE),VLOOKUP($A349,'SegEnds_NonXtal_Prot#'!A:AL,10,FALSE)+8,1)</f>
        <v>Y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F</v>
      </c>
      <c r="AB349" s="28" t="str">
        <f>MID(VLOOKUP($A349,Seqs!$A:$B,2,FALSE),VLOOKUP($A349,'SegEnds_NonXtal_Prot#'!$A:$AL,22,FALSE)+6,1)</f>
        <v>L</v>
      </c>
      <c r="AC349" s="49" t="str">
        <f>MID(VLOOKUP($A349,Seqs!$A:$B,2,FALSE),VLOOKUP($A349,'SegEnds_NonXtal_Prot#'!$A:$AL,22,FALSE)+7,1)</f>
        <v>L</v>
      </c>
      <c r="AD349" s="49" t="str">
        <f>MID(VLOOKUP($A349,Seqs!$A:$B,2,FALSE),VLOOKUP($A349,'SegEnds_NonXtal_Prot#'!$A:$AL,22,FALSE)+8,1)</f>
        <v>M</v>
      </c>
      <c r="AE349" s="49" t="str">
        <f>MID(VLOOKUP($A349,Seqs!$A:$B,2,FALSE),VLOOKUP($A349,'SegEnds_NonXtal_Prot#'!$A:$AL,22,FALSE)+9,1)</f>
        <v>T</v>
      </c>
      <c r="AF349" s="49" t="str">
        <f>MID(VLOOKUP($A349,Seqs!$A:$B,2,FALSE),VLOOKUP($A349,'SegEnds_NonXtal_Prot#'!$A:$AL,22,FALSE)+10,1)</f>
        <v>W</v>
      </c>
      <c r="AG349" s="28" t="str">
        <f>MID(VLOOKUP($A349,Seqs!$A:$B,2,FALSE),VLOOKUP($A349,'SegEnds_NonXtal_Prot#'!$A:$AL,28,FALSE)-4,1)</f>
        <v>C</v>
      </c>
      <c r="AH349" s="49" t="str">
        <f>MID(VLOOKUP($A349,Seqs!$A:$B,2,FALSE),VLOOKUP($A349,'SegEnds_NonXtal_Prot#'!$A:$AL,28,FALSE),1)</f>
        <v>L</v>
      </c>
    </row>
    <row r="350" spans="1:34" s="2" customFormat="1" x14ac:dyDescent="0.2">
      <c r="A350" s="2" t="s">
        <v>109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1325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P</v>
      </c>
      <c r="X350" s="49" t="str">
        <f>MID(VLOOKUP($A350,Seqs!$A:$B,2,FALSE),VLOOKUP($A350,'SegEnds_NonXtal_Prot#'!A:AL,10,FALSE)+7,1)</f>
        <v>V</v>
      </c>
      <c r="Y350" s="49" t="str">
        <f>MID(VLOOKUP($A350,Seqs!$A:$B,2,FALSE),VLOOKUP($A350,'SegEnds_NonXtal_Prot#'!A:AL,10,FALSE)+8,1)</f>
        <v>V</v>
      </c>
      <c r="Z350" s="49" t="str">
        <f>MID(VLOOKUP($A350,Seqs!$A:$B,2,FALSE),VLOOKUP($A350,'SegEnds_NonXtal_Prot#'!A:AL,10,FALSE)+9,1)</f>
        <v>I</v>
      </c>
      <c r="AA350" s="49" t="str">
        <f>MID(VLOOKUP($A350,Seqs!$A:$B,2,FALSE),VLOOKUP($A350,'SegEnds_NonXtal_Prot#'!A:AL,10,FALSE)+10,1)</f>
        <v>L</v>
      </c>
      <c r="AB350" s="28" t="str">
        <f>MID(VLOOKUP($A350,Seqs!$A:$B,2,FALSE),VLOOKUP($A350,'SegEnds_NonXtal_Prot#'!$A:$AL,22,FALSE)+6,1)</f>
        <v>L</v>
      </c>
      <c r="AC350" s="49" t="str">
        <f>MID(VLOOKUP($A350,Seqs!$A:$B,2,FALSE),VLOOKUP($A350,'SegEnds_NonXtal_Prot#'!$A:$AL,22,FALSE)+7,1)</f>
        <v>A</v>
      </c>
      <c r="AD350" s="49" t="str">
        <f>MID(VLOOKUP($A350,Seqs!$A:$B,2,FALSE),VLOOKUP($A350,'SegEnds_NonXtal_Prot#'!$A:$AL,22,FALSE)+8,1)</f>
        <v>V</v>
      </c>
      <c r="AE350" s="49" t="str">
        <f>MID(VLOOKUP($A350,Seqs!$A:$B,2,FALSE),VLOOKUP($A350,'SegEnds_NonXtal_Prot#'!$A:$AL,22,FALSE)+9,1)</f>
        <v>I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A</v>
      </c>
      <c r="AH350" s="49" t="str">
        <f>MID(VLOOKUP($A350,Seqs!$A:$B,2,FALSE),VLOOKUP($A350,'SegEnds_NonXtal_Prot#'!$A:$AL,28,FALSE),1)</f>
        <v>F</v>
      </c>
    </row>
    <row r="351" spans="1:34" s="2" customFormat="1" x14ac:dyDescent="0.2">
      <c r="A351" s="2" t="s">
        <v>110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1325</v>
      </c>
      <c r="V351" s="28" t="str">
        <f>MID(VLOOKUP($A351,Seqs!$A:$B,2,FALSE),VLOOKUP($A351,'SegEnds_NonXtal_Prot#'!A:AL,10,FALSE),1)</f>
        <v>F</v>
      </c>
      <c r="W351" s="49" t="str">
        <f>MID(VLOOKUP($A351,Seqs!$A:$B,2,FALSE),VLOOKUP($A351,'SegEnds_NonXtal_Prot#'!A:AL,10,FALSE)+6,1)</f>
        <v>P</v>
      </c>
      <c r="X351" s="49" t="str">
        <f>MID(VLOOKUP($A351,Seqs!$A:$B,2,FALSE),VLOOKUP($A351,'SegEnds_NonXtal_Prot#'!A:AL,10,FALSE)+7,1)</f>
        <v>V</v>
      </c>
      <c r="Y351" s="49" t="str">
        <f>MID(VLOOKUP($A351,Seqs!$A:$B,2,FALSE),VLOOKUP($A351,'SegEnds_NonXtal_Prot#'!A:AL,10,FALSE)+8,1)</f>
        <v>F</v>
      </c>
      <c r="Z351" s="49" t="str">
        <f>MID(VLOOKUP($A351,Seqs!$A:$B,2,FALSE),VLOOKUP($A351,'SegEnds_NonXtal_Prot#'!A:AL,10,FALSE)+9,1)</f>
        <v>I</v>
      </c>
      <c r="AA351" s="49" t="str">
        <f>MID(VLOOKUP($A351,Seqs!$A:$B,2,FALSE),VLOOKUP($A351,'SegEnds_NonXtal_Prot#'!A:AL,10,FALSE)+10,1)</f>
        <v>L</v>
      </c>
      <c r="AB351" s="28" t="str">
        <f>MID(VLOOKUP($A351,Seqs!$A:$B,2,FALSE),VLOOKUP($A351,'SegEnds_NonXtal_Prot#'!$A:$AL,22,FALSE)+6,1)</f>
        <v>L</v>
      </c>
      <c r="AC351" s="49" t="str">
        <f>MID(VLOOKUP($A351,Seqs!$A:$B,2,FALSE),VLOOKUP($A351,'SegEnds_NonXtal_Prot#'!$A:$AL,22,FALSE)+7,1)</f>
        <v>G</v>
      </c>
      <c r="AD351" s="49" t="str">
        <f>MID(VLOOKUP($A351,Seqs!$A:$B,2,FALSE),VLOOKUP($A351,'SegEnds_NonXtal_Prot#'!$A:$AL,22,FALSE)+8,1)</f>
        <v>L</v>
      </c>
      <c r="AE351" s="49" t="str">
        <f>MID(VLOOKUP($A351,Seqs!$A:$B,2,FALSE),VLOOKUP($A351,'SegEnds_NonXtal_Prot#'!$A:$AL,22,FALSE)+9,1)</f>
        <v>L</v>
      </c>
      <c r="AF351" s="49" t="str">
        <f>MID(VLOOKUP($A351,Seqs!$A:$B,2,FALSE),VLOOKUP($A351,'SegEnds_NonXtal_Prot#'!$A:$AL,22,FALSE)+10,1)</f>
        <v>L</v>
      </c>
      <c r="AG351" s="28" t="str">
        <f>MID(VLOOKUP($A351,Seqs!$A:$B,2,FALSE),VLOOKUP($A351,'SegEnds_NonXtal_Prot#'!$A:$AL,28,FALSE)-4,1)</f>
        <v>A</v>
      </c>
      <c r="AH351" s="49" t="str">
        <f>MID(VLOOKUP($A351,Seqs!$A:$B,2,FALSE),VLOOKUP($A351,'SegEnds_NonXtal_Prot#'!$A:$AL,28,FALSE),1)</f>
        <v>L</v>
      </c>
    </row>
    <row r="352" spans="1:34" s="2" customFormat="1" x14ac:dyDescent="0.2">
      <c r="A352" s="2" t="s">
        <v>111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1325</v>
      </c>
      <c r="V352" s="28" t="str">
        <f>MID(VLOOKUP($A352,Seqs!$A:$B,2,FALSE),VLOOKUP($A352,'SegEnds_NonXtal_Prot#'!A:AL,10,FALSE),1)</f>
        <v>T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T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A</v>
      </c>
      <c r="AA352" s="49" t="str">
        <f>MID(VLOOKUP($A352,Seqs!$A:$B,2,FALSE),VLOOKUP($A352,'SegEnds_NonXtal_Prot#'!A:AL,10,FALSE)+10,1)</f>
        <v>F</v>
      </c>
      <c r="AB352" s="28" t="str">
        <f>MID(VLOOKUP($A352,Seqs!$A:$B,2,FALSE),VLOOKUP($A352,'SegEnds_NonXtal_Prot#'!$A:$AL,22,FALSE)+6,1)</f>
        <v>I</v>
      </c>
      <c r="AC352" s="49" t="str">
        <f>MID(VLOOKUP($A352,Seqs!$A:$B,2,FALSE),VLOOKUP($A352,'SegEnds_NonXtal_Prot#'!$A:$AL,22,FALSE)+7,1)</f>
        <v>A</v>
      </c>
      <c r="AD352" s="49" t="str">
        <f>MID(VLOOKUP($A352,Seqs!$A:$B,2,FALSE),VLOOKUP($A352,'SegEnds_NonXtal_Prot#'!$A:$AL,22,FALSE)+8,1)</f>
        <v>V</v>
      </c>
      <c r="AE352" s="49" t="str">
        <f>MID(VLOOKUP($A352,Seqs!$A:$B,2,FALSE),VLOOKUP($A352,'SegEnds_NonXtal_Prot#'!$A:$AL,22,FALSE)+9,1)</f>
        <v>E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112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1325</v>
      </c>
      <c r="V353" s="28" t="str">
        <f>MID(VLOOKUP($A353,Seqs!$A:$B,2,FALSE),VLOOKUP($A353,'SegEnds_NonXtal_Prot#'!A:AL,10,FALSE),1)</f>
        <v>T</v>
      </c>
      <c r="W353" s="49" t="str">
        <f>MID(VLOOKUP($A353,Seqs!$A:$B,2,FALSE),VLOOKUP($A353,'SegEnds_NonXtal_Prot#'!A:AL,10,FALSE)+6,1)</f>
        <v>L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A</v>
      </c>
      <c r="AA353" s="49" t="str">
        <f>MID(VLOOKUP($A353,Seqs!$A:$B,2,FALSE),VLOOKUP($A353,'SegEnds_NonXtal_Prot#'!A:AL,10,FALSE)+10,1)</f>
        <v>C</v>
      </c>
      <c r="AB353" s="28" t="str">
        <f>MID(VLOOKUP($A353,Seqs!$A:$B,2,FALSE),VLOOKUP($A353,'SegEnds_NonXtal_Prot#'!$A:$AL,22,FALSE)+6,1)</f>
        <v>I</v>
      </c>
      <c r="AC353" s="49" t="str">
        <f>MID(VLOOKUP($A353,Seqs!$A:$B,2,FALSE),VLOOKUP($A353,'SegEnds_NonXtal_Prot#'!$A:$AL,22,FALSE)+7,1)</f>
        <v>N</v>
      </c>
      <c r="AD353" s="49" t="str">
        <f>MID(VLOOKUP($A353,Seqs!$A:$B,2,FALSE),VLOOKUP($A353,'SegEnds_NonXtal_Prot#'!$A:$AL,22,FALSE)+8,1)</f>
        <v>T</v>
      </c>
      <c r="AE353" s="49" t="str">
        <f>MID(VLOOKUP($A353,Seqs!$A:$B,2,FALSE),VLOOKUP($A353,'SegEnds_NonXtal_Prot#'!$A:$AL,22,FALSE)+9,1)</f>
        <v>E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113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1325</v>
      </c>
      <c r="V354" s="28" t="str">
        <f>MID(VLOOKUP($A354,Seqs!$A:$B,2,FALSE),VLOOKUP($A354,'SegEnds_NonXtal_Prot#'!A:AL,10,FALSE),1)</f>
        <v>V</v>
      </c>
      <c r="W354" s="49" t="str">
        <f>MID(VLOOKUP($A354,Seqs!$A:$B,2,FALSE),VLOOKUP($A354,'SegEnds_NonXtal_Prot#'!A:AL,10,FALSE)+6,1)</f>
        <v>L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F</v>
      </c>
      <c r="Z354" s="49" t="str">
        <f>MID(VLOOKUP($A354,Seqs!$A:$B,2,FALSE),VLOOKUP($A354,'SegEnds_NonXtal_Prot#'!A:AL,10,FALSE)+9,1)</f>
        <v>A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I</v>
      </c>
      <c r="AC354" s="49" t="str">
        <f>MID(VLOOKUP($A354,Seqs!$A:$B,2,FALSE),VLOOKUP($A354,'SegEnds_NonXtal_Prot#'!$A:$AL,22,FALSE)+7,1)</f>
        <v>A</v>
      </c>
      <c r="AD354" s="49" t="str">
        <f>MID(VLOOKUP($A354,Seqs!$A:$B,2,FALSE),VLOOKUP($A354,'SegEnds_NonXtal_Prot#'!$A:$AL,22,FALSE)+8,1)</f>
        <v>T</v>
      </c>
      <c r="AE354" s="49" t="str">
        <f>MID(VLOOKUP($A354,Seqs!$A:$B,2,FALSE),VLOOKUP($A354,'SegEnds_NonXtal_Prot#'!$A:$AL,22,FALSE)+9,1)</f>
        <v>E</v>
      </c>
      <c r="AF354" s="49" t="str">
        <f>MID(VLOOKUP($A354,Seqs!$A:$B,2,FALSE),VLOOKUP($A354,'SegEnds_NonXtal_Prot#'!$A:$AL,22,FALSE)+10,1)</f>
        <v>Y</v>
      </c>
      <c r="AG354" s="28" t="str">
        <f>MID(VLOOKUP($A354,Seqs!$A:$B,2,FALSE),VLOOKUP($A354,'SegEnds_NonXtal_Prot#'!$A:$AL,28,FALSE)-4,1)</f>
        <v>Y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114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1325</v>
      </c>
      <c r="V355" s="28" t="str">
        <f>MID(VLOOKUP($A355,Seqs!$A:$B,2,FALSE),VLOOKUP($A355,'SegEnds_NonXtal_Prot#'!A:AL,10,FALSE),1)</f>
        <v>H</v>
      </c>
      <c r="W355" s="49" t="str">
        <f>MID(VLOOKUP($A355,Seqs!$A:$B,2,FALSE),VLOOKUP($A355,'SegEnds_NonXtal_Prot#'!A:AL,10,FALSE)+6,1)</f>
        <v>S</v>
      </c>
      <c r="X355" s="49" t="str">
        <f>MID(VLOOKUP($A355,Seqs!$A:$B,2,FALSE),VLOOKUP($A355,'SegEnds_NonXtal_Prot#'!A:AL,10,FALSE)+7,1)</f>
        <v>T</v>
      </c>
      <c r="Y355" s="49" t="str">
        <f>MID(VLOOKUP($A355,Seqs!$A:$B,2,FALSE),VLOOKUP($A355,'SegEnds_NonXtal_Prot#'!A:AL,10,FALSE)+8,1)</f>
        <v>S</v>
      </c>
      <c r="Z355" s="49" t="str">
        <f>MID(VLOOKUP($A355,Seqs!$A:$B,2,FALSE),VLOOKUP($A355,'SegEnds_NonXtal_Prot#'!A:AL,10,FALSE)+9,1)</f>
        <v>F</v>
      </c>
      <c r="AA355" s="49" t="str">
        <f>MID(VLOOKUP($A355,Seqs!$A:$B,2,FALSE),VLOOKUP($A355,'SegEnds_NonXtal_Prot#'!A:AL,10,FALSE)+10,1)</f>
        <v>F</v>
      </c>
      <c r="AB355" s="28" t="str">
        <f>MID(VLOOKUP($A355,Seqs!$A:$B,2,FALSE),VLOOKUP($A355,'SegEnds_NonXtal_Prot#'!$A:$AL,22,FALSE)+6,1)</f>
        <v>I</v>
      </c>
      <c r="AC355" s="49" t="str">
        <f>MID(VLOOKUP($A355,Seqs!$A:$B,2,FALSE),VLOOKUP($A355,'SegEnds_NonXtal_Prot#'!$A:$AL,22,FALSE)+7,1)</f>
        <v>C</v>
      </c>
      <c r="AD355" s="49" t="str">
        <f>MID(VLOOKUP($A355,Seqs!$A:$B,2,FALSE),VLOOKUP($A355,'SegEnds_NonXtal_Prot#'!$A:$AL,22,FALSE)+8,1)</f>
        <v>T</v>
      </c>
      <c r="AE355" s="49" t="str">
        <f>MID(VLOOKUP($A355,Seqs!$A:$B,2,FALSE),VLOOKUP($A355,'SegEnds_NonXtal_Prot#'!$A:$AL,22,FALSE)+9,1)</f>
        <v>L</v>
      </c>
      <c r="AF355" s="49" t="str">
        <f>MID(VLOOKUP($A355,Seqs!$A:$B,2,FALSE),VLOOKUP($A355,'SegEnds_NonXtal_Prot#'!$A:$AL,22,FALSE)+10,1)</f>
        <v>W</v>
      </c>
      <c r="AG355" s="28" t="str">
        <f>MID(VLOOKUP($A355,Seqs!$A:$B,2,FALSE),VLOOKUP($A355,'SegEnds_NonXtal_Prot#'!$A:$AL,28,FALSE)-4,1)</f>
        <v>Y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40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Xtal</v>
      </c>
      <c r="H356" s="4"/>
      <c r="U356" s="2" t="s">
        <v>1325</v>
      </c>
      <c r="V356" s="28" t="str">
        <f>MID(VLOOKUP($A356,Seqs!$A:$B,2,FALSE),VLOOKUP($A356,'SegEnds_NonXtal_Prot#'!A:AL,10,FALSE),1)</f>
        <v>I</v>
      </c>
      <c r="W356" s="49" t="str">
        <f>MID(VLOOKUP($A356,Seqs!$A:$B,2,FALSE),VLOOKUP($A356,'SegEnds_NonXtal_Prot#'!A:AL,10,FALSE)+6,1)</f>
        <v>C</v>
      </c>
      <c r="X356" s="49" t="str">
        <f>MID(VLOOKUP($A356,Seqs!$A:$B,2,FALSE),VLOOKUP($A356,'SegEnds_NonXtal_Prot#'!A:AL,10,FALSE)+7,1)</f>
        <v>P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T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V</v>
      </c>
      <c r="AD356" s="49" t="str">
        <f>MID(VLOOKUP($A356,Seqs!$A:$B,2,FALSE),VLOOKUP($A356,'SegEnds_NonXtal_Prot#'!$A:$AL,22,FALSE)+8,1)</f>
        <v>V</v>
      </c>
      <c r="AE356" s="49" t="str">
        <f>MID(VLOOKUP($A356,Seqs!$A:$B,2,FALSE),VLOOKUP($A356,'SegEnds_NonXtal_Prot#'!$A:$AL,22,FALSE)+9,1)</f>
        <v>T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121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1325</v>
      </c>
      <c r="V357" s="28" t="str">
        <f>MID(VLOOKUP($A357,Seqs!$A:$B,2,FALSE),VLOOKUP($A357,'SegEnds_NonXtal_Prot#'!A:AL,10,FALSE),1)</f>
        <v>V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I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Y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122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1325</v>
      </c>
      <c r="V358" s="28" t="str">
        <f>MID(VLOOKUP($A358,Seqs!$A:$B,2,FALSE),VLOOKUP($A358,'SegEnds_NonXtal_Prot#'!A:AL,10,FALSE),1)</f>
        <v>L</v>
      </c>
      <c r="W358" s="49" t="str">
        <f>MID(VLOOKUP($A358,Seqs!$A:$B,2,FALSE),VLOOKUP($A358,'SegEnds_NonXtal_Prot#'!A:AL,10,FALSE)+6,1)</f>
        <v>S</v>
      </c>
      <c r="X358" s="49" t="str">
        <f>MID(VLOOKUP($A358,Seqs!$A:$B,2,FALSE),VLOOKUP($A358,'SegEnds_NonXtal_Prot#'!A:AL,10,FALSE)+7,1)</f>
        <v>L</v>
      </c>
      <c r="Y358" s="49" t="str">
        <f>MID(VLOOKUP($A358,Seqs!$A:$B,2,FALSE),VLOOKUP($A358,'SegEnds_NonXtal_Prot#'!A:AL,10,FALSE)+8,1)</f>
        <v>Y</v>
      </c>
      <c r="Z358" s="49" t="str">
        <f>MID(VLOOKUP($A358,Seqs!$A:$B,2,FALSE),VLOOKUP($A358,'SegEnds_NonXtal_Prot#'!A:AL,10,FALSE)+9,1)</f>
        <v>G</v>
      </c>
      <c r="AA358" s="49" t="str">
        <f>MID(VLOOKUP($A358,Seqs!$A:$B,2,FALSE),VLOOKUP($A358,'SegEnds_NonXtal_Prot#'!A:AL,10,FALSE)+10,1)</f>
        <v>F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C</v>
      </c>
      <c r="AD358" s="49" t="str">
        <f>MID(VLOOKUP($A358,Seqs!$A:$B,2,FALSE),VLOOKUP($A358,'SegEnds_NonXtal_Prot#'!$A:$AL,22,FALSE)+8,1)</f>
        <v>L</v>
      </c>
      <c r="AE358" s="49" t="str">
        <f>MID(VLOOKUP($A358,Seqs!$A:$B,2,FALSE),VLOOKUP($A358,'SegEnds_NonXtal_Prot#'!$A:$AL,22,FALSE)+9,1)</f>
        <v>T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123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1325</v>
      </c>
      <c r="V359" s="28" t="str">
        <f>MID(VLOOKUP($A359,Seqs!$A:$B,2,FALSE),VLOOKUP($A359,'SegEnds_NonXtal_Prot#'!A:AL,10,FALSE),1)</f>
        <v>L</v>
      </c>
      <c r="W359" s="49" t="str">
        <f>MID(VLOOKUP($A359,Seqs!$A:$B,2,FALSE),VLOOKUP($A359,'SegEnds_NonXtal_Prot#'!A:AL,10,FALSE)+6,1)</f>
        <v>V</v>
      </c>
      <c r="X359" s="49" t="str">
        <f>MID(VLOOKUP($A359,Seqs!$A:$B,2,FALSE),VLOOKUP($A359,'SegEnds_NonXtal_Prot#'!A:AL,10,FALSE)+7,1)</f>
        <v>V</v>
      </c>
      <c r="Y359" s="49" t="str">
        <f>MID(VLOOKUP($A359,Seqs!$A:$B,2,FALSE),VLOOKUP($A359,'SegEnds_NonXtal_Prot#'!A:AL,10,FALSE)+8,1)</f>
        <v>P</v>
      </c>
      <c r="Z359" s="49" t="str">
        <f>MID(VLOOKUP($A359,Seqs!$A:$B,2,FALSE),VLOOKUP($A359,'SegEnds_NonXtal_Prot#'!A:AL,10,FALSE)+9,1)</f>
        <v>V</v>
      </c>
      <c r="AA359" s="49" t="str">
        <f>MID(VLOOKUP($A359,Seqs!$A:$B,2,FALSE),VLOOKUP($A359,'SegEnds_NonXtal_Prot#'!A:AL,10,FALSE)+10,1)</f>
        <v>Y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V</v>
      </c>
      <c r="AD359" s="49" t="str">
        <f>MID(VLOOKUP($A359,Seqs!$A:$B,2,FALSE),VLOOKUP($A359,'SegEnds_NonXtal_Prot#'!$A:$AL,22,FALSE)+8,1)</f>
        <v>V</v>
      </c>
      <c r="AE359" s="49" t="str">
        <f>MID(VLOOKUP($A359,Seqs!$A:$B,2,FALSE),VLOOKUP($A359,'SegEnds_NonXtal_Prot#'!$A:$AL,22,FALSE)+9,1)</f>
        <v>I</v>
      </c>
      <c r="AF359" s="49" t="str">
        <f>MID(VLOOKUP($A359,Seqs!$A:$B,2,FALSE),VLOOKUP($A359,'SegEnds_NonXtal_Prot#'!$A:$AL,22,FALSE)+10,1)</f>
        <v>G</v>
      </c>
      <c r="AG359" s="28" t="str">
        <f>MID(VLOOKUP($A359,Seqs!$A:$B,2,FALSE),VLOOKUP($A359,'SegEnds_NonXtal_Prot#'!$A:$AL,28,FALSE)-4,1)</f>
        <v>L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124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1325</v>
      </c>
      <c r="V360" s="28" t="str">
        <f>MID(VLOOKUP($A360,Seqs!$A:$B,2,FALSE),VLOOKUP($A360,'SegEnds_NonXtal_Prot#'!A:AL,10,FALSE),1)</f>
        <v>L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V</v>
      </c>
      <c r="Y360" s="49" t="str">
        <f>MID(VLOOKUP($A360,Seqs!$A:$B,2,FALSE),VLOOKUP($A360,'SegEnds_NonXtal_Prot#'!A:AL,10,FALSE)+8,1)</f>
        <v>L</v>
      </c>
      <c r="Z360" s="49" t="str">
        <f>MID(VLOOKUP($A360,Seqs!$A:$B,2,FALSE),VLOOKUP($A360,'SegEnds_NonXtal_Prot#'!A:AL,10,FALSE)+9,1)</f>
        <v>L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L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W</v>
      </c>
      <c r="AF360" s="49" t="str">
        <f>MID(VLOOKUP($A360,Seqs!$A:$B,2,FALSE),VLOOKUP($A360,'SegEnds_NonXtal_Prot#'!$A:$AL,22,FALSE)+10,1)</f>
        <v>Y</v>
      </c>
      <c r="AG360" s="28" t="str">
        <f>MID(VLOOKUP($A360,Seqs!$A:$B,2,FALSE),VLOOKUP($A360,'SegEnds_NonXtal_Prot#'!$A:$AL,28,FALSE)-4,1)</f>
        <v>T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105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1325</v>
      </c>
      <c r="V361" s="28" t="str">
        <f>MID(VLOOKUP($A361,Seqs!$A:$B,2,FALSE),VLOOKUP($A361,'SegEnds_NonXtal_Prot#'!A:AL,10,FALSE),1)</f>
        <v>L</v>
      </c>
      <c r="W361" s="49" t="str">
        <f>MID(VLOOKUP($A361,Seqs!$A:$B,2,FALSE),VLOOKUP($A361,'SegEnds_NonXtal_Prot#'!A:AL,10,FALSE)+6,1)</f>
        <v>S</v>
      </c>
      <c r="X361" s="49" t="str">
        <f>MID(VLOOKUP($A361,Seqs!$A:$B,2,FALSE),VLOOKUP($A361,'SegEnds_NonXtal_Prot#'!A:AL,10,FALSE)+7,1)</f>
        <v>S</v>
      </c>
      <c r="Y361" s="49" t="str">
        <f>MID(VLOOKUP($A361,Seqs!$A:$B,2,FALSE),VLOOKUP($A361,'SegEnds_NonXtal_Prot#'!A:AL,10,FALSE)+8,1)</f>
        <v>L</v>
      </c>
      <c r="Z361" s="49" t="str">
        <f>MID(VLOOKUP($A361,Seqs!$A:$B,2,FALSE),VLOOKUP($A361,'SegEnds_NonXtal_Prot#'!A:AL,10,FALSE)+9,1)</f>
        <v>F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C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I</v>
      </c>
      <c r="AF361" s="49" t="str">
        <f>MID(VLOOKUP($A361,Seqs!$A:$B,2,FALSE),VLOOKUP($A361,'SegEnds_NonXtal_Prot#'!$A:$AL,22,FALSE)+10,1)</f>
        <v>W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107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1325</v>
      </c>
      <c r="V362" s="28" t="str">
        <f>MID(VLOOKUP($A362,Seqs!$A:$B,2,FALSE),VLOOKUP($A362,'SegEnds_NonXtal_Prot#'!A:AL,10,FALSE),1)</f>
        <v>G</v>
      </c>
      <c r="W362" s="49" t="str">
        <f>MID(VLOOKUP($A362,Seqs!$A:$B,2,FALSE),VLOOKUP($A362,'SegEnds_NonXtal_Prot#'!A:AL,10,FALSE)+6,1)</f>
        <v>S</v>
      </c>
      <c r="X362" s="49" t="str">
        <f>MID(VLOOKUP($A362,Seqs!$A:$B,2,FALSE),VLOOKUP($A362,'SegEnds_NonXtal_Prot#'!A:AL,10,FALSE)+7,1)</f>
        <v>I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L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L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C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115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1325</v>
      </c>
      <c r="V363" s="28" t="str">
        <f>MID(VLOOKUP($A363,Seqs!$A:$B,2,FALSE),VLOOKUP($A363,'SegEnds_NonXtal_Prot#'!A:AL,10,FALSE),1)</f>
        <v>V</v>
      </c>
      <c r="W363" s="49" t="str">
        <f>MID(VLOOKUP($A363,Seqs!$A:$B,2,FALSE),VLOOKUP($A363,'SegEnds_NonXtal_Prot#'!A:AL,10,FALSE)+6,1)</f>
        <v>M</v>
      </c>
      <c r="X363" s="49" t="str">
        <f>MID(VLOOKUP($A363,Seqs!$A:$B,2,FALSE),VLOOKUP($A363,'SegEnds_NonXtal_Prot#'!A:AL,10,FALSE)+7,1)</f>
        <v>T</v>
      </c>
      <c r="Y363" s="49" t="str">
        <f>MID(VLOOKUP($A363,Seqs!$A:$B,2,FALSE),VLOOKUP($A363,'SegEnds_NonXtal_Prot#'!A:AL,10,FALSE)+8,1)</f>
        <v>F</v>
      </c>
      <c r="Z363" s="49" t="str">
        <f>MID(VLOOKUP($A363,Seqs!$A:$B,2,FALSE),VLOOKUP($A363,'SegEnds_NonXtal_Prot#'!A:AL,10,FALSE)+9,1)</f>
        <v>I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V</v>
      </c>
      <c r="AE363" s="49" t="str">
        <f>MID(VLOOKUP($A363,Seqs!$A:$B,2,FALSE),VLOOKUP($A363,'SegEnds_NonXtal_Prot#'!$A:$AL,22,FALSE)+9,1)</f>
        <v>A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116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1325</v>
      </c>
      <c r="V364" s="28" t="str">
        <f>MID(VLOOKUP($A364,Seqs!$A:$B,2,FALSE),VLOOKUP($A364,'SegEnds_NonXtal_Prot#'!A:AL,10,FALSE),1)</f>
        <v>V</v>
      </c>
      <c r="W364" s="49" t="str">
        <f>MID(VLOOKUP($A364,Seqs!$A:$B,2,FALSE),VLOOKUP($A364,'SegEnds_NonXtal_Prot#'!A:AL,10,FALSE)+6,1)</f>
        <v>M</v>
      </c>
      <c r="X364" s="49" t="str">
        <f>MID(VLOOKUP($A364,Seqs!$A:$B,2,FALSE),VLOOKUP($A364,'SegEnds_NonXtal_Prot#'!A:AL,10,FALSE)+7,1)</f>
        <v>T</v>
      </c>
      <c r="Y364" s="49" t="str">
        <f>MID(VLOOKUP($A364,Seqs!$A:$B,2,FALSE),VLOOKUP($A364,'SegEnds_NonXtal_Prot#'!A:AL,10,FALSE)+8,1)</f>
        <v>F</v>
      </c>
      <c r="Z364" s="49" t="str">
        <f>MID(VLOOKUP($A364,Seqs!$A:$B,2,FALSE),VLOOKUP($A364,'SegEnds_NonXtal_Prot#'!A:AL,10,FALSE)+9,1)</f>
        <v>F</v>
      </c>
      <c r="AA364" s="49" t="str">
        <f>MID(VLOOKUP($A364,Seqs!$A:$B,2,FALSE),VLOOKUP($A364,'SegEnds_NonXtal_Prot#'!A:AL,10,FALSE)+10,1)</f>
        <v>F</v>
      </c>
      <c r="AB364" s="28" t="str">
        <f>MID(VLOOKUP($A364,Seqs!$A:$B,2,FALSE),VLOOKUP($A364,'SegEnds_NonXtal_Prot#'!$A:$AL,22,FALSE)+6,1)</f>
        <v>M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S</v>
      </c>
      <c r="AE364" s="49" t="str">
        <f>MID(VLOOKUP($A364,Seqs!$A:$B,2,FALSE),VLOOKUP($A364,'SegEnds_NonXtal_Prot#'!$A:$AL,22,FALSE)+9,1)</f>
        <v>V</v>
      </c>
      <c r="AF364" s="49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117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1325</v>
      </c>
      <c r="V365" s="28" t="str">
        <f>MID(VLOOKUP($A365,Seqs!$A:$B,2,FALSE),VLOOKUP($A365,'SegEnds_NonXtal_Prot#'!A:AL,10,FALSE),1)</f>
        <v>I</v>
      </c>
      <c r="W365" s="49" t="str">
        <f>MID(VLOOKUP($A365,Seqs!$A:$B,2,FALSE),VLOOKUP($A365,'SegEnds_NonXtal_Prot#'!A:AL,10,FALSE)+6,1)</f>
        <v>T</v>
      </c>
      <c r="X365" s="49" t="str">
        <f>MID(VLOOKUP($A365,Seqs!$A:$B,2,FALSE),VLOOKUP($A365,'SegEnds_NonXtal_Prot#'!A:AL,10,FALSE)+7,1)</f>
        <v>T</v>
      </c>
      <c r="Y365" s="49" t="str">
        <f>MID(VLOOKUP($A365,Seqs!$A:$B,2,FALSE),VLOOKUP($A365,'SegEnds_NonXtal_Prot#'!A:AL,10,FALSE)+8,1)</f>
        <v>F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M</v>
      </c>
      <c r="AB365" s="28" t="str">
        <f>MID(VLOOKUP($A365,Seqs!$A:$B,2,FALSE),VLOOKUP($A365,'SegEnds_NonXtal_Prot#'!$A:$AL,22,FALSE)+6,1)</f>
        <v>G</v>
      </c>
      <c r="AC365" s="49" t="str">
        <f>MID(VLOOKUP($A365,Seqs!$A:$B,2,FALSE),VLOOKUP($A365,'SegEnds_NonXtal_Prot#'!$A:$AL,22,FALSE)+7,1)</f>
        <v>I</v>
      </c>
      <c r="AD365" s="49" t="str">
        <f>MID(VLOOKUP($A365,Seqs!$A:$B,2,FALSE),VLOOKUP($A365,'SegEnds_NonXtal_Prot#'!$A:$AL,22,FALSE)+8,1)</f>
        <v>C</v>
      </c>
      <c r="AE365" s="49" t="str">
        <f>MID(VLOOKUP($A365,Seqs!$A:$B,2,FALSE),VLOOKUP($A365,'SegEnds_NonXtal_Prot#'!$A:$AL,22,FALSE)+9,1)</f>
        <v>V</v>
      </c>
      <c r="AF365" s="49" t="str">
        <f>MID(VLOOKUP($A365,Seqs!$A:$B,2,FALSE),VLOOKUP($A365,'SegEnds_NonXtal_Prot#'!$A:$AL,22,FALSE)+10,1)</f>
        <v>W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41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Xtal</v>
      </c>
      <c r="H366" s="4"/>
      <c r="U366" s="2" t="s">
        <v>1325</v>
      </c>
      <c r="V366" s="28" t="str">
        <f>MID(VLOOKUP($A366,Seqs!$A:$B,2,FALSE),VLOOKUP($A366,'SegEnds_NonXtal_Prot#'!A:AL,10,FALSE),1)</f>
        <v>I</v>
      </c>
      <c r="W366" s="49" t="str">
        <f>MID(VLOOKUP($A366,Seqs!$A:$B,2,FALSE),VLOOKUP($A366,'SegEnds_NonXtal_Prot#'!A:AL,10,FALSE)+6,1)</f>
        <v>C</v>
      </c>
      <c r="X366" s="49" t="str">
        <f>MID(VLOOKUP($A366,Seqs!$A:$B,2,FALSE),VLOOKUP($A366,'SegEnds_NonXtal_Prot#'!A:AL,10,FALSE)+7,1)</f>
        <v>T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C</v>
      </c>
      <c r="AA366" s="49" t="str">
        <f>MID(VLOOKUP($A366,Seqs!$A:$B,2,FALSE),VLOOKUP($A366,'SegEnds_NonXtal_Prot#'!A:AL,10,FALSE)+10,1)</f>
        <v>L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I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A</v>
      </c>
      <c r="AF366" s="49" t="str">
        <f>MID(VLOOKUP($A366,Seqs!$A:$B,2,FALSE),VLOOKUP($A366,'SegEnds_NonXtal_Prot#'!$A:$AL,22,FALSE)+10,1)</f>
        <v>L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118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1325</v>
      </c>
      <c r="V367" s="28" t="str">
        <f>MID(VLOOKUP($A367,Seqs!$A:$B,2,FALSE),VLOOKUP($A367,'SegEnds_NonXtal_Prot#'!A:AL,10,FALSE),1)</f>
        <v>I</v>
      </c>
      <c r="W367" s="49" t="str">
        <f>MID(VLOOKUP($A367,Seqs!$A:$B,2,FALSE),VLOOKUP($A367,'SegEnds_NonXtal_Prot#'!A:AL,10,FALSE)+6,1)</f>
        <v>I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M</v>
      </c>
      <c r="AB367" s="28" t="str">
        <f>MID(VLOOKUP($A367,Seqs!$A:$B,2,FALSE),VLOOKUP($A367,'SegEnds_NonXtal_Prot#'!$A:$AL,22,FALSE)+6,1)</f>
        <v>G</v>
      </c>
      <c r="AC367" s="49" t="str">
        <f>MID(VLOOKUP($A367,Seqs!$A:$B,2,FALSE),VLOOKUP($A367,'SegEnds_NonXtal_Prot#'!$A:$AL,22,FALSE)+7,1)</f>
        <v>M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A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ht="17" customHeight="1" x14ac:dyDescent="0.2">
      <c r="A368" s="2" t="s">
        <v>119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1325</v>
      </c>
      <c r="V368" s="28" t="str">
        <f>MID(VLOOKUP($A368,Seqs!$A:$B,2,FALSE),VLOOKUP($A368,'SegEnds_NonXtal_Prot#'!A:AL,10,FALSE),1)</f>
        <v>I</v>
      </c>
      <c r="W368" s="49" t="str">
        <f>MID(VLOOKUP($A368,Seqs!$A:$B,2,FALSE),VLOOKUP($A368,'SegEnds_NonXtal_Prot#'!A:AL,10,FALSE)+6,1)</f>
        <v>I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L</v>
      </c>
      <c r="AA368" s="49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F</v>
      </c>
      <c r="AE368" s="49" t="str">
        <f>MID(VLOOKUP($A368,Seqs!$A:$B,2,FALSE),VLOOKUP($A368,'SegEnds_NonXtal_Prot#'!$A:$AL,22,FALSE)+9,1)</f>
        <v>I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120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1325</v>
      </c>
      <c r="V369" s="28" t="str">
        <f>MID(VLOOKUP($A369,Seqs!$A:$B,2,FALSE),VLOOKUP($A369,'SegEnds_NonXtal_Prot#'!A:AL,10,FALSE),1)</f>
        <v>I</v>
      </c>
      <c r="W369" s="49" t="str">
        <f>MID(VLOOKUP($A369,Seqs!$A:$B,2,FALSE),VLOOKUP($A369,'SegEnds_NonXtal_Prot#'!A:AL,10,FALSE)+6,1)</f>
        <v>I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L</v>
      </c>
      <c r="AA369" s="49" t="str">
        <f>MID(VLOOKUP($A369,Seqs!$A:$B,2,FALSE),VLOOKUP($A369,'SegEnds_NonXtal_Prot#'!A:AL,10,FALSE)+10,1)</f>
        <v>M</v>
      </c>
      <c r="AB369" s="28" t="str">
        <f>MID(VLOOKUP($A369,Seqs!$A:$B,2,FALSE),VLOOKUP($A369,'SegEnds_NonXtal_Prot#'!$A:$AL,22,FALSE)+6,1)</f>
        <v>G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F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446</v>
      </c>
      <c r="B370" s="2" t="str">
        <f>LOWER(VLOOKUP(A370,Xtal_Templ!A:B,2,FALSE))</f>
        <v>fzd4_human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H370" s="4"/>
      <c r="P370" s="2" t="s">
        <v>1324</v>
      </c>
      <c r="V370" s="28" t="str">
        <f>MID(VLOOKUP($A370,Seqs!$A:$B,2,FALSE),VLOOKUP($A370,'SegEnds_NonXtal_Prot#'!A:AL,10,FALSE),1)</f>
        <v>G</v>
      </c>
      <c r="W370" s="49" t="str">
        <f>MID(VLOOKUP($A370,Seqs!$A:$B,2,FALSE),VLOOKUP($A370,'SegEnds_NonXtal_Prot#'!A:AL,10,FALSE)+6,1)</f>
        <v>A</v>
      </c>
      <c r="X370" s="49" t="str">
        <f>MID(VLOOKUP($A370,Seqs!$A:$B,2,FALSE),VLOOKUP($A370,'SegEnds_NonXtal_Prot#'!A:AL,10,FALSE)+7,1)</f>
        <v>V</v>
      </c>
      <c r="Y370" s="49" t="str">
        <f>MID(VLOOKUP($A370,Seqs!$A:$B,2,FALSE),VLOOKUP($A370,'SegEnds_NonXtal_Prot#'!A:AL,10,FALSE)+8,1)</f>
        <v>A</v>
      </c>
      <c r="Z370" s="49" t="str">
        <f>MID(VLOOKUP($A370,Seqs!$A:$B,2,FALSE),VLOOKUP($A370,'SegEnds_NonXtal_Prot#'!A:AL,10,FALSE)+9,1)</f>
        <v>Y</v>
      </c>
      <c r="AA370" s="49" t="str">
        <f>MID(VLOOKUP($A370,Seqs!$A:$B,2,FALSE),VLOOKUP($A370,'SegEnds_NonXtal_Prot#'!A:AL,10,FALSE)+10,1)</f>
        <v>I</v>
      </c>
      <c r="AB370" s="28" t="str">
        <f>MID(VLOOKUP($A370,Seqs!$A:$B,2,FALSE),VLOOKUP($A370,'SegEnds_NonXtal_Prot#'!$A:$AL,22,FALSE)+6,1)</f>
        <v>K</v>
      </c>
      <c r="AC370" s="49" t="str">
        <f>MID(VLOOKUP($A370,Seqs!$A:$B,2,FALSE),VLOOKUP($A370,'SegEnds_NonXtal_Prot#'!$A:$AL,22,FALSE)+7,1)</f>
        <v>T</v>
      </c>
      <c r="AD370" s="49" t="str">
        <f>MID(VLOOKUP($A370,Seqs!$A:$B,2,FALSE),VLOOKUP($A370,'SegEnds_NonXtal_Prot#'!$A:$AL,22,FALSE)+8,1)</f>
        <v>I</v>
      </c>
      <c r="AE370" s="49" t="str">
        <f>MID(VLOOKUP($A370,Seqs!$A:$B,2,FALSE),VLOOKUP($A370,'SegEnds_NonXtal_Prot#'!$A:$AL,22,FALSE)+9,1)</f>
        <v>T</v>
      </c>
      <c r="AF370" s="49" t="str">
        <f>MID(VLOOKUP($A370,Seqs!$A:$B,2,FALSE),VLOOKUP($A370,'SegEnds_NonXtal_Prot#'!$A:$AL,22,FALSE)+10,1)</f>
        <v>I</v>
      </c>
      <c r="AG370" s="28" t="str">
        <f>MID(VLOOKUP($A370,Seqs!$A:$B,2,FALSE),VLOOKUP($A370,'SegEnds_NonXtal_Prot#'!$A:$AL,28,FALSE)-4,1)</f>
        <v>P</v>
      </c>
      <c r="AH370" s="49" t="str">
        <f>MID(VLOOKUP($A370,Seqs!$A:$B,2,FALSE),VLOOKUP($A370,'SegEnds_NonXtal_Prot#'!$A:$AL,28,FALSE),1)</f>
        <v>Y</v>
      </c>
    </row>
    <row r="371" spans="1:34" s="2" customFormat="1" x14ac:dyDescent="0.2">
      <c r="A371" s="2" t="s">
        <v>447</v>
      </c>
      <c r="B371" s="2" t="str">
        <f>LOWER(VLOOKUP(A371,Xtal_Templ!A:B,2,FALSE))</f>
        <v>fzd4_human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1324</v>
      </c>
      <c r="V371" s="28" t="str">
        <f>MID(VLOOKUP($A371,Seqs!$A:$B,2,FALSE),VLOOKUP($A371,'SegEnds_NonXtal_Prot#'!A:AL,10,FALSE),1)</f>
        <v>M</v>
      </c>
      <c r="W371" s="49" t="str">
        <f>MID(VLOOKUP($A371,Seqs!$A:$B,2,FALSE),VLOOKUP($A371,'SegEnds_NonXtal_Prot#'!A:AL,10,FALSE)+6,1)</f>
        <v>S</v>
      </c>
      <c r="X371" s="49" t="str">
        <f>MID(VLOOKUP($A371,Seqs!$A:$B,2,FALSE),VLOOKUP($A371,'SegEnds_NonXtal_Prot#'!A:AL,10,FALSE)+7,1)</f>
        <v>V</v>
      </c>
      <c r="Y371" s="49" t="str">
        <f>MID(VLOOKUP($A371,Seqs!$A:$B,2,FALSE),VLOOKUP($A371,'SegEnds_NonXtal_Prot#'!A:AL,10,FALSE)+8,1)</f>
        <v>G</v>
      </c>
      <c r="Z371" s="49" t="str">
        <f>MID(VLOOKUP($A371,Seqs!$A:$B,2,FALSE),VLOOKUP($A371,'SegEnds_NonXtal_Prot#'!A:AL,10,FALSE)+9,1)</f>
        <v>Y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K</v>
      </c>
      <c r="AC371" s="49" t="str">
        <f>MID(VLOOKUP($A371,Seqs!$A:$B,2,FALSE),VLOOKUP($A371,'SegEnds_NonXtal_Prot#'!$A:$AL,22,FALSE)+7,1)</f>
        <v>T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L</v>
      </c>
      <c r="AF371" s="49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49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448</v>
      </c>
      <c r="B372" s="2" t="str">
        <f>LOWER(VLOOKUP(A372,Xtal_Templ!A:B,2,FALSE))</f>
        <v>fzd4_human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1324</v>
      </c>
      <c r="V372" s="28" t="str">
        <f>MID(VLOOKUP($A372,Seqs!$A:$B,2,FALSE),VLOOKUP($A372,'SegEnds_NonXtal_Prot#'!A:AL,10,FALSE),1)</f>
        <v>G</v>
      </c>
      <c r="W372" s="49" t="str">
        <f>MID(VLOOKUP($A372,Seqs!$A:$B,2,FALSE),VLOOKUP($A372,'SegEnds_NonXtal_Prot#'!A:AL,10,FALSE)+6,1)</f>
        <v>S</v>
      </c>
      <c r="X372" s="49" t="str">
        <f>MID(VLOOKUP($A372,Seqs!$A:$B,2,FALSE),VLOOKUP($A372,'SegEnds_NonXtal_Prot#'!A:AL,10,FALSE)+7,1)</f>
        <v>V</v>
      </c>
      <c r="Y372" s="49" t="str">
        <f>MID(VLOOKUP($A372,Seqs!$A:$B,2,FALSE),VLOOKUP($A372,'SegEnds_NonXtal_Prot#'!A:AL,10,FALSE)+8,1)</f>
        <v>A</v>
      </c>
      <c r="Z372" s="49" t="str">
        <f>MID(VLOOKUP($A372,Seqs!$A:$B,2,FALSE),VLOOKUP($A372,'SegEnds_NonXtal_Prot#'!A:AL,10,FALSE)+9,1)</f>
        <v>Y</v>
      </c>
      <c r="AA372" s="49" t="str">
        <f>MID(VLOOKUP($A372,Seqs!$A:$B,2,FALSE),VLOOKUP($A372,'SegEnds_NonXtal_Prot#'!A:AL,10,FALSE)+10,1)</f>
        <v>I</v>
      </c>
      <c r="AB372" s="28" t="str">
        <f>MID(VLOOKUP($A372,Seqs!$A:$B,2,FALSE),VLOOKUP($A372,'SegEnds_NonXtal_Prot#'!$A:$AL,22,FALSE)+6,1)</f>
        <v>K</v>
      </c>
      <c r="AC372" s="49" t="str">
        <f>MID(VLOOKUP($A372,Seqs!$A:$B,2,FALSE),VLOOKUP($A372,'SegEnds_NonXtal_Prot#'!$A:$AL,22,FALSE)+7,1)</f>
        <v>T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T</v>
      </c>
      <c r="AF372" s="49" t="str">
        <f>MID(VLOOKUP($A372,Seqs!$A:$B,2,FALSE),VLOOKUP($A372,'SegEnds_NonXtal_Prot#'!$A:$AL,22,FALSE)+10,1)</f>
        <v>I</v>
      </c>
      <c r="AG372" s="28" t="str">
        <f>MID(VLOOKUP($A372,Seqs!$A:$B,2,FALSE),VLOOKUP($A372,'SegEnds_NonXtal_Prot#'!$A:$AL,28,FALSE)-4,1)</f>
        <v>P</v>
      </c>
      <c r="AH372" s="49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449</v>
      </c>
      <c r="B373" s="2" t="str">
        <f>LOWER(VLOOKUP(A373,Xtal_Templ!A:B,2,FALSE))</f>
        <v>fzd4_human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1324</v>
      </c>
      <c r="V373" s="28" t="str">
        <f>MID(VLOOKUP($A373,Seqs!$A:$B,2,FALSE),VLOOKUP($A373,'SegEnds_NonXtal_Prot#'!A:AL,10,FALSE),1)</f>
        <v>V</v>
      </c>
      <c r="W373" s="49" t="str">
        <f>MID(VLOOKUP($A373,Seqs!$A:$B,2,FALSE),VLOOKUP($A373,'SegEnds_NonXtal_Prot#'!A:AL,10,FALSE)+6,1)</f>
        <v>S</v>
      </c>
      <c r="X373" s="49" t="str">
        <f>MID(VLOOKUP($A373,Seqs!$A:$B,2,FALSE),VLOOKUP($A373,'SegEnds_NonXtal_Prot#'!A:AL,10,FALSE)+7,1)</f>
        <v>L</v>
      </c>
      <c r="Y373" s="49" t="str">
        <f>MID(VLOOKUP($A373,Seqs!$A:$B,2,FALSE),VLOOKUP($A373,'SegEnds_NonXtal_Prot#'!A:AL,10,FALSE)+8,1)</f>
        <v>I</v>
      </c>
      <c r="Z373" s="49" t="str">
        <f>MID(VLOOKUP($A373,Seqs!$A:$B,2,FALSE),VLOOKUP($A373,'SegEnds_NonXtal_Prot#'!A:AL,10,FALSE)+9,1)</f>
        <v>F</v>
      </c>
      <c r="AA373" s="49" t="str">
        <f>MID(VLOOKUP($A373,Seqs!$A:$B,2,FALSE),VLOOKUP($A373,'SegEnds_NonXtal_Prot#'!A:AL,10,FALSE)+10,1)</f>
        <v>F</v>
      </c>
      <c r="AB373" s="28" t="str">
        <f>MID(VLOOKUP($A373,Seqs!$A:$B,2,FALSE),VLOOKUP($A373,'SegEnds_NonXtal_Prot#'!$A:$AL,22,FALSE)+6,1)</f>
        <v>L</v>
      </c>
      <c r="AC373" s="49" t="str">
        <f>MID(VLOOKUP($A373,Seqs!$A:$B,2,FALSE),VLOOKUP($A373,'SegEnds_NonXtal_Prot#'!$A:$AL,22,FALSE)+7,1)</f>
        <v>T</v>
      </c>
      <c r="AD373" s="49" t="str">
        <f>MID(VLOOKUP($A373,Seqs!$A:$B,2,FALSE),VLOOKUP($A373,'SegEnds_NonXtal_Prot#'!$A:$AL,22,FALSE)+8,1)</f>
        <v>I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L</v>
      </c>
      <c r="AG373" s="28" t="str">
        <f>MID(VLOOKUP($A373,Seqs!$A:$B,2,FALSE),VLOOKUP($A373,'SegEnds_NonXtal_Prot#'!$A:$AL,28,FALSE)-4,1)</f>
        <v>P</v>
      </c>
      <c r="AH373" s="49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450</v>
      </c>
      <c r="B374" s="2" t="str">
        <f>LOWER(VLOOKUP(A374,Xtal_Templ!A:B,2,FALSE))</f>
        <v>fzd4_human</v>
      </c>
      <c r="C374" s="2" t="str">
        <f>VLOOKUP(A374,Classification!A:D,2,FALSE)</f>
        <v>F</v>
      </c>
      <c r="D374" s="2" t="str">
        <f>IF(ISERROR(MATCH(A374,'SegEnds_Xtal_Prot#'!B:B, 0)), "NoXtal", "Xtal")</f>
        <v>Xtal</v>
      </c>
      <c r="H374" s="4"/>
      <c r="P374" s="2" t="s">
        <v>1324</v>
      </c>
      <c r="V374" s="28" t="str">
        <f>MID(VLOOKUP($A374,Seqs!$A:$B,2,FALSE),VLOOKUP($A374,'SegEnds_NonXtal_Prot#'!A:AL,10,FALSE),1)</f>
        <v>M</v>
      </c>
      <c r="W374" s="49" t="str">
        <f>MID(VLOOKUP($A374,Seqs!$A:$B,2,FALSE),VLOOKUP($A374,'SegEnds_NonXtal_Prot#'!A:AL,10,FALSE)+6,1)</f>
        <v>S</v>
      </c>
      <c r="X374" s="49" t="str">
        <f>MID(VLOOKUP($A374,Seqs!$A:$B,2,FALSE),VLOOKUP($A374,'SegEnds_NonXtal_Prot#'!A:AL,10,FALSE)+7,1)</f>
        <v>I</v>
      </c>
      <c r="Y374" s="49" t="str">
        <f>MID(VLOOKUP($A374,Seqs!$A:$B,2,FALSE),VLOOKUP($A374,'SegEnds_NonXtal_Prot#'!A:AL,10,FALSE)+8,1)</f>
        <v>A</v>
      </c>
      <c r="Z374" s="49" t="str">
        <f>MID(VLOOKUP($A374,Seqs!$A:$B,2,FALSE),VLOOKUP($A374,'SegEnds_NonXtal_Prot#'!A:AL,10,FALSE)+9,1)</f>
        <v>Y</v>
      </c>
      <c r="AA374" s="49" t="str">
        <f>MID(VLOOKUP($A374,Seqs!$A:$B,2,FALSE),VLOOKUP($A374,'SegEnds_NonXtal_Prot#'!A:AL,10,FALSE)+10,1)</f>
        <v>I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T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I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451</v>
      </c>
      <c r="B375" s="2" t="str">
        <f>LOWER(VLOOKUP(A375,Xtal_Templ!A:B,2,FALSE))</f>
        <v>fzd4_human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1324</v>
      </c>
      <c r="V375" s="28" t="str">
        <f>MID(VLOOKUP($A375,Seqs!$A:$B,2,FALSE),VLOOKUP($A375,'SegEnds_NonXtal_Prot#'!A:AL,10,FALSE),1)</f>
        <v>A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L</v>
      </c>
      <c r="Y375" s="49" t="str">
        <f>MID(VLOOKUP($A375,Seqs!$A:$B,2,FALSE),VLOOKUP($A375,'SegEnds_NonXtal_Prot#'!A:AL,10,FALSE)+8,1)</f>
        <v>G</v>
      </c>
      <c r="Z375" s="49" t="str">
        <f>MID(VLOOKUP($A375,Seqs!$A:$B,2,FALSE),VLOOKUP($A375,'SegEnds_NonXtal_Prot#'!A:AL,10,FALSE)+9,1)</f>
        <v>F</v>
      </c>
      <c r="AA375" s="49" t="str">
        <f>MID(VLOOKUP($A375,Seqs!$A:$B,2,FALSE),VLOOKUP($A375,'SegEnds_NonXtal_Prot#'!A:AL,10,FALSE)+10,1)</f>
        <v>L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S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A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452</v>
      </c>
      <c r="B376" s="2" t="str">
        <f>LOWER(VLOOKUP(A376,Xtal_Templ!A:B,2,FALSE))</f>
        <v>fzd4_human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1324</v>
      </c>
      <c r="V376" s="28" t="str">
        <f>MID(VLOOKUP($A376,Seqs!$A:$B,2,FALSE),VLOOKUP($A376,'SegEnds_NonXtal_Prot#'!A:AL,10,FALSE),1)</f>
        <v>V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L</v>
      </c>
      <c r="Y376" s="49" t="str">
        <f>MID(VLOOKUP($A376,Seqs!$A:$B,2,FALSE),VLOOKUP($A376,'SegEnds_NonXtal_Prot#'!A:AL,10,FALSE)+8,1)</f>
        <v>M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F</v>
      </c>
      <c r="AB376" s="28" t="str">
        <f>MID(VLOOKUP($A376,Seqs!$A:$B,2,FALSE),VLOOKUP($A376,'SegEnds_NonXtal_Prot#'!$A:$AL,22,FALSE)+6,1)</f>
        <v>L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V</v>
      </c>
      <c r="AE376" s="49" t="str">
        <f>MID(VLOOKUP($A376,Seqs!$A:$B,2,FALSE),VLOOKUP($A376,'SegEnds_NonXtal_Prot#'!$A:$AL,22,FALSE)+9,1)</f>
        <v>M</v>
      </c>
      <c r="AF376" s="49" t="str">
        <f>MID(VLOOKUP($A376,Seqs!$A:$B,2,FALSE),VLOOKUP($A376,'SegEnds_NonXtal_Prot#'!$A:$AL,22,FALSE)+10,1)</f>
        <v>L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C</v>
      </c>
    </row>
    <row r="377" spans="1:34" s="2" customFormat="1" x14ac:dyDescent="0.2">
      <c r="A377" s="2" t="s">
        <v>453</v>
      </c>
      <c r="B377" s="2" t="str">
        <f>LOWER(VLOOKUP(A377,Xtal_Templ!A:B,2,FALSE))</f>
        <v>fzd4_human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1324</v>
      </c>
      <c r="V377" s="28" t="str">
        <f>MID(VLOOKUP($A377,Seqs!$A:$B,2,FALSE),VLOOKUP($A377,'SegEnds_NonXtal_Prot#'!A:AL,10,FALSE),1)</f>
        <v>G</v>
      </c>
      <c r="W377" s="49" t="str">
        <f>MID(VLOOKUP($A377,Seqs!$A:$B,2,FALSE),VLOOKUP($A377,'SegEnds_NonXtal_Prot#'!A:AL,10,FALSE)+6,1)</f>
        <v>A</v>
      </c>
      <c r="X377" s="49" t="str">
        <f>MID(VLOOKUP($A377,Seqs!$A:$B,2,FALSE),VLOOKUP($A377,'SegEnds_NonXtal_Prot#'!A:AL,10,FALSE)+7,1)</f>
        <v>V</v>
      </c>
      <c r="Y377" s="49" t="str">
        <f>MID(VLOOKUP($A377,Seqs!$A:$B,2,FALSE),VLOOKUP($A377,'SegEnds_NonXtal_Prot#'!A:AL,10,FALSE)+8,1)</f>
        <v>A</v>
      </c>
      <c r="Z377" s="49" t="str">
        <f>MID(VLOOKUP($A377,Seqs!$A:$B,2,FALSE),VLOOKUP($A377,'SegEnds_NonXtal_Prot#'!A:AL,10,FALSE)+9,1)</f>
        <v>H</v>
      </c>
      <c r="AA377" s="49" t="str">
        <f>MID(VLOOKUP($A377,Seqs!$A:$B,2,FALSE),VLOOKUP($A377,'SegEnds_NonXtal_Prot#'!A:AL,10,FALSE)+10,1)</f>
        <v>V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454</v>
      </c>
      <c r="B378" s="2" t="str">
        <f>LOWER(VLOOKUP(A378,Xtal_Templ!A:B,2,FALSE))</f>
        <v>fzd4_human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1324</v>
      </c>
      <c r="V378" s="28" t="str">
        <f>MID(VLOOKUP($A378,Seqs!$A:$B,2,FALSE),VLOOKUP($A378,'SegEnds_NonXtal_Prot#'!A:AL,10,FALSE),1)</f>
        <v>A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V</v>
      </c>
      <c r="Y378" s="49" t="str">
        <f>MID(VLOOKUP($A378,Seqs!$A:$B,2,FALSE),VLOOKUP($A378,'SegEnds_NonXtal_Prot#'!A:AL,10,FALSE)+8,1)</f>
        <v>G</v>
      </c>
      <c r="Z378" s="49" t="str">
        <f>MID(VLOOKUP($A378,Seqs!$A:$B,2,FALSE),VLOOKUP($A378,'SegEnds_NonXtal_Prot#'!A:AL,10,FALSE)+9,1)</f>
        <v>Y</v>
      </c>
      <c r="AA378" s="49" t="str">
        <f>MID(VLOOKUP($A378,Seqs!$A:$B,2,FALSE),VLOOKUP($A378,'SegEnds_NonXtal_Prot#'!A:AL,10,FALSE)+10,1)</f>
        <v>L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S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A</v>
      </c>
      <c r="AF378" s="49" t="str">
        <f>MID(VLOOKUP($A378,Seqs!$A:$B,2,FALSE),VLOOKUP($A378,'SegEnds_NonXtal_Prot#'!$A:$AL,22,FALSE)+10,1)</f>
        <v>V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455</v>
      </c>
      <c r="B379" s="2" t="str">
        <f>LOWER(VLOOKUP(A379,Xtal_Templ!A:B,2,FALSE))</f>
        <v>fzd4_human</v>
      </c>
      <c r="C379" s="2" t="str">
        <f>VLOOKUP(A379,Classification!A:D,2,FALSE)</f>
        <v>F</v>
      </c>
      <c r="D379" s="2" t="str">
        <f>IF(ISERROR(MATCH(A379,'SegEnds_Xtal_Prot#'!B:B, 0)), "NoXtal", "Xtal")</f>
        <v>NoXtal</v>
      </c>
      <c r="H379" s="4"/>
      <c r="P379" s="2" t="s">
        <v>1324</v>
      </c>
      <c r="V379" s="28" t="str">
        <f>MID(VLOOKUP($A379,Seqs!$A:$B,2,FALSE),VLOOKUP($A379,'SegEnds_NonXtal_Prot#'!A:AL,10,FALSE),1)</f>
        <v>M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L</v>
      </c>
      <c r="Y379" s="49" t="str">
        <f>MID(VLOOKUP($A379,Seqs!$A:$B,2,FALSE),VLOOKUP($A379,'SegEnds_NonXtal_Prot#'!A:AL,10,FALSE)+8,1)</f>
        <v>A</v>
      </c>
      <c r="Z379" s="49" t="str">
        <f>MID(VLOOKUP($A379,Seqs!$A:$B,2,FALSE),VLOOKUP($A379,'SegEnds_NonXtal_Prot#'!A:AL,10,FALSE)+9,1)</f>
        <v>F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33</v>
      </c>
      <c r="B380" s="2" t="str">
        <f>LOWER(VLOOKUP(A380,Xtal_Templ!A:B,2,FALSE))</f>
        <v>smo_human</v>
      </c>
      <c r="C380" s="2" t="str">
        <f>VLOOKUP(A380,Classification!A:D,2,FALSE)</f>
        <v>F</v>
      </c>
      <c r="D380" s="2" t="str">
        <f>IF(ISERROR(MATCH(A380,'SegEnds_Xtal_Prot#'!B:B, 0)), "NoXtal", "Xtal")</f>
        <v>Xtal</v>
      </c>
      <c r="H380" s="4"/>
      <c r="P380" s="2" t="s">
        <v>1324</v>
      </c>
      <c r="V380" s="28" t="str">
        <f>MID(VLOOKUP($A380,Seqs!$A:$B,2,FALSE),VLOOKUP($A380,'SegEnds_NonXtal_Prot#'!A:AL,10,FALSE),1)</f>
        <v>A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I</v>
      </c>
      <c r="Y380" s="49" t="str">
        <f>MID(VLOOKUP($A380,Seqs!$A:$B,2,FALSE),VLOOKUP($A380,'SegEnds_NonXtal_Prot#'!A:AL,10,FALSE)+8,1)</f>
        <v>G</v>
      </c>
      <c r="Z380" s="49" t="str">
        <f>MID(VLOOKUP($A380,Seqs!$A:$B,2,FALSE),VLOOKUP($A380,'SegEnds_NonXtal_Prot#'!A:AL,10,FALSE)+9,1)</f>
        <v>W</v>
      </c>
      <c r="AA380" s="49" t="str">
        <f>MID(VLOOKUP($A380,Seqs!$A:$B,2,FALSE),VLOOKUP($A380,'SegEnds_NonXtal_Prot#'!A:AL,10,FALSE)+10,1)</f>
        <v>L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T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A</v>
      </c>
      <c r="AF380" s="49" t="str">
        <f>MID(VLOOKUP($A380,Seqs!$A:$B,2,FALSE),VLOOKUP($A380,'SegEnds_NonXtal_Prot#'!$A:$AL,22,FALSE)+10,1)</f>
        <v>I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V</v>
      </c>
    </row>
    <row r="381" spans="1:34" s="2" customFormat="1" x14ac:dyDescent="0.2">
      <c r="A381" s="2" t="s">
        <v>1496</v>
      </c>
      <c r="B381" s="2" t="str">
        <f>LOWER(VLOOKUP(A381,Xtal_Templ!A:B,2,FALSE))</f>
        <v>q98sw5_xenla</v>
      </c>
      <c r="C381" s="2" t="str">
        <f>VLOOKUP(A381,Classification!A:D,2,FALSE)</f>
        <v>F</v>
      </c>
      <c r="D381" s="2" t="str">
        <f>IF(ISERROR(MATCH(A381,'SegEnds_Xtal_Prot#'!B:B, 0)), "NoXtal", "Xtal")</f>
        <v>Xtal</v>
      </c>
      <c r="H381" s="4"/>
      <c r="P381" s="2" t="s">
        <v>1324</v>
      </c>
      <c r="V381" s="28" t="str">
        <f>MID(VLOOKUP($A381,Seqs!$A:$B,2,FALSE),VLOOKUP($A381,'SegEnds_NonXtal_Prot#'!A:AL,10,FALSE),1)</f>
        <v>A</v>
      </c>
      <c r="W381" s="49" t="str">
        <f>MID(VLOOKUP($A381,Seqs!$A:$B,2,FALSE),VLOOKUP($A381,'SegEnds_NonXtal_Prot#'!A:AL,10,FALSE)+6,1)</f>
        <v>S</v>
      </c>
      <c r="X381" s="49" t="str">
        <f>MID(VLOOKUP($A381,Seqs!$A:$B,2,FALSE),VLOOKUP($A381,'SegEnds_NonXtal_Prot#'!A:AL,10,FALSE)+7,1)</f>
        <v>I</v>
      </c>
      <c r="Y381" s="49" t="str">
        <f>MID(VLOOKUP($A381,Seqs!$A:$B,2,FALSE),VLOOKUP($A381,'SegEnds_NonXtal_Prot#'!A:AL,10,FALSE)+8,1)</f>
        <v>G</v>
      </c>
      <c r="Z381" s="49" t="str">
        <f>MID(VLOOKUP($A381,Seqs!$A:$B,2,FALSE),VLOOKUP($A381,'SegEnds_NonXtal_Prot#'!A:AL,10,FALSE)+9,1)</f>
        <v>W</v>
      </c>
      <c r="AA381" s="49" t="str">
        <f>MID(VLOOKUP($A381,Seqs!$A:$B,2,FALSE),VLOOKUP($A381,'SegEnds_NonXtal_Prot#'!A:AL,10,FALSE)+10,1)</f>
        <v>L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A</v>
      </c>
      <c r="AF381" s="49" t="str">
        <f>MID(VLOOKUP($A381,Seqs!$A:$B,2,FALSE),VLOOKUP($A381,'SegEnds_NonXtal_Prot#'!$A:$AL,22,FALSE)+10,1)</f>
        <v>I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V</v>
      </c>
    </row>
    <row r="382" spans="1:34" s="2" customFormat="1" x14ac:dyDescent="0.2">
      <c r="A382" s="2" t="s">
        <v>485</v>
      </c>
      <c r="B382" s="2" t="str">
        <f>LOWER(VLOOKUP(A382,Xtal_Templ!A:B,2,FALSE))</f>
        <v>aa2ar_human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H382" s="4"/>
      <c r="V382" s="28" t="str">
        <f>MID(VLOOKUP($A382,Seqs!$A:$B,2,FALSE),VLOOKUP($A382,'SegEnds_NonXtal_Prot#'!A:AL,10,FALSE),1)</f>
        <v>D</v>
      </c>
      <c r="W382" s="49" t="str">
        <f>MID(VLOOKUP($A382,Seqs!$A:$B,2,FALSE),VLOOKUP($A382,'SegEnds_NonXtal_Prot#'!A:AL,10,FALSE)+6,1)</f>
        <v>G</v>
      </c>
      <c r="X382" s="49" t="str">
        <f>MID(VLOOKUP($A382,Seqs!$A:$B,2,FALSE),VLOOKUP($A382,'SegEnds_NonXtal_Prot#'!A:AL,10,FALSE)+7,1)</f>
        <v>M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I</v>
      </c>
      <c r="AA382" s="49" t="str">
        <f>MID(VLOOKUP($A382,Seqs!$A:$B,2,FALSE),VLOOKUP($A382,'SegEnds_NonXtal_Prot#'!A:AL,10,FALSE)+10,1)</f>
        <v>R</v>
      </c>
      <c r="AB382" s="28" t="str">
        <f>MID(VLOOKUP($A382,Seqs!$A:$B,2,FALSE),VLOOKUP($A382,'SegEnds_NonXtal_Prot#'!$A:$AL,22,FALSE)+6,1)</f>
        <v>L</v>
      </c>
      <c r="AC382" s="49" t="str">
        <f>MID(VLOOKUP($A382,Seqs!$A:$B,2,FALSE),VLOOKUP($A382,'SegEnds_NonXtal_Prot#'!$A:$AL,22,FALSE)+7,1)</f>
        <v>C</v>
      </c>
      <c r="AD382" s="49" t="str">
        <f>MID(VLOOKUP($A382,Seqs!$A:$B,2,FALSE),VLOOKUP($A382,'SegEnds_NonXtal_Prot#'!$A:$AL,22,FALSE)+8,1)</f>
        <v>V</v>
      </c>
      <c r="AE382" s="49" t="str">
        <f>MID(VLOOKUP($A382,Seqs!$A:$B,2,FALSE),VLOOKUP($A382,'SegEnds_NonXtal_Prot#'!$A:$AL,22,FALSE)+9,1)</f>
        <v>E</v>
      </c>
      <c r="AF382" s="49" t="str">
        <f>MID(VLOOKUP($A382,Seqs!$A:$B,2,FALSE),VLOOKUP($A382,'SegEnds_NonXtal_Prot#'!$A:$AL,22,FALSE)+10,1)</f>
        <v>G</v>
      </c>
      <c r="AG382" s="28" t="str">
        <f>MID(VLOOKUP($A382,Seqs!$A:$B,2,FALSE),VLOOKUP($A382,'SegEnds_NonXtal_Prot#'!$A:$AL,28,FALSE)-4,1)</f>
        <v>T</v>
      </c>
      <c r="AH382" s="49" t="str">
        <f>MID(VLOOKUP($A382,Seqs!$A:$B,2,FALSE),VLOOKUP($A382,'SegEnds_NonXtal_Prot#'!$A:$AL,28,FALSE),1)</f>
        <v>P</v>
      </c>
    </row>
    <row r="383" spans="1:34" s="2" customFormat="1" x14ac:dyDescent="0.2">
      <c r="A383" s="2" t="s">
        <v>481</v>
      </c>
      <c r="B383" s="2" t="str">
        <f>LOWER(VLOOKUP(A383,Xtal_Templ!A:B,2,FALSE))</f>
        <v>agtr1_human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H383" s="4"/>
      <c r="V383" s="28" t="str">
        <f>MID(VLOOKUP($A383,Seqs!$A:$B,2,FALSE),VLOOKUP($A383,'SegEnds_NonXtal_Prot#'!A:AL,10,FALSE),1)</f>
        <v>A</v>
      </c>
      <c r="W383" s="49" t="str">
        <f>MID(VLOOKUP($A383,Seqs!$A:$B,2,FALSE),VLOOKUP($A383,'SegEnds_NonXtal_Prot#'!A:AL,10,FALSE)+6,1)</f>
        <v>F</v>
      </c>
      <c r="X383" s="49" t="str">
        <f>MID(VLOOKUP($A383,Seqs!$A:$B,2,FALSE),VLOOKUP($A383,'SegEnds_NonXtal_Prot#'!A:AL,10,FALSE)+7,1)</f>
        <v>S</v>
      </c>
      <c r="Y383" s="49" t="str">
        <f>MID(VLOOKUP($A383,Seqs!$A:$B,2,FALSE),VLOOKUP($A383,'SegEnds_NonXtal_Prot#'!A:AL,10,FALSE)+8,1)</f>
        <v>F</v>
      </c>
      <c r="Z383" s="49" t="str">
        <f>MID(VLOOKUP($A383,Seqs!$A:$B,2,FALSE),VLOOKUP($A383,'SegEnds_NonXtal_Prot#'!A:AL,10,FALSE)+9,1)</f>
        <v>Y</v>
      </c>
      <c r="AA383" s="49" t="str">
        <f>MID(VLOOKUP($A383,Seqs!$A:$B,2,FALSE),VLOOKUP($A383,'SegEnds_NonXtal_Prot#'!A:AL,10,FALSE)+10,1)</f>
        <v>F</v>
      </c>
      <c r="AB383" s="28" t="str">
        <f>MID(VLOOKUP($A383,Seqs!$A:$B,2,FALSE),VLOOKUP($A383,'SegEnds_NonXtal_Prot#'!$A:$AL,22,FALSE)+6,1)</f>
        <v>A</v>
      </c>
      <c r="AC383" s="49" t="str">
        <f>MID(VLOOKUP($A383,Seqs!$A:$B,2,FALSE),VLOOKUP($A383,'SegEnds_NonXtal_Prot#'!$A:$AL,22,FALSE)+7,1)</f>
        <v>A</v>
      </c>
      <c r="AD383" s="49" t="str">
        <f>MID(VLOOKUP($A383,Seqs!$A:$B,2,FALSE),VLOOKUP($A383,'SegEnds_NonXtal_Prot#'!$A:$AL,22,FALSE)+8,1)</f>
        <v>C</v>
      </c>
      <c r="AE383" s="49" t="str">
        <f>MID(VLOOKUP($A383,Seqs!$A:$B,2,FALSE),VLOOKUP($A383,'SegEnds_NonXtal_Prot#'!$A:$AL,22,FALSE)+9,1)</f>
        <v>L</v>
      </c>
      <c r="AF383" s="49" t="str">
        <f>MID(VLOOKUP($A383,Seqs!$A:$B,2,FALSE),VLOOKUP($A383,'SegEnds_NonXtal_Prot#'!$A:$AL,22,FALSE)+10,1)</f>
        <v>C</v>
      </c>
      <c r="AG383" s="28" t="str">
        <f>MID(VLOOKUP($A383,Seqs!$A:$B,2,FALSE),VLOOKUP($A383,'SegEnds_NonXtal_Prot#'!$A:$AL,28,FALSE)-4,1)</f>
        <v>L</v>
      </c>
      <c r="AH383" s="49" t="str">
        <f>MID(VLOOKUP($A383,Seqs!$A:$B,2,FALSE),VLOOKUP($A383,'SegEnds_NonXtal_Prot#'!$A:$AL,28,FALSE),1)</f>
        <v>L</v>
      </c>
    </row>
    <row r="384" spans="1:34" s="2" customFormat="1" x14ac:dyDescent="0.2">
      <c r="A384" s="2" t="s">
        <v>484</v>
      </c>
      <c r="B384" s="2" t="str">
        <f>LOWER(VLOOKUP(A384,Xtal_Templ!A:B,2,FALSE))</f>
        <v>pe2r4_human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A</v>
      </c>
      <c r="W384" s="49" t="str">
        <f>MID(VLOOKUP($A384,Seqs!$A:$B,2,FALSE),VLOOKUP($A384,'SegEnds_NonXtal_Prot#'!A:AL,10,FALSE)+6,1)</f>
        <v>M</v>
      </c>
      <c r="X384" s="49" t="str">
        <f>MID(VLOOKUP($A384,Seqs!$A:$B,2,FALSE),VLOOKUP($A384,'SegEnds_NonXtal_Prot#'!A:AL,10,FALSE)+7,1)</f>
        <v>T</v>
      </c>
      <c r="Y384" s="49" t="str">
        <f>MID(VLOOKUP($A384,Seqs!$A:$B,2,FALSE),VLOOKUP($A384,'SegEnds_NonXtal_Prot#'!A:AL,10,FALSE)+8,1)</f>
        <v>V</v>
      </c>
      <c r="Z384" s="49" t="str">
        <f>MID(VLOOKUP($A384,Seqs!$A:$B,2,FALSE),VLOOKUP($A384,'SegEnds_NonXtal_Prot#'!A:AL,10,FALSE)+9,1)</f>
        <v>S</v>
      </c>
      <c r="AA384" s="49" t="str">
        <f>MID(VLOOKUP($A384,Seqs!$A:$B,2,FALSE),VLOOKUP($A384,'SegEnds_NonXtal_Prot#'!A:AL,10,FALSE)+10,1)</f>
        <v>T</v>
      </c>
      <c r="AB384" s="28" t="str">
        <f>MID(VLOOKUP($A384,Seqs!$A:$B,2,FALSE),VLOOKUP($A384,'SegEnds_NonXtal_Prot#'!$A:$AL,22,FALSE)+6,1)</f>
        <v>L</v>
      </c>
      <c r="AC384" s="49" t="str">
        <f>MID(VLOOKUP($A384,Seqs!$A:$B,2,FALSE),VLOOKUP($A384,'SegEnds_NonXtal_Prot#'!$A:$AL,22,FALSE)+7,1)</f>
        <v>S</v>
      </c>
      <c r="AD384" s="49" t="str">
        <f>MID(VLOOKUP($A384,Seqs!$A:$B,2,FALSE),VLOOKUP($A384,'SegEnds_NonXtal_Prot#'!$A:$AL,22,FALSE)+8,1)</f>
        <v>A</v>
      </c>
      <c r="AE384" s="49" t="str">
        <f>MID(VLOOKUP($A384,Seqs!$A:$B,2,FALSE),VLOOKUP($A384,'SegEnds_NonXtal_Prot#'!$A:$AL,22,FALSE)+9,1)</f>
        <v>E</v>
      </c>
      <c r="AF384" s="49" t="str">
        <f>MID(VLOOKUP($A384,Seqs!$A:$B,2,FALSE),VLOOKUP($A384,'SegEnds_NonXtal_Prot#'!$A:$AL,22,FALSE)+10,1)</f>
        <v>D</v>
      </c>
      <c r="AG384" s="28" t="str">
        <f>MID(VLOOKUP($A384,Seqs!$A:$B,2,FALSE),VLOOKUP($A384,'SegEnds_NonXtal_Prot#'!$A:$AL,28,FALSE)-4,1)</f>
        <v>F</v>
      </c>
      <c r="AH384" s="49" t="str">
        <f>MID(VLOOKUP($A384,Seqs!$A:$B,2,FALSE),VLOOKUP($A384,'SegEnds_NonXtal_Prot#'!$A:$AL,28,FALSE),1)</f>
        <v>S</v>
      </c>
    </row>
    <row r="385" spans="1:34" s="2" customFormat="1" x14ac:dyDescent="0.2">
      <c r="A385" s="2" t="s">
        <v>486</v>
      </c>
      <c r="B385" s="2" t="str">
        <f>LOWER(VLOOKUP(A385,Xtal_Templ!A:B,2,FALSE))</f>
        <v>5ht2c_human</v>
      </c>
      <c r="C385" s="2" t="str">
        <f>VLOOKUP(A385,Classification!A:D,2,FALSE)</f>
        <v>O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D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Y</v>
      </c>
      <c r="Y385" s="49" t="str">
        <f>MID(VLOOKUP($A385,Seqs!$A:$B,2,FALSE),VLOOKUP($A385,'SegEnds_NonXtal_Prot#'!A:AL,10,FALSE)+8,1)</f>
        <v>F</v>
      </c>
      <c r="Z385" s="49" t="str">
        <f>MID(VLOOKUP($A385,Seqs!$A:$B,2,FALSE),VLOOKUP($A385,'SegEnds_NonXtal_Prot#'!A:AL,10,FALSE)+9,1)</f>
        <v>Y</v>
      </c>
      <c r="AA385" s="49" t="str">
        <f>MID(VLOOKUP($A385,Seqs!$A:$B,2,FALSE),VLOOKUP($A385,'SegEnds_NonXtal_Prot#'!A:AL,10,FALSE)+10,1)</f>
        <v>G</v>
      </c>
      <c r="AB385" s="28" t="str">
        <f>MID(VLOOKUP($A385,Seqs!$A:$B,2,FALSE),VLOOKUP($A385,'SegEnds_NonXtal_Prot#'!$A:$AL,22,FALSE)+6,1)</f>
        <v>A</v>
      </c>
      <c r="AC385" s="49" t="str">
        <f>MID(VLOOKUP($A385,Seqs!$A:$B,2,FALSE),VLOOKUP($A385,'SegEnds_NonXtal_Prot#'!$A:$AL,22,FALSE)+7,1)</f>
        <v>L</v>
      </c>
      <c r="AD385" s="49" t="str">
        <f>MID(VLOOKUP($A385,Seqs!$A:$B,2,FALSE),VLOOKUP($A385,'SegEnds_NonXtal_Prot#'!$A:$AL,22,FALSE)+8,1)</f>
        <v>K</v>
      </c>
      <c r="AE385" s="49" t="str">
        <f>MID(VLOOKUP($A385,Seqs!$A:$B,2,FALSE),VLOOKUP($A385,'SegEnds_NonXtal_Prot#'!$A:$AL,22,FALSE)+9,1)</f>
        <v>K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D</v>
      </c>
      <c r="AH385" s="49" t="str">
        <f>MID(VLOOKUP($A385,Seqs!$A:$B,2,FALSE),VLOOKUP($A385,'SegEnds_NonXtal_Prot#'!$A:$AL,28,FALSE),1)</f>
        <v>K</v>
      </c>
    </row>
    <row r="386" spans="1:34" s="2" customFormat="1" x14ac:dyDescent="0.2">
      <c r="A386" s="2" t="s">
        <v>482</v>
      </c>
      <c r="B386" s="2" t="str">
        <f>LOWER(VLOOKUP(A386,Xtal_Templ!A:B,2,FALSE))</f>
        <v>ccr9_human</v>
      </c>
      <c r="C386" s="2" t="str">
        <f>VLOOKUP(A386,Classification!A:D,2,FALSE)</f>
        <v>O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W</v>
      </c>
      <c r="W386" s="49" t="str">
        <f>MID(VLOOKUP($A386,Seqs!$A:$B,2,FALSE),VLOOKUP($A386,'SegEnds_NonXtal_Prot#'!A:AL,10,FALSE)+6,1)</f>
        <v>K</v>
      </c>
      <c r="X386" s="49" t="str">
        <f>MID(VLOOKUP($A386,Seqs!$A:$B,2,FALSE),VLOOKUP($A386,'SegEnds_NonXtal_Prot#'!A:AL,10,FALSE)+7,1)</f>
        <v>R</v>
      </c>
      <c r="Y386" s="49" t="str">
        <f>MID(VLOOKUP($A386,Seqs!$A:$B,2,FALSE),VLOOKUP($A386,'SegEnds_NonXtal_Prot#'!A:AL,10,FALSE)+8,1)</f>
        <v>R</v>
      </c>
      <c r="Z386" s="49" t="str">
        <f>MID(VLOOKUP($A386,Seqs!$A:$B,2,FALSE),VLOOKUP($A386,'SegEnds_NonXtal_Prot#'!A:AL,10,FALSE)+9,1)</f>
        <v>N</v>
      </c>
      <c r="AA386" s="49" t="str">
        <f>MID(VLOOKUP($A386,Seqs!$A:$B,2,FALSE),VLOOKUP($A386,'SegEnds_NonXtal_Prot#'!A:AL,10,FALSE)+10,1)</f>
        <v>D</v>
      </c>
      <c r="AB386" s="28" t="str">
        <f>MID(VLOOKUP($A386,Seqs!$A:$B,2,FALSE),VLOOKUP($A386,'SegEnds_NonXtal_Prot#'!$A:$AL,22,FALSE)+6,1)</f>
        <v>Y</v>
      </c>
      <c r="AC386" s="49" t="str">
        <f>MID(VLOOKUP($A386,Seqs!$A:$B,2,FALSE),VLOOKUP($A386,'SegEnds_NonXtal_Prot#'!$A:$AL,22,FALSE)+7,1)</f>
        <v>G</v>
      </c>
      <c r="AD386" s="49" t="str">
        <f>MID(VLOOKUP($A386,Seqs!$A:$B,2,FALSE),VLOOKUP($A386,'SegEnds_NonXtal_Prot#'!$A:$AL,22,FALSE)+8,1)</f>
        <v>L</v>
      </c>
      <c r="AE386" s="49" t="str">
        <f>MID(VLOOKUP($A386,Seqs!$A:$B,2,FALSE),VLOOKUP($A386,'SegEnds_NonXtal_Prot#'!$A:$AL,22,FALSE)+9,1)</f>
        <v>W</v>
      </c>
      <c r="AF386" s="49" t="str">
        <f>MID(VLOOKUP($A386,Seqs!$A:$B,2,FALSE),VLOOKUP($A386,'SegEnds_NonXtal_Prot#'!$A:$AL,22,FALSE)+10,1)</f>
        <v>K</v>
      </c>
      <c r="AG386" s="28" t="str">
        <f>MID(VLOOKUP($A386,Seqs!$A:$B,2,FALSE),VLOOKUP($A386,'SegEnds_NonXtal_Prot#'!$A:$AL,28,FALSE)-4,1)</f>
        <v>A</v>
      </c>
      <c r="AH386" s="49" t="str">
        <f>MID(VLOOKUP($A386,Seqs!$A:$B,2,FALSE),VLOOKUP($A386,'SegEnds_NonXtal_Prot#'!$A:$AL,28,FALSE),1)</f>
        <v>P</v>
      </c>
    </row>
    <row r="387" spans="1:34" s="2" customFormat="1" x14ac:dyDescent="0.2">
      <c r="A387" s="2" t="s">
        <v>472</v>
      </c>
      <c r="B387" s="2" t="str">
        <f>LOWER(VLOOKUP(A387,Xtal_Templ!A:B,2,FALSE))</f>
        <v>oprk_human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R</v>
      </c>
      <c r="W387" s="49" t="str">
        <f>MID(VLOOKUP($A387,Seqs!$A:$B,2,FALSE),VLOOKUP($A387,'SegEnds_NonXtal_Prot#'!A:AL,10,FALSE)+6,1)</f>
        <v>V</v>
      </c>
      <c r="X387" s="49" t="str">
        <f>MID(VLOOKUP($A387,Seqs!$A:$B,2,FALSE),VLOOKUP($A387,'SegEnds_NonXtal_Prot#'!A:AL,10,FALSE)+7,1)</f>
        <v>V</v>
      </c>
      <c r="Y387" s="49" t="str">
        <f>MID(VLOOKUP($A387,Seqs!$A:$B,2,FALSE),VLOOKUP($A387,'SegEnds_NonXtal_Prot#'!A:AL,10,FALSE)+8,1)</f>
        <v>M</v>
      </c>
      <c r="Z387" s="49" t="str">
        <f>MID(VLOOKUP($A387,Seqs!$A:$B,2,FALSE),VLOOKUP($A387,'SegEnds_NonXtal_Prot#'!A:AL,10,FALSE)+9,1)</f>
        <v>G</v>
      </c>
      <c r="AA387" s="49" t="str">
        <f>MID(VLOOKUP($A387,Seqs!$A:$B,2,FALSE),VLOOKUP($A387,'SegEnds_NonXtal_Prot#'!A:AL,10,FALSE)+10,1)</f>
        <v>K</v>
      </c>
      <c r="AB387" s="28" t="str">
        <f>MID(VLOOKUP($A387,Seqs!$A:$B,2,FALSE),VLOOKUP($A387,'SegEnds_NonXtal_Prot#'!$A:$AL,22,FALSE)+6,1)</f>
        <v>S</v>
      </c>
      <c r="AC387" s="49" t="str">
        <f>MID(VLOOKUP($A387,Seqs!$A:$B,2,FALSE),VLOOKUP($A387,'SegEnds_NonXtal_Prot#'!$A:$AL,22,FALSE)+7,1)</f>
        <v>F</v>
      </c>
      <c r="AD387" s="49" t="str">
        <f>MID(VLOOKUP($A387,Seqs!$A:$B,2,FALSE),VLOOKUP($A387,'SegEnds_NonXtal_Prot#'!$A:$AL,22,FALSE)+8,1)</f>
        <v>T</v>
      </c>
      <c r="AE387" s="49" t="str">
        <f>MID(VLOOKUP($A387,Seqs!$A:$B,2,FALSE),VLOOKUP($A387,'SegEnds_NonXtal_Prot#'!$A:$AL,22,FALSE)+9,1)</f>
        <v>T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T</v>
      </c>
      <c r="AH387" s="49" t="str">
        <f>MID(VLOOKUP($A387,Seqs!$A:$B,2,FALSE),VLOOKUP($A387,'SegEnds_NonXtal_Prot#'!$A:$AL,28,FALSE),1)</f>
        <v>P</v>
      </c>
    </row>
    <row r="388" spans="1:34" s="2" customFormat="1" x14ac:dyDescent="0.2">
      <c r="A388" s="2" t="s">
        <v>457</v>
      </c>
      <c r="B388" s="2" t="str">
        <f>LOWER(VLOOKUP(A388,Xtal_Templ!A:B,2,FALSE))</f>
        <v>5ht2a_human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R</v>
      </c>
      <c r="W388" s="49" t="str">
        <f>MID(VLOOKUP($A388,Seqs!$A:$B,2,FALSE),VLOOKUP($A388,'SegEnds_NonXtal_Prot#'!A:AL,10,FALSE)+6,1)</f>
        <v>E</v>
      </c>
      <c r="X388" s="49" t="str">
        <f>MID(VLOOKUP($A388,Seqs!$A:$B,2,FALSE),VLOOKUP($A388,'SegEnds_NonXtal_Prot#'!A:AL,10,FALSE)+7,1)</f>
        <v>I</v>
      </c>
      <c r="Y388" s="49" t="str">
        <f>MID(VLOOKUP($A388,Seqs!$A:$B,2,FALSE),VLOOKUP($A388,'SegEnds_NonXtal_Prot#'!A:AL,10,FALSE)+8,1)</f>
        <v>L</v>
      </c>
      <c r="Z388" s="49" t="str">
        <f>MID(VLOOKUP($A388,Seqs!$A:$B,2,FALSE),VLOOKUP($A388,'SegEnds_NonXtal_Prot#'!A:AL,10,FALSE)+9,1)</f>
        <v>V</v>
      </c>
      <c r="AA388" s="49" t="str">
        <f>MID(VLOOKUP($A388,Seqs!$A:$B,2,FALSE),VLOOKUP($A388,'SegEnds_NonXtal_Prot#'!A:AL,10,FALSE)+10,1)</f>
        <v>S</v>
      </c>
      <c r="AB388" s="28" t="str">
        <f>MID(VLOOKUP($A388,Seqs!$A:$B,2,FALSE),VLOOKUP($A388,'SegEnds_NonXtal_Prot#'!$A:$AL,22,FALSE)+6,1)</f>
        <v>F</v>
      </c>
      <c r="AC388" s="49" t="str">
        <f>MID(VLOOKUP($A388,Seqs!$A:$B,2,FALSE),VLOOKUP($A388,'SegEnds_NonXtal_Prot#'!$A:$AL,22,FALSE)+7,1)</f>
        <v>L</v>
      </c>
      <c r="AD388" s="49" t="str">
        <f>MID(VLOOKUP($A388,Seqs!$A:$B,2,FALSE),VLOOKUP($A388,'SegEnds_NonXtal_Prot#'!$A:$AL,22,FALSE)+8,1)</f>
        <v>N</v>
      </c>
      <c r="AE388" s="49" t="str">
        <f>MID(VLOOKUP($A388,Seqs!$A:$B,2,FALSE),VLOOKUP($A388,'SegEnds_NonXtal_Prot#'!$A:$AL,22,FALSE)+9,1)</f>
        <v>L</v>
      </c>
      <c r="AF388" s="49" t="str">
        <f>MID(VLOOKUP($A388,Seqs!$A:$B,2,FALSE),VLOOKUP($A388,'SegEnds_NonXtal_Prot#'!$A:$AL,22,FALSE)+10,1)</f>
        <v>I</v>
      </c>
      <c r="AG388" s="28" t="str">
        <f>MID(VLOOKUP($A388,Seqs!$A:$B,2,FALSE),VLOOKUP($A388,'SegEnds_NonXtal_Prot#'!$A:$AL,28,FALSE)-4,1)</f>
        <v>F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476</v>
      </c>
      <c r="B389" s="2" t="str">
        <f>LOWER(VLOOKUP(A389,Xtal_Templ!A:B,2,FALSE))</f>
        <v>5ht1b_human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49" t="str">
        <f>MID(VLOOKUP($A389,Seqs!$A:$B,2,FALSE),VLOOKUP($A389,'SegEnds_NonXtal_Prot#'!A:AL,10,FALSE)+6,1)</f>
        <v>L</v>
      </c>
      <c r="X389" s="49" t="str">
        <f>MID(VLOOKUP($A389,Seqs!$A:$B,2,FALSE),VLOOKUP($A389,'SegEnds_NonXtal_Prot#'!A:AL,10,FALSE)+7,1)</f>
        <v>F</v>
      </c>
      <c r="Y389" s="49" t="str">
        <f>MID(VLOOKUP($A389,Seqs!$A:$B,2,FALSE),VLOOKUP($A389,'SegEnds_NonXtal_Prot#'!A:AL,10,FALSE)+8,1)</f>
        <v>L</v>
      </c>
      <c r="Z389" s="49" t="str">
        <f>MID(VLOOKUP($A389,Seqs!$A:$B,2,FALSE),VLOOKUP($A389,'SegEnds_NonXtal_Prot#'!A:AL,10,FALSE)+9,1)</f>
        <v>V</v>
      </c>
      <c r="AA389" s="49" t="str">
        <f>MID(VLOOKUP($A389,Seqs!$A:$B,2,FALSE),VLOOKUP($A389,'SegEnds_NonXtal_Prot#'!A:AL,10,FALSE)+10,1)</f>
        <v>N</v>
      </c>
      <c r="AB389" s="28" t="str">
        <f>MID(VLOOKUP($A389,Seqs!$A:$B,2,FALSE),VLOOKUP($A389,'SegEnds_NonXtal_Prot#'!$A:$AL,22,FALSE)+6,1)</f>
        <v>A</v>
      </c>
      <c r="AC389" s="49" t="str">
        <f>MID(VLOOKUP($A389,Seqs!$A:$B,2,FALSE),VLOOKUP($A389,'SegEnds_NonXtal_Prot#'!$A:$AL,22,FALSE)+7,1)</f>
        <v>F</v>
      </c>
      <c r="AD389" s="49" t="str">
        <f>MID(VLOOKUP($A389,Seqs!$A:$B,2,FALSE),VLOOKUP($A389,'SegEnds_NonXtal_Prot#'!$A:$AL,22,FALSE)+8,1)</f>
        <v>T</v>
      </c>
      <c r="AE389" s="49" t="str">
        <f>MID(VLOOKUP($A389,Seqs!$A:$B,2,FALSE),VLOOKUP($A389,'SegEnds_NonXtal_Prot#'!$A:$AL,22,FALSE)+9,1)</f>
        <v>T</v>
      </c>
      <c r="AF389" s="49" t="str">
        <f>MID(VLOOKUP($A389,Seqs!$A:$B,2,FALSE),VLOOKUP($A389,'SegEnds_NonXtal_Prot#'!$A:$AL,22,FALSE)+10,1)</f>
        <v>C</v>
      </c>
      <c r="AG389" s="28" t="str">
        <f>MID(VLOOKUP($A389,Seqs!$A:$B,2,FALSE),VLOOKUP($A389,'SegEnds_NonXtal_Prot#'!$A:$AL,28,FALSE)-4,1)</f>
        <v>S</v>
      </c>
      <c r="AH389" s="49" t="str">
        <f>MID(VLOOKUP($A389,Seqs!$A:$B,2,FALSE),VLOOKUP($A389,'SegEnds_NonXtal_Prot#'!$A:$AL,28,FALSE),1)</f>
        <v>Q</v>
      </c>
    </row>
    <row r="390" spans="1:34" s="2" customFormat="1" x14ac:dyDescent="0.2">
      <c r="A390" s="2" t="s">
        <v>465</v>
      </c>
      <c r="B390" s="2" t="str">
        <f>LOWER(VLOOKUP(A390,Xtal_Templ!A:B,2,FALSE))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49" t="str">
        <f>MID(VLOOKUP($A390,Seqs!$A:$B,2,FALSE),VLOOKUP($A390,'SegEnds_NonXtal_Prot#'!A:AL,10,FALSE)+6,1)</f>
        <v>L</v>
      </c>
      <c r="X390" s="49" t="str">
        <f>MID(VLOOKUP($A390,Seqs!$A:$B,2,FALSE),VLOOKUP($A390,'SegEnds_NonXtal_Prot#'!A:AL,10,FALSE)+7,1)</f>
        <v>M</v>
      </c>
      <c r="Y390" s="49" t="str">
        <f>MID(VLOOKUP($A390,Seqs!$A:$B,2,FALSE),VLOOKUP($A390,'SegEnds_NonXtal_Prot#'!A:AL,10,FALSE)+8,1)</f>
        <v>M</v>
      </c>
      <c r="Z390" s="49" t="str">
        <f>MID(VLOOKUP($A390,Seqs!$A:$B,2,FALSE),VLOOKUP($A390,'SegEnds_NonXtal_Prot#'!A:AL,10,FALSE)+9,1)</f>
        <v>L</v>
      </c>
      <c r="AA390" s="49" t="str">
        <f>MID(VLOOKUP($A390,Seqs!$A:$B,2,FALSE),VLOOKUP($A390,'SegEnds_NonXtal_Prot#'!A:AL,10,FALSE)+10,1)</f>
        <v>E</v>
      </c>
      <c r="AB390" s="28" t="str">
        <f>MID(VLOOKUP($A390,Seqs!$A:$B,2,FALSE),VLOOKUP($A390,'SegEnds_NonXtal_Prot#'!$A:$AL,22,FALSE)+6,1)</f>
        <v>F</v>
      </c>
      <c r="AC390" s="49" t="str">
        <f>MID(VLOOKUP($A390,Seqs!$A:$B,2,FALSE),VLOOKUP($A390,'SegEnds_NonXtal_Prot#'!$A:$AL,22,FALSE)+7,1)</f>
        <v>S</v>
      </c>
      <c r="AD390" s="49" t="str">
        <f>MID(VLOOKUP($A390,Seqs!$A:$B,2,FALSE),VLOOKUP($A390,'SegEnds_NonXtal_Prot#'!$A:$AL,22,FALSE)+8,1)</f>
        <v>H</v>
      </c>
      <c r="AE390" s="49" t="str">
        <f>MID(VLOOKUP($A390,Seqs!$A:$B,2,FALSE),VLOOKUP($A390,'SegEnds_NonXtal_Prot#'!$A:$AL,22,FALSE)+9,1)</f>
        <v>S</v>
      </c>
      <c r="AF390" s="49" t="str">
        <f>MID(VLOOKUP($A390,Seqs!$A:$B,2,FALSE),VLOOKUP($A390,'SegEnds_NonXtal_Prot#'!$A:$AL,22,FALSE)+10,1)</f>
        <v>M</v>
      </c>
      <c r="AG390" s="28" t="str">
        <f>MID(VLOOKUP($A390,Seqs!$A:$B,2,FALSE),VLOOKUP($A390,'SegEnds_NonXtal_Prot#'!$A:$AL,28,FALSE)-4,1)</f>
        <v>G</v>
      </c>
      <c r="AH390" s="49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460</v>
      </c>
      <c r="B391" s="2" t="str">
        <f>LOWER(VLOOKUP(A391,Xtal_Templ!A:B,2,FALSE))</f>
        <v>5ht2c_human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49" t="str">
        <f>MID(VLOOKUP($A391,Seqs!$A:$B,2,FALSE),VLOOKUP($A391,'SegEnds_NonXtal_Prot#'!A:AL,10,FALSE)+6,1)</f>
        <v>V</v>
      </c>
      <c r="X391" s="49" t="str">
        <f>MID(VLOOKUP($A391,Seqs!$A:$B,2,FALSE),VLOOKUP($A391,'SegEnds_NonXtal_Prot#'!A:AL,10,FALSE)+7,1)</f>
        <v>M</v>
      </c>
      <c r="Y391" s="49" t="str">
        <f>MID(VLOOKUP($A391,Seqs!$A:$B,2,FALSE),VLOOKUP($A391,'SegEnds_NonXtal_Prot#'!A:AL,10,FALSE)+8,1)</f>
        <v>L</v>
      </c>
      <c r="Z391" s="49" t="str">
        <f>MID(VLOOKUP($A391,Seqs!$A:$B,2,FALSE),VLOOKUP($A391,'SegEnds_NonXtal_Prot#'!A:AL,10,FALSE)+9,1)</f>
        <v>F</v>
      </c>
      <c r="AA391" s="49" t="str">
        <f>MID(VLOOKUP($A391,Seqs!$A:$B,2,FALSE),VLOOKUP($A391,'SegEnds_NonXtal_Prot#'!A:AL,10,FALSE)+10,1)</f>
        <v>L</v>
      </c>
      <c r="AB391" s="28" t="str">
        <f>MID(VLOOKUP($A391,Seqs!$A:$B,2,FALSE),VLOOKUP($A391,'SegEnds_NonXtal_Prot#'!$A:$AL,22,FALSE)+6,1)</f>
        <v>I</v>
      </c>
      <c r="AC391" s="49" t="str">
        <f>MID(VLOOKUP($A391,Seqs!$A:$B,2,FALSE),VLOOKUP($A391,'SegEnds_NonXtal_Prot#'!$A:$AL,22,FALSE)+7,1)</f>
        <v>C</v>
      </c>
      <c r="AD391" s="49" t="str">
        <f>MID(VLOOKUP($A391,Seqs!$A:$B,2,FALSE),VLOOKUP($A391,'SegEnds_NonXtal_Prot#'!$A:$AL,22,FALSE)+8,1)</f>
        <v>N</v>
      </c>
      <c r="AE391" s="49" t="str">
        <f>MID(VLOOKUP($A391,Seqs!$A:$B,2,FALSE),VLOOKUP($A391,'SegEnds_NonXtal_Prot#'!$A:$AL,22,FALSE)+9,1)</f>
        <v>L</v>
      </c>
      <c r="AF391" s="49" t="str">
        <f>MID(VLOOKUP($A391,Seqs!$A:$B,2,FALSE),VLOOKUP($A391,'SegEnds_NonXtal_Prot#'!$A:$AL,22,FALSE)+10,1)</f>
        <v>A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461</v>
      </c>
      <c r="B392" s="2" t="str">
        <f>LOWER(VLOOKUP(A392,Xtal_Templ!A:B,2,FALSE))</f>
        <v>5ht2c_human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I</v>
      </c>
      <c r="Y392" s="49" t="str">
        <f>MID(VLOOKUP($A392,Seqs!$A:$B,2,FALSE),VLOOKUP($A392,'SegEnds_NonXtal_Prot#'!A:AL,10,FALSE)+8,1)</f>
        <v>L</v>
      </c>
      <c r="Z392" s="49" t="str">
        <f>MID(VLOOKUP($A392,Seqs!$A:$B,2,FALSE),VLOOKUP($A392,'SegEnds_NonXtal_Prot#'!A:AL,10,FALSE)+9,1)</f>
        <v>L</v>
      </c>
      <c r="AA392" s="49" t="str">
        <f>MID(VLOOKUP($A392,Seqs!$A:$B,2,FALSE),VLOOKUP($A392,'SegEnds_NonXtal_Prot#'!A:AL,10,FALSE)+10,1)</f>
        <v>H</v>
      </c>
      <c r="AB392" s="28" t="str">
        <f>MID(VLOOKUP($A392,Seqs!$A:$B,2,FALSE),VLOOKUP($A392,'SegEnds_NonXtal_Prot#'!$A:$AL,22,FALSE)+6,1)</f>
        <v>V</v>
      </c>
      <c r="AC392" s="49" t="str">
        <f>MID(VLOOKUP($A392,Seqs!$A:$B,2,FALSE),VLOOKUP($A392,'SegEnds_NonXtal_Prot#'!$A:$AL,22,FALSE)+7,1)</f>
        <v>C</v>
      </c>
      <c r="AD392" s="49" t="str">
        <f>MID(VLOOKUP($A392,Seqs!$A:$B,2,FALSE),VLOOKUP($A392,'SegEnds_NonXtal_Prot#'!$A:$AL,22,FALSE)+8,1)</f>
        <v>H</v>
      </c>
      <c r="AE392" s="49" t="str">
        <f>MID(VLOOKUP($A392,Seqs!$A:$B,2,FALSE),VLOOKUP($A392,'SegEnds_NonXtal_Prot#'!$A:$AL,22,FALSE)+9,1)</f>
        <v>L</v>
      </c>
      <c r="AF392" s="49" t="str">
        <f>MID(VLOOKUP($A392,Seqs!$A:$B,2,FALSE),VLOOKUP($A392,'SegEnds_NonXtal_Prot#'!$A:$AL,22,FALSE)+10,1)</f>
        <v>V</v>
      </c>
      <c r="AG392" s="28" t="str">
        <f>MID(VLOOKUP($A392,Seqs!$A:$B,2,FALSE),VLOOKUP($A392,'SegEnds_NonXtal_Prot#'!$A:$AL,28,FALSE)-4,1)</f>
        <v>A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462</v>
      </c>
      <c r="B393" s="2" t="str">
        <f>LOWER(VLOOKUP(A393,Xtal_Templ!A:B,2,FALSE))</f>
        <v>5ht2c_human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L</v>
      </c>
      <c r="Y393" s="49" t="str">
        <f>MID(VLOOKUP($A393,Seqs!$A:$B,2,FALSE),VLOOKUP($A393,'SegEnds_NonXtal_Prot#'!A:AL,10,FALSE)+8,1)</f>
        <v>L</v>
      </c>
      <c r="Z393" s="49" t="str">
        <f>MID(VLOOKUP($A393,Seqs!$A:$B,2,FALSE),VLOOKUP($A393,'SegEnds_NonXtal_Prot#'!A:AL,10,FALSE)+9,1)</f>
        <v>L</v>
      </c>
      <c r="AA393" s="49" t="str">
        <f>MID(VLOOKUP($A393,Seqs!$A:$B,2,FALSE),VLOOKUP($A393,'SegEnds_NonXtal_Prot#'!A:AL,10,FALSE)+10,1)</f>
        <v>H</v>
      </c>
      <c r="AB393" s="28" t="str">
        <f>MID(VLOOKUP($A393,Seqs!$A:$B,2,FALSE),VLOOKUP($A393,'SegEnds_NonXtal_Prot#'!$A:$AL,22,FALSE)+6,1)</f>
        <v>V</v>
      </c>
      <c r="AC393" s="49" t="str">
        <f>MID(VLOOKUP($A393,Seqs!$A:$B,2,FALSE),VLOOKUP($A393,'SegEnds_NonXtal_Prot#'!$A:$AL,22,FALSE)+7,1)</f>
        <v>C</v>
      </c>
      <c r="AD393" s="49" t="str">
        <f>MID(VLOOKUP($A393,Seqs!$A:$B,2,FALSE),VLOOKUP($A393,'SegEnds_NonXtal_Prot#'!$A:$AL,22,FALSE)+8,1)</f>
        <v>H</v>
      </c>
      <c r="AE393" s="49" t="str">
        <f>MID(VLOOKUP($A393,Seqs!$A:$B,2,FALSE),VLOOKUP($A393,'SegEnds_NonXtal_Prot#'!$A:$AL,22,FALSE)+9,1)</f>
        <v>L</v>
      </c>
      <c r="AF393" s="49" t="str">
        <f>MID(VLOOKUP($A393,Seqs!$A:$B,2,FALSE),VLOOKUP($A393,'SegEnds_NonXtal_Prot#'!$A:$AL,22,FALSE)+10,1)</f>
        <v>F</v>
      </c>
      <c r="AG393" s="28" t="str">
        <f>MID(VLOOKUP($A393,Seqs!$A:$B,2,FALSE),VLOOKUP($A393,'SegEnds_NonXtal_Prot#'!$A:$AL,28,FALSE)-4,1)</f>
        <v>A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463</v>
      </c>
      <c r="B394" s="2" t="str">
        <f>LOWER(VLOOKUP(A394,Xtal_Templ!A:B,2,FALSE))</f>
        <v>agtr1_human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L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L</v>
      </c>
      <c r="AA394" s="49" t="str">
        <f>MID(VLOOKUP($A394,Seqs!$A:$B,2,FALSE),VLOOKUP($A394,'SegEnds_NonXtal_Prot#'!A:AL,10,FALSE)+10,1)</f>
        <v>N</v>
      </c>
      <c r="AB394" s="28" t="str">
        <f>MID(VLOOKUP($A394,Seqs!$A:$B,2,FALSE),VLOOKUP($A394,'SegEnds_NonXtal_Prot#'!$A:$AL,22,FALSE)+6,1)</f>
        <v>A</v>
      </c>
      <c r="AC394" s="49" t="str">
        <f>MID(VLOOKUP($A394,Seqs!$A:$B,2,FALSE),VLOOKUP($A394,'SegEnds_NonXtal_Prot#'!$A:$AL,22,FALSE)+7,1)</f>
        <v>C</v>
      </c>
      <c r="AD394" s="49" t="str">
        <f>MID(VLOOKUP($A394,Seqs!$A:$B,2,FALSE),VLOOKUP($A394,'SegEnds_NonXtal_Prot#'!$A:$AL,22,FALSE)+8,1)</f>
        <v>Q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F</v>
      </c>
      <c r="AG394" s="28" t="str">
        <f>MID(VLOOKUP($A394,Seqs!$A:$B,2,FALSE),VLOOKUP($A394,'SegEnds_NonXtal_Prot#'!$A:$AL,28,FALSE)-4,1)</f>
        <v>G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464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L</v>
      </c>
      <c r="Y395" s="49" t="str">
        <f>MID(VLOOKUP($A395,Seqs!$A:$B,2,FALSE),VLOOKUP($A395,'SegEnds_NonXtal_Prot#'!A:AL,10,FALSE)+8,1)</f>
        <v>F</v>
      </c>
      <c r="Z395" s="49" t="str">
        <f>MID(VLOOKUP($A395,Seqs!$A:$B,2,FALSE),VLOOKUP($A395,'SegEnds_NonXtal_Prot#'!A:AL,10,FALSE)+9,1)</f>
        <v>L</v>
      </c>
      <c r="AA395" s="49" t="str">
        <f>MID(VLOOKUP($A395,Seqs!$A:$B,2,FALSE),VLOOKUP($A395,'SegEnds_NonXtal_Prot#'!A:AL,10,FALSE)+10,1)</f>
        <v>S</v>
      </c>
      <c r="AB395" s="28" t="str">
        <f>MID(VLOOKUP($A395,Seqs!$A:$B,2,FALSE),VLOOKUP($A395,'SegEnds_NonXtal_Prot#'!$A:$AL,22,FALSE)+6,1)</f>
        <v>C</v>
      </c>
      <c r="AC395" s="49" t="str">
        <f>MID(VLOOKUP($A395,Seqs!$A:$B,2,FALSE),VLOOKUP($A395,'SegEnds_NonXtal_Prot#'!$A:$AL,22,FALSE)+7,1)</f>
        <v>I</v>
      </c>
      <c r="AD395" s="49" t="str">
        <f>MID(VLOOKUP($A395,Seqs!$A:$B,2,FALSE),VLOOKUP($A395,'SegEnds_NonXtal_Prot#'!$A:$AL,22,FALSE)+8,1)</f>
        <v>C</v>
      </c>
      <c r="AE395" s="49" t="str">
        <f>MID(VLOOKUP($A395,Seqs!$A:$B,2,FALSE),VLOOKUP($A395,'SegEnds_NonXtal_Prot#'!$A:$AL,22,FALSE)+9,1)</f>
        <v>T</v>
      </c>
      <c r="AF395" s="49" t="str">
        <f>MID(VLOOKUP($A395,Seqs!$A:$B,2,FALSE),VLOOKUP($A395,'SegEnds_NonXtal_Prot#'!$A:$AL,22,FALSE)+10,1)</f>
        <v>V</v>
      </c>
      <c r="AG395" s="28" t="str">
        <f>MID(VLOOKUP($A395,Seqs!$A:$B,2,FALSE),VLOOKUP($A395,'SegEnds_NonXtal_Prot#'!$A:$AL,28,FALSE)-4,1)</f>
        <v>W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467</v>
      </c>
      <c r="B396" s="2" t="str">
        <f>LOWER(VLOOKUP(A396,Xtal_Templ!A:B,2,FALSE))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G</v>
      </c>
      <c r="Y396" s="49" t="str">
        <f>MID(VLOOKUP($A396,Seqs!$A:$B,2,FALSE),VLOOKUP($A396,'SegEnds_NonXtal_Prot#'!A:AL,10,FALSE)+8,1)</f>
        <v>T</v>
      </c>
      <c r="Z396" s="49" t="str">
        <f>MID(VLOOKUP($A396,Seqs!$A:$B,2,FALSE),VLOOKUP($A396,'SegEnds_NonXtal_Prot#'!A:AL,10,FALSE)+9,1)</f>
        <v>V</v>
      </c>
      <c r="AA396" s="49" t="str">
        <f>MID(VLOOKUP($A396,Seqs!$A:$B,2,FALSE),VLOOKUP($A396,'SegEnds_NonXtal_Prot#'!A:AL,10,FALSE)+10,1)</f>
        <v>H</v>
      </c>
      <c r="AB396" s="28" t="str">
        <f>MID(VLOOKUP($A396,Seqs!$A:$B,2,FALSE),VLOOKUP($A396,'SegEnds_NonXtal_Prot#'!$A:$AL,22,FALSE)+6,1)</f>
        <v>F</v>
      </c>
      <c r="AC396" s="49" t="str">
        <f>MID(VLOOKUP($A396,Seqs!$A:$B,2,FALSE),VLOOKUP($A396,'SegEnds_NonXtal_Prot#'!$A:$AL,22,FALSE)+7,1)</f>
        <v>I</v>
      </c>
      <c r="AD396" s="49" t="str">
        <f>MID(VLOOKUP($A396,Seqs!$A:$B,2,FALSE),VLOOKUP($A396,'SegEnds_NonXtal_Prot#'!$A:$AL,22,FALSE)+8,1)</f>
        <v>I</v>
      </c>
      <c r="AE396" s="49" t="str">
        <f>MID(VLOOKUP($A396,Seqs!$A:$B,2,FALSE),VLOOKUP($A396,'SegEnds_NonXtal_Prot#'!$A:$AL,22,FALSE)+9,1)</f>
        <v>T</v>
      </c>
      <c r="AF396" s="49" t="str">
        <f>MID(VLOOKUP($A396,Seqs!$A:$B,2,FALSE),VLOOKUP($A396,'SegEnds_NonXtal_Prot#'!$A:$AL,22,FALSE)+10,1)</f>
        <v>L</v>
      </c>
      <c r="AG396" s="28" t="str">
        <f>MID(VLOOKUP($A396,Seqs!$A:$B,2,FALSE),VLOOKUP($A396,'SegEnds_NonXtal_Prot#'!$A:$AL,28,FALSE)-4,1)</f>
        <v>I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468</v>
      </c>
      <c r="B397" s="2" t="str">
        <f>LOWER(VLOOKUP(A397,Xtal_Templ!A:B,2,FALSE))</f>
        <v>hrh1_human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T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I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F</v>
      </c>
      <c r="AA397" s="49" t="str">
        <f>MID(VLOOKUP($A397,Seqs!$A:$B,2,FALSE),VLOOKUP($A397,'SegEnds_NonXtal_Prot#'!A:AL,10,FALSE)+10,1)</f>
        <v>D</v>
      </c>
      <c r="AB397" s="28" t="str">
        <f>MID(VLOOKUP($A397,Seqs!$A:$B,2,FALSE),VLOOKUP($A397,'SegEnds_NonXtal_Prot#'!$A:$AL,22,FALSE)+6,1)</f>
        <v>I</v>
      </c>
      <c r="AC397" s="49" t="str">
        <f>MID(VLOOKUP($A397,Seqs!$A:$B,2,FALSE),VLOOKUP($A397,'SegEnds_NonXtal_Prot#'!$A:$AL,22,FALSE)+7,1)</f>
        <v>F</v>
      </c>
      <c r="AD397" s="49" t="str">
        <f>MID(VLOOKUP($A397,Seqs!$A:$B,2,FALSE),VLOOKUP($A397,'SegEnds_NonXtal_Prot#'!$A:$AL,22,FALSE)+8,1)</f>
        <v>D</v>
      </c>
      <c r="AE397" s="49" t="str">
        <f>MID(VLOOKUP($A397,Seqs!$A:$B,2,FALSE),VLOOKUP($A397,'SegEnds_NonXtal_Prot#'!$A:$AL,22,FALSE)+9,1)</f>
        <v>S</v>
      </c>
      <c r="AF397" s="49" t="str">
        <f>MID(VLOOKUP($A397,Seqs!$A:$B,2,FALSE),VLOOKUP($A397,'SegEnds_NonXtal_Prot#'!$A:$AL,22,FALSE)+10,1)</f>
        <v>L</v>
      </c>
      <c r="AG397" s="28" t="str">
        <f>MID(VLOOKUP($A397,Seqs!$A:$B,2,FALSE),VLOOKUP($A397,'SegEnds_NonXtal_Prot#'!$A:$AL,28,FALSE)-4,1)</f>
        <v>T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469</v>
      </c>
      <c r="B398" s="2" t="str">
        <f>LOWER(VLOOKUP(A398,Xtal_Templ!A:B,2,FALSE))</f>
        <v>drd2_human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N</v>
      </c>
      <c r="AB398" s="28" t="str">
        <f>MID(VLOOKUP($A398,Seqs!$A:$B,2,FALSE),VLOOKUP($A398,'SegEnds_NonXtal_Prot#'!$A:$AL,22,FALSE)+6,1)</f>
        <v>A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930</v>
      </c>
      <c r="B399" s="2" t="str">
        <f>LOWER(VLOOKUP(A399,Xtal_Templ!A:B,2,FALSE))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A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470</v>
      </c>
      <c r="B400" s="2" t="str">
        <f>LOWER(VLOOKUP(A400,Xtal_Templ!A:B,2,FALSE))</f>
        <v>5ht2c_human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V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V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H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A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471</v>
      </c>
      <c r="B401" s="2" t="str">
        <f>LOWER(VLOOKUP(A401,Xtal_Templ!A:B,2,FALSE))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A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N</v>
      </c>
      <c r="AB401" s="28" t="str">
        <f>MID(VLOOKUP($A401,Seqs!$A:$B,2,FALSE),VLOOKUP($A401,'SegEnds_NonXtal_Prot#'!$A:$AL,22,FALSE)+6,1)</f>
        <v>V</v>
      </c>
      <c r="AC401" s="49" t="str">
        <f>MID(VLOOKUP($A401,Seqs!$A:$B,2,FALSE),VLOOKUP($A401,'SegEnds_NonXtal_Prot#'!$A:$AL,22,FALSE)+7,1)</f>
        <v>C</v>
      </c>
      <c r="AD401" s="49" t="str">
        <f>MID(VLOOKUP($A401,Seqs!$A:$B,2,FALSE),VLOOKUP($A401,'SegEnds_NonXtal_Prot#'!$A:$AL,22,FALSE)+8,1)</f>
        <v>H</v>
      </c>
      <c r="AE401" s="49" t="str">
        <f>MID(VLOOKUP($A401,Seqs!$A:$B,2,FALSE),VLOOKUP($A401,'SegEnds_NonXtal_Prot#'!$A:$AL,22,FALSE)+9,1)</f>
        <v>L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W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475</v>
      </c>
      <c r="B402" s="2" t="str">
        <f>LOWER(VLOOKUP(A402,Xtal_Templ!A:B,2,FALSE))</f>
        <v>agtr1_human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I</v>
      </c>
      <c r="X402" s="49" t="str">
        <f>MID(VLOOKUP($A402,Seqs!$A:$B,2,FALSE),VLOOKUP($A402,'SegEnds_NonXtal_Prot#'!A:AL,10,FALSE)+7,1)</f>
        <v>I</v>
      </c>
      <c r="Y402" s="49" t="str">
        <f>MID(VLOOKUP($A402,Seqs!$A:$B,2,FALSE),VLOOKUP($A402,'SegEnds_NonXtal_Prot#'!A:AL,10,FALSE)+8,1)</f>
        <v>L</v>
      </c>
      <c r="Z402" s="49" t="str">
        <f>MID(VLOOKUP($A402,Seqs!$A:$B,2,FALSE),VLOOKUP($A402,'SegEnds_NonXtal_Prot#'!A:AL,10,FALSE)+9,1)</f>
        <v>T</v>
      </c>
      <c r="AA402" s="49" t="str">
        <f>MID(VLOOKUP($A402,Seqs!$A:$B,2,FALSE),VLOOKUP($A402,'SegEnds_NonXtal_Prot#'!A:AL,10,FALSE)+10,1)</f>
        <v>D</v>
      </c>
      <c r="AB402" s="28" t="str">
        <f>MID(VLOOKUP($A402,Seqs!$A:$B,2,FALSE),VLOOKUP($A402,'SegEnds_NonXtal_Prot#'!$A:$AL,22,FALSE)+6,1)</f>
        <v>C</v>
      </c>
      <c r="AC402" s="49" t="str">
        <f>MID(VLOOKUP($A402,Seqs!$A:$B,2,FALSE),VLOOKUP($A402,'SegEnds_NonXtal_Prot#'!$A:$AL,22,FALSE)+7,1)</f>
        <v>G</v>
      </c>
      <c r="AD402" s="49" t="str">
        <f>MID(VLOOKUP($A402,Seqs!$A:$B,2,FALSE),VLOOKUP($A402,'SegEnds_NonXtal_Prot#'!$A:$AL,22,FALSE)+8,1)</f>
        <v>S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A</v>
      </c>
      <c r="AG402" s="28" t="str">
        <f>MID(VLOOKUP($A402,Seqs!$A:$B,2,FALSE),VLOOKUP($A402,'SegEnds_NonXtal_Prot#'!$A:$AL,28,FALSE)-4,1)</f>
        <v>W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478</v>
      </c>
      <c r="B403" s="2" t="str">
        <f>LOWER(VLOOKUP(A403,Xtal_Templ!A:B,2,FALSE))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V</v>
      </c>
      <c r="AC403" s="49" t="str">
        <f>MID(VLOOKUP($A403,Seqs!$A:$B,2,FALSE),VLOOKUP($A403,'SegEnds_NonXtal_Prot#'!$A:$AL,22,FALSE)+7,1)</f>
        <v>F</v>
      </c>
      <c r="AD403" s="49" t="str">
        <f>MID(VLOOKUP($A403,Seqs!$A:$B,2,FALSE),VLOOKUP($A403,'SegEnds_NonXtal_Prot#'!$A:$AL,22,FALSE)+8,1)</f>
        <v>I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A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479</v>
      </c>
      <c r="B404" s="2" t="str">
        <f>LOWER(VLOOKUP(A404,Xtal_Templ!A:B,2,FALSE))</f>
        <v>drd2_human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M</v>
      </c>
      <c r="Y404" s="49" t="str">
        <f>MID(VLOOKUP($A404,Seqs!$A:$B,2,FALSE),VLOOKUP($A404,'SegEnds_NonXtal_Prot#'!A:AL,10,FALSE)+8,1)</f>
        <v>V</v>
      </c>
      <c r="Z404" s="49" t="str">
        <f>MID(VLOOKUP($A404,Seqs!$A:$B,2,FALSE),VLOOKUP($A404,'SegEnds_NonXtal_Prot#'!A:AL,10,FALSE)+9,1)</f>
        <v>V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L</v>
      </c>
      <c r="AC404" s="49" t="str">
        <f>MID(VLOOKUP($A404,Seqs!$A:$B,2,FALSE),VLOOKUP($A404,'SegEnds_NonXtal_Prot#'!$A:$AL,22,FALSE)+7,1)</f>
        <v>L</v>
      </c>
      <c r="AD404" s="49" t="str">
        <f>MID(VLOOKUP($A404,Seqs!$A:$B,2,FALSE),VLOOKUP($A404,'SegEnds_NonXtal_Prot#'!$A:$AL,22,FALSE)+8,1)</f>
        <v>V</v>
      </c>
      <c r="AE404" s="49" t="str">
        <f>MID(VLOOKUP($A404,Seqs!$A:$B,2,FALSE),VLOOKUP($A404,'SegEnds_NonXtal_Prot#'!$A:$AL,22,FALSE)+9,1)</f>
        <v>S</v>
      </c>
      <c r="AF404" s="49" t="str">
        <f>MID(VLOOKUP($A404,Seqs!$A:$B,2,FALSE),VLOOKUP($A404,'SegEnds_NonXtal_Prot#'!$A:$AL,22,FALSE)+10,1)</f>
        <v>L</v>
      </c>
      <c r="AG404" s="28" t="str">
        <f>MID(VLOOKUP($A404,Seqs!$A:$B,2,FALSE),VLOOKUP($A404,'SegEnds_NonXtal_Prot#'!$A:$AL,28,FALSE)-4,1)</f>
        <v>F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480</v>
      </c>
      <c r="B405" s="2" t="str">
        <f>LOWER(VLOOKUP(A405,Xtal_Templ!A:B,2,FALSE))</f>
        <v>agtr1_human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I</v>
      </c>
      <c r="Y405" s="49" t="str">
        <f>MID(VLOOKUP($A405,Seqs!$A:$B,2,FALSE),VLOOKUP($A405,'SegEnds_NonXtal_Prot#'!A:AL,10,FALSE)+8,1)</f>
        <v>S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D</v>
      </c>
      <c r="AB405" s="28" t="str">
        <f>MID(VLOOKUP($A405,Seqs!$A:$B,2,FALSE),VLOOKUP($A405,'SegEnds_NonXtal_Prot#'!$A:$AL,22,FALSE)+6,1)</f>
        <v>L</v>
      </c>
      <c r="AC405" s="49" t="str">
        <f>MID(VLOOKUP($A405,Seqs!$A:$B,2,FALSE),VLOOKUP($A405,'SegEnds_NonXtal_Prot#'!$A:$AL,22,FALSE)+7,1)</f>
        <v>I</v>
      </c>
      <c r="AD405" s="49" t="str">
        <f>MID(VLOOKUP($A405,Seqs!$A:$B,2,FALSE),VLOOKUP($A405,'SegEnds_NonXtal_Prot#'!$A:$AL,22,FALSE)+8,1)</f>
        <v>I</v>
      </c>
      <c r="AE405" s="49" t="str">
        <f>MID(VLOOKUP($A405,Seqs!$A:$B,2,FALSE),VLOOKUP($A405,'SegEnds_NonXtal_Prot#'!$A:$AL,22,FALSE)+9,1)</f>
        <v>S</v>
      </c>
      <c r="AF405" s="49" t="str">
        <f>MID(VLOOKUP($A405,Seqs!$A:$B,2,FALSE),VLOOKUP($A405,'SegEnds_NonXtal_Prot#'!$A:$AL,22,FALSE)+10,1)</f>
        <v>V</v>
      </c>
      <c r="AG405" s="28" t="str">
        <f>MID(VLOOKUP($A405,Seqs!$A:$B,2,FALSE),VLOOKUP($A405,'SegEnds_NonXtal_Prot#'!$A:$AL,28,FALSE)-4,1)</f>
        <v>G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466</v>
      </c>
      <c r="B406" s="2" t="str">
        <f>LOWER(VLOOKUP(A406,Xtal_Templ!A:B,2,FALSE))</f>
        <v>5ht2a_human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W</v>
      </c>
      <c r="X406" s="49" t="str">
        <f>MID(VLOOKUP($A406,Seqs!$A:$B,2,FALSE),VLOOKUP($A406,'SegEnds_NonXtal_Prot#'!A:AL,10,FALSE)+7,1)</f>
        <v>M</v>
      </c>
      <c r="Y406" s="49" t="str">
        <f>MID(VLOOKUP($A406,Seqs!$A:$B,2,FALSE),VLOOKUP($A406,'SegEnds_NonXtal_Prot#'!A:AL,10,FALSE)+8,1)</f>
        <v>M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E</v>
      </c>
      <c r="AB406" s="28" t="str">
        <f>MID(VLOOKUP($A406,Seqs!$A:$B,2,FALSE),VLOOKUP($A406,'SegEnds_NonXtal_Prot#'!$A:$AL,22,FALSE)+6,1)</f>
        <v>L</v>
      </c>
      <c r="AC406" s="49" t="str">
        <f>MID(VLOOKUP($A406,Seqs!$A:$B,2,FALSE),VLOOKUP($A406,'SegEnds_NonXtal_Prot#'!$A:$AL,22,FALSE)+7,1)</f>
        <v>S</v>
      </c>
      <c r="AD406" s="49" t="str">
        <f>MID(VLOOKUP($A406,Seqs!$A:$B,2,FALSE),VLOOKUP($A406,'SegEnds_NonXtal_Prot#'!$A:$AL,22,FALSE)+8,1)</f>
        <v>F</v>
      </c>
      <c r="AE406" s="49" t="str">
        <f>MID(VLOOKUP($A406,Seqs!$A:$B,2,FALSE),VLOOKUP($A406,'SegEnds_NonXtal_Prot#'!$A:$AL,22,FALSE)+9,1)</f>
        <v>S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G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474</v>
      </c>
      <c r="B407" s="2" t="str">
        <f>LOWER(VLOOKUP(A407,Xtal_Templ!A:B,2,FALSE))</f>
        <v>cxcr4_human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F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F</v>
      </c>
      <c r="Z407" s="49" t="str">
        <f>MID(VLOOKUP($A407,Seqs!$A:$B,2,FALSE),VLOOKUP($A407,'SegEnds_NonXtal_Prot#'!A:AL,10,FALSE)+9,1)</f>
        <v>Y</v>
      </c>
      <c r="AA407" s="49" t="str">
        <f>MID(VLOOKUP($A407,Seqs!$A:$B,2,FALSE),VLOOKUP($A407,'SegEnds_NonXtal_Prot#'!A:AL,10,FALSE)+10,1)</f>
        <v>V</v>
      </c>
      <c r="AB407" s="28" t="str">
        <f>MID(VLOOKUP($A407,Seqs!$A:$B,2,FALSE),VLOOKUP($A407,'SegEnds_NonXtal_Prot#'!$A:$AL,22,FALSE)+6,1)</f>
        <v>S</v>
      </c>
      <c r="AC407" s="49" t="str">
        <f>MID(VLOOKUP($A407,Seqs!$A:$B,2,FALSE),VLOOKUP($A407,'SegEnds_NonXtal_Prot#'!$A:$AL,22,FALSE)+7,1)</f>
        <v>M</v>
      </c>
      <c r="AD407" s="49" t="str">
        <f>MID(VLOOKUP($A407,Seqs!$A:$B,2,FALSE),VLOOKUP($A407,'SegEnds_NonXtal_Prot#'!$A:$AL,22,FALSE)+8,1)</f>
        <v>I</v>
      </c>
      <c r="AE407" s="49" t="str">
        <f>MID(VLOOKUP($A407,Seqs!$A:$B,2,FALSE),VLOOKUP($A407,'SegEnds_NonXtal_Prot#'!$A:$AL,22,FALSE)+9,1)</f>
        <v>C</v>
      </c>
      <c r="AF407" s="49" t="str">
        <f>MID(VLOOKUP($A407,Seqs!$A:$B,2,FALSE),VLOOKUP($A407,'SegEnds_NonXtal_Prot#'!$A:$AL,22,FALSE)+10,1)</f>
        <v>V</v>
      </c>
      <c r="AG407" s="28" t="str">
        <f>MID(VLOOKUP($A407,Seqs!$A:$B,2,FALSE),VLOOKUP($A407,'SegEnds_NonXtal_Prot#'!$A:$AL,28,FALSE)-4,1)</f>
        <v>E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459</v>
      </c>
      <c r="B408" s="2" t="str">
        <f>LOWER(VLOOKUP(A408,Xtal_Templ!A:B,2,FALSE))</f>
        <v>pd2r2_human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A</v>
      </c>
      <c r="X408" s="49" t="str">
        <f>MID(VLOOKUP($A408,Seqs!$A:$B,2,FALSE),VLOOKUP($A408,'SegEnds_NonXtal_Prot#'!A:AL,10,FALSE)+7,1)</f>
        <v>S</v>
      </c>
      <c r="Y408" s="49" t="str">
        <f>MID(VLOOKUP($A408,Seqs!$A:$B,2,FALSE),VLOOKUP($A408,'SegEnds_NonXtal_Prot#'!A:AL,10,FALSE)+8,1)</f>
        <v>M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N</v>
      </c>
      <c r="AB408" s="28" t="str">
        <f>MID(VLOOKUP($A408,Seqs!$A:$B,2,FALSE),VLOOKUP($A408,'SegEnds_NonXtal_Prot#'!$A:$AL,22,FALSE)+6,1)</f>
        <v>C</v>
      </c>
      <c r="AC408" s="49" t="str">
        <f>MID(VLOOKUP($A408,Seqs!$A:$B,2,FALSE),VLOOKUP($A408,'SegEnds_NonXtal_Prot#'!$A:$AL,22,FALSE)+7,1)</f>
        <v>V</v>
      </c>
      <c r="AD408" s="49" t="str">
        <f>MID(VLOOKUP($A408,Seqs!$A:$B,2,FALSE),VLOOKUP($A408,'SegEnds_NonXtal_Prot#'!$A:$AL,22,FALSE)+8,1)</f>
        <v>T</v>
      </c>
      <c r="AE408" s="49" t="str">
        <f>MID(VLOOKUP($A408,Seqs!$A:$B,2,FALSE),VLOOKUP($A408,'SegEnds_NonXtal_Prot#'!$A:$AL,22,FALSE)+9,1)</f>
        <v>I</v>
      </c>
      <c r="AF408" s="49" t="str">
        <f>MID(VLOOKUP($A408,Seqs!$A:$B,2,FALSE),VLOOKUP($A408,'SegEnds_NonXtal_Prot#'!$A:$AL,22,FALSE)+10,1)</f>
        <v>I</v>
      </c>
      <c r="AG408" s="28" t="str">
        <f>MID(VLOOKUP($A408,Seqs!$A:$B,2,FALSE),VLOOKUP($A408,'SegEnds_NonXtal_Prot#'!$A:$AL,28,FALSE)-4,1)</f>
        <v>A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458</v>
      </c>
      <c r="B409" s="2" t="str">
        <f>LOWER(VLOOKUP(A409,Xtal_Templ!A:B,2,FALSE))</f>
        <v>5ht2c_human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L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F</v>
      </c>
      <c r="Z409" s="49" t="str">
        <f>MID(VLOOKUP($A409,Seqs!$A:$B,2,FALSE),VLOOKUP($A409,'SegEnds_NonXtal_Prot#'!A:AL,10,FALSE)+9,1)</f>
        <v>G</v>
      </c>
      <c r="AA409" s="49" t="str">
        <f>MID(VLOOKUP($A409,Seqs!$A:$B,2,FALSE),VLOOKUP($A409,'SegEnds_NonXtal_Prot#'!A:AL,10,FALSE)+10,1)</f>
        <v>S</v>
      </c>
      <c r="AB409" s="28" t="str">
        <f>MID(VLOOKUP($A409,Seqs!$A:$B,2,FALSE),VLOOKUP($A409,'SegEnds_NonXtal_Prot#'!$A:$AL,22,FALSE)+6,1)</f>
        <v>F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N</v>
      </c>
      <c r="AE409" s="49" t="str">
        <f>MID(VLOOKUP($A409,Seqs!$A:$B,2,FALSE),VLOOKUP($A409,'SegEnds_NonXtal_Prot#'!$A:$AL,22,FALSE)+9,1)</f>
        <v>I</v>
      </c>
      <c r="AF409" s="49" t="str">
        <f>MID(VLOOKUP($A409,Seqs!$A:$B,2,FALSE),VLOOKUP($A409,'SegEnds_NonXtal_Prot#'!$A:$AL,22,FALSE)+10,1)</f>
        <v>A</v>
      </c>
      <c r="AG409" s="28" t="str">
        <f>MID(VLOOKUP($A409,Seqs!$A:$B,2,FALSE),VLOOKUP($A409,'SegEnds_NonXtal_Prot#'!$A:$AL,28,FALSE)-4,1)</f>
        <v>F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456</v>
      </c>
      <c r="B410" s="2" t="str">
        <f>LOWER(VLOOKUP(A410,Xtal_Templ!A:B,2,FALSE))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I</v>
      </c>
      <c r="X410" s="49" t="str">
        <f>MID(VLOOKUP($A410,Seqs!$A:$B,2,FALSE),VLOOKUP($A410,'SegEnds_NonXtal_Prot#'!A:AL,10,FALSE)+7,1)</f>
        <v>I</v>
      </c>
      <c r="Y410" s="49" t="str">
        <f>MID(VLOOKUP($A410,Seqs!$A:$B,2,FALSE),VLOOKUP($A410,'SegEnds_NonXtal_Prot#'!A:AL,10,FALSE)+8,1)</f>
        <v>I</v>
      </c>
      <c r="Z410" s="49" t="str">
        <f>MID(VLOOKUP($A410,Seqs!$A:$B,2,FALSE),VLOOKUP($A410,'SegEnds_NonXtal_Prot#'!A:AL,10,FALSE)+9,1)</f>
        <v>T</v>
      </c>
      <c r="AA410" s="49" t="str">
        <f>MID(VLOOKUP($A410,Seqs!$A:$B,2,FALSE),VLOOKUP($A410,'SegEnds_NonXtal_Prot#'!A:AL,10,FALSE)+10,1)</f>
        <v>D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L</v>
      </c>
      <c r="AD410" s="49" t="str">
        <f>MID(VLOOKUP($A410,Seqs!$A:$B,2,FALSE),VLOOKUP($A410,'SegEnds_NonXtal_Prot#'!$A:$AL,22,FALSE)+8,1)</f>
        <v>N</v>
      </c>
      <c r="AE410" s="49" t="str">
        <f>MID(VLOOKUP($A410,Seqs!$A:$B,2,FALSE),VLOOKUP($A410,'SegEnds_NonXtal_Prot#'!$A:$AL,22,FALSE)+9,1)</f>
        <v>F</v>
      </c>
      <c r="AF410" s="49" t="str">
        <f>MID(VLOOKUP($A410,Seqs!$A:$B,2,FALSE),VLOOKUP($A410,'SegEnds_NonXtal_Prot#'!$A:$AL,22,FALSE)+10,1)</f>
        <v>A</v>
      </c>
      <c r="AG410" s="28" t="str">
        <f>MID(VLOOKUP($A410,Seqs!$A:$B,2,FALSE),VLOOKUP($A410,'SegEnds_NonXtal_Prot#'!$A:$AL,28,FALSE)-4,1)</f>
        <v>G</v>
      </c>
      <c r="AH410" s="49" t="str">
        <f>MID(VLOOKUP($A410,Seqs!$A:$B,2,FALSE),VLOOKUP($A410,'SegEnds_NonXtal_Prot#'!$A:$AL,28,FALSE),1)</f>
        <v>F</v>
      </c>
    </row>
    <row r="411" spans="1:34" s="2" customFormat="1" x14ac:dyDescent="0.2">
      <c r="A411" s="2" t="s">
        <v>477</v>
      </c>
      <c r="B411" s="2" t="str">
        <f>LOWER(VLOOKUP(A411,Xtal_Templ!A:B,2,FALSE))</f>
        <v>hrh1_human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L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I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D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L</v>
      </c>
      <c r="AD411" s="49" t="str">
        <f>MID(VLOOKUP($A411,Seqs!$A:$B,2,FALSE),VLOOKUP($A411,'SegEnds_NonXtal_Prot#'!$A:$AL,22,FALSE)+8,1)</f>
        <v>L</v>
      </c>
      <c r="AE411" s="49" t="str">
        <f>MID(VLOOKUP($A411,Seqs!$A:$B,2,FALSE),VLOOKUP($A411,'SegEnds_NonXtal_Prot#'!$A:$AL,22,FALSE)+9,1)</f>
        <v>T</v>
      </c>
      <c r="AF411" s="49" t="str">
        <f>MID(VLOOKUP($A411,Seqs!$A:$B,2,FALSE),VLOOKUP($A411,'SegEnds_NonXtal_Prot#'!$A:$AL,22,FALSE)+10,1)</f>
        <v>V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H412" s="4"/>
      <c r="V412" s="28"/>
      <c r="W412" s="49"/>
      <c r="X412" s="49"/>
      <c r="Y412" s="49"/>
      <c r="Z412" s="49"/>
      <c r="AA412" s="49"/>
      <c r="AB412" s="28"/>
      <c r="AC412" s="49"/>
      <c r="AD412" s="49"/>
      <c r="AE412" s="49"/>
      <c r="AG412" s="16"/>
    </row>
    <row r="413" spans="1:34" s="2" customFormat="1" x14ac:dyDescent="0.2">
      <c r="H413" s="4"/>
      <c r="V413" s="28"/>
      <c r="W413" s="49"/>
      <c r="X413" s="49"/>
      <c r="Y413" s="49"/>
      <c r="Z413" s="49"/>
      <c r="AA413" s="49"/>
      <c r="AB413" s="28"/>
      <c r="AC413" s="49"/>
      <c r="AD413" s="49"/>
      <c r="AE413" s="49"/>
      <c r="AG413" s="16"/>
    </row>
    <row r="414" spans="1:34" s="2" customFormat="1" x14ac:dyDescent="0.2">
      <c r="H414" s="4"/>
      <c r="V414" s="28"/>
      <c r="W414" s="49"/>
      <c r="X414" s="49"/>
      <c r="Y414" s="49"/>
      <c r="Z414" s="49"/>
      <c r="AA414" s="49"/>
      <c r="AB414" s="28"/>
      <c r="AC414" s="49"/>
      <c r="AD414" s="49"/>
      <c r="AE414" s="49"/>
      <c r="AG414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13" priority="4" operator="equal">
      <formula>"P"</formula>
    </cfRule>
  </conditionalFormatting>
  <conditionalFormatting sqref="AC1:AC1048576">
    <cfRule type="cellIs" dxfId="12" priority="2" operator="equal">
      <formula>"W"</formula>
    </cfRule>
    <cfRule type="cellIs" dxfId="11" priority="3" operator="equal">
      <formula>"G"</formula>
    </cfRule>
  </conditionalFormatting>
  <conditionalFormatting sqref="AG2:AH411">
    <cfRule type="cellIs" dxfId="10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3"/>
  <sheetViews>
    <sheetView workbookViewId="0">
      <pane ySplit="1" topLeftCell="A81" activePane="bottomLeft" state="frozenSplit"/>
      <selection pane="bottomLeft" activeCell="A103" sqref="A1:A1048576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2" t="s">
        <v>1496</v>
      </c>
      <c r="B44" s="121" t="s">
        <v>1497</v>
      </c>
      <c r="C44" t="s">
        <v>1494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1" t="s">
        <v>850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1" t="s">
        <v>854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845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846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847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848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849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851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852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853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855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856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857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858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859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860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861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862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863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864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865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866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1177</v>
      </c>
      <c r="B67" t="s">
        <v>812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1178</v>
      </c>
      <c r="B68" t="s">
        <v>813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1179</v>
      </c>
      <c r="B69" t="s">
        <v>814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414</v>
      </c>
      <c r="B70" t="s">
        <v>815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1180</v>
      </c>
      <c r="B71" t="s">
        <v>816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1181</v>
      </c>
      <c r="B72" t="s">
        <v>817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418</v>
      </c>
      <c r="B73" t="s">
        <v>818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419</v>
      </c>
      <c r="B74" t="s">
        <v>819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420</v>
      </c>
      <c r="B75" t="s">
        <v>820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1182</v>
      </c>
      <c r="B76" t="s">
        <v>821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1183</v>
      </c>
      <c r="B77" t="s">
        <v>822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1184</v>
      </c>
      <c r="B78" t="s">
        <v>823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1185</v>
      </c>
      <c r="B79" t="s">
        <v>824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1186</v>
      </c>
      <c r="B80" t="s">
        <v>825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1187</v>
      </c>
      <c r="B81" t="s">
        <v>826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417</v>
      </c>
      <c r="B82" t="s">
        <v>827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1188</v>
      </c>
      <c r="B83" t="s">
        <v>828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1189</v>
      </c>
      <c r="B84" t="s">
        <v>829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1190</v>
      </c>
      <c r="B85" t="s">
        <v>830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1191</v>
      </c>
      <c r="B86" t="s">
        <v>831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1192</v>
      </c>
      <c r="B87" t="s">
        <v>832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1193</v>
      </c>
      <c r="B88" t="s">
        <v>833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1194</v>
      </c>
      <c r="B89" t="s">
        <v>834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1195</v>
      </c>
      <c r="B90" t="s">
        <v>835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1196</v>
      </c>
      <c r="B91" t="s">
        <v>836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1197</v>
      </c>
      <c r="B92" t="s">
        <v>837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1414</v>
      </c>
      <c r="B93" t="s">
        <v>838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1198</v>
      </c>
      <c r="B94" t="s">
        <v>839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1199</v>
      </c>
      <c r="B95" t="s">
        <v>840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1200</v>
      </c>
      <c r="B96" t="s">
        <v>841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1201</v>
      </c>
      <c r="B97" t="s">
        <v>842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1202</v>
      </c>
      <c r="B98" t="s">
        <v>843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442</v>
      </c>
      <c r="B99" t="s">
        <v>844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1327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805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401</v>
      </c>
      <c r="B102" t="s">
        <v>1403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402</v>
      </c>
      <c r="B103" t="s">
        <v>799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403</v>
      </c>
      <c r="B104" t="s">
        <v>800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404</v>
      </c>
      <c r="B105" t="s">
        <v>801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405</v>
      </c>
      <c r="B106" t="s">
        <v>802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406</v>
      </c>
      <c r="B107" t="s">
        <v>803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407</v>
      </c>
      <c r="B108" t="s">
        <v>804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411</v>
      </c>
      <c r="B109" t="s">
        <v>806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409</v>
      </c>
      <c r="B110" t="s">
        <v>807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410</v>
      </c>
      <c r="B111" t="s">
        <v>808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408</v>
      </c>
      <c r="B112" t="s">
        <v>809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412</v>
      </c>
      <c r="B113" t="s">
        <v>810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413</v>
      </c>
      <c r="B114" t="s">
        <v>811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1421</v>
      </c>
      <c r="B115" t="s">
        <v>1420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912</v>
      </c>
      <c r="B116" t="s">
        <v>913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916</v>
      </c>
      <c r="B117" t="s">
        <v>917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918</v>
      </c>
      <c r="B118" t="s">
        <v>919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910</v>
      </c>
      <c r="B119" t="s">
        <v>911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1"/>
    </row>
    <row r="120" spans="1:13" ht="17" x14ac:dyDescent="0.25">
      <c r="A120" t="s">
        <v>914</v>
      </c>
      <c r="B120" t="s">
        <v>915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1"/>
    </row>
    <row r="121" spans="1:13" ht="17" x14ac:dyDescent="0.25">
      <c r="A121" t="s">
        <v>922</v>
      </c>
      <c r="B121" t="s">
        <v>923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1"/>
    </row>
    <row r="122" spans="1:13" ht="17" x14ac:dyDescent="0.25">
      <c r="A122" t="s">
        <v>920</v>
      </c>
      <c r="B122" t="s">
        <v>921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1"/>
    </row>
    <row r="123" spans="1:13" ht="17" x14ac:dyDescent="0.25">
      <c r="A123" t="s">
        <v>1441</v>
      </c>
      <c r="B123" t="s">
        <v>1442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1"/>
    </row>
    <row r="124" spans="1:13" ht="17" x14ac:dyDescent="0.25">
      <c r="A124" t="s">
        <v>1508</v>
      </c>
      <c r="B124" t="s">
        <v>1509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1"/>
    </row>
    <row r="125" spans="1:13" ht="17" x14ac:dyDescent="0.25">
      <c r="A125" t="s">
        <v>1452</v>
      </c>
      <c r="B125" t="s">
        <v>1454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1"/>
    </row>
    <row r="126" spans="1:13" x14ac:dyDescent="0.2">
      <c r="A126" t="s">
        <v>924</v>
      </c>
      <c r="B126" t="s">
        <v>925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488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493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500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503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512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515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278</v>
      </c>
      <c r="B134" t="s">
        <v>518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523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335</v>
      </c>
      <c r="B136" t="s">
        <v>571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336</v>
      </c>
      <c r="B137" t="s">
        <v>572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1174</v>
      </c>
      <c r="B138" t="s">
        <v>574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1175</v>
      </c>
      <c r="B139" t="s">
        <v>575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1176</v>
      </c>
      <c r="B140" t="s">
        <v>576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355</v>
      </c>
      <c r="B141" t="s">
        <v>579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607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1172</v>
      </c>
      <c r="B143" t="s">
        <v>617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1173</v>
      </c>
      <c r="B144" t="s">
        <v>633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643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649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672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345</v>
      </c>
      <c r="B148" t="s">
        <v>675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352</v>
      </c>
      <c r="B149" t="s">
        <v>680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339</v>
      </c>
      <c r="B150" t="s">
        <v>690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487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489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490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491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492</v>
      </c>
      <c r="C155" t="str">
        <f>IF(ISERROR(MATCH(A155,'SegEnds_Xtal_Prot#'!B:B, 0)), "NoXtal", "Xtal")</f>
        <v>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494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495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496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497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498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501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502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504</v>
      </c>
      <c r="C163" t="str">
        <f>IF(ISERROR(MATCH(A163,'SegEnds_Xtal_Prot#'!B:B,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505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506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507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508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509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510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511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513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514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516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517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279</v>
      </c>
      <c r="B175" t="s">
        <v>519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280</v>
      </c>
      <c r="B176" t="s">
        <v>520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281</v>
      </c>
      <c r="B177" t="s">
        <v>521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387</v>
      </c>
      <c r="B178" t="s">
        <v>522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524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525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317</v>
      </c>
      <c r="B181" t="s">
        <v>526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274</v>
      </c>
      <c r="B182" t="s">
        <v>527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528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529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530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531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208</v>
      </c>
      <c r="B187" t="s">
        <v>532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533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534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535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536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537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201</v>
      </c>
      <c r="B193" t="s">
        <v>538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202</v>
      </c>
      <c r="B194" t="s">
        <v>539</v>
      </c>
      <c r="C194" t="str">
        <f>IF(ISERROR(MATCH(A194,'SegEnds_Xtal_Prot#'!B:B, 0)), "NoXtal", "Xtal")</f>
        <v>NoXtal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203</v>
      </c>
      <c r="B195" t="s">
        <v>540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205</v>
      </c>
      <c r="B196" t="s">
        <v>541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206</v>
      </c>
      <c r="B197" t="s">
        <v>542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207</v>
      </c>
      <c r="B198" t="s">
        <v>543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209</v>
      </c>
      <c r="B199" t="s">
        <v>544</v>
      </c>
      <c r="C199" t="str">
        <f>IF(ISERROR(MATCH(A199,'SegEnds_Xtal_Prot#'!B:B, 0)), "NoXtal", "Xtal")</f>
        <v>NoXtal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210</v>
      </c>
      <c r="B200" t="s">
        <v>545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211</v>
      </c>
      <c r="B201" t="s">
        <v>546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282</v>
      </c>
      <c r="B202" t="s">
        <v>547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299</v>
      </c>
      <c r="B203" t="s">
        <v>548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300</v>
      </c>
      <c r="B204" t="s">
        <v>549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309</v>
      </c>
      <c r="B205" t="s">
        <v>550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551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296</v>
      </c>
      <c r="B207" t="s">
        <v>552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297</v>
      </c>
      <c r="B208" t="s">
        <v>553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298</v>
      </c>
      <c r="B209" t="s">
        <v>554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310</v>
      </c>
      <c r="B210" t="s">
        <v>555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318</v>
      </c>
      <c r="B211" t="s">
        <v>556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319</v>
      </c>
      <c r="B212" t="s">
        <v>557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322</v>
      </c>
      <c r="B213" t="s">
        <v>558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323</v>
      </c>
      <c r="B214" t="s">
        <v>559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324</v>
      </c>
      <c r="B215" t="s">
        <v>560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320</v>
      </c>
      <c r="B216" t="s">
        <v>561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321</v>
      </c>
      <c r="B217" t="s">
        <v>562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325</v>
      </c>
      <c r="B218" t="s">
        <v>564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326</v>
      </c>
      <c r="B219" t="s">
        <v>565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327</v>
      </c>
      <c r="B220" t="s">
        <v>566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328</v>
      </c>
      <c r="B221" t="s">
        <v>567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329</v>
      </c>
      <c r="B222" t="s">
        <v>568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569</v>
      </c>
      <c r="C223" t="str">
        <f>IF(ISERROR(MATCH(A223,'SegEnds_Xtal_Prot#'!B:B, 0)), "NoXtal", "Xtal")</f>
        <v>NoXtal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330</v>
      </c>
      <c r="B224" t="s">
        <v>570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337</v>
      </c>
      <c r="B225" t="s">
        <v>573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372</v>
      </c>
      <c r="B226" t="s">
        <v>577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369</v>
      </c>
      <c r="B227" t="s">
        <v>578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356</v>
      </c>
      <c r="B228" t="s">
        <v>580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357</v>
      </c>
      <c r="B229" t="s">
        <v>581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358</v>
      </c>
      <c r="B230" t="s">
        <v>582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375</v>
      </c>
      <c r="B231" t="s">
        <v>583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376</v>
      </c>
      <c r="B232" t="s">
        <v>584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373</v>
      </c>
      <c r="B233" t="s">
        <v>585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374</v>
      </c>
      <c r="B234" t="s">
        <v>586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381</v>
      </c>
      <c r="B235" t="s">
        <v>587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382</v>
      </c>
      <c r="B236" t="s">
        <v>588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383</v>
      </c>
      <c r="B237" t="s">
        <v>589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384</v>
      </c>
      <c r="B238" t="s">
        <v>590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385</v>
      </c>
      <c r="B239" t="s">
        <v>591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314</v>
      </c>
      <c r="B240" t="s">
        <v>592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315</v>
      </c>
      <c r="B241" t="s">
        <v>593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316</v>
      </c>
      <c r="B242" t="s">
        <v>595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394</v>
      </c>
      <c r="B243" t="s">
        <v>596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396</v>
      </c>
      <c r="B244" t="s">
        <v>597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397</v>
      </c>
      <c r="B245" t="s">
        <v>598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398</v>
      </c>
      <c r="B246" t="s">
        <v>599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399</v>
      </c>
      <c r="B247" t="s">
        <v>600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344</v>
      </c>
      <c r="B248" t="s">
        <v>601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602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603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604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605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606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608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609</v>
      </c>
      <c r="C255" t="str">
        <f>IF(ISERROR(MATCH(A255,'SegEnds_Xtal_Prot#'!B:B,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610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612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613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614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615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616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618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619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620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400</v>
      </c>
      <c r="B265" t="s">
        <v>621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622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623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624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625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626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204</v>
      </c>
      <c r="B271" t="s">
        <v>627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286</v>
      </c>
      <c r="B272" t="s">
        <v>628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291</v>
      </c>
      <c r="B273" t="s">
        <v>629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395</v>
      </c>
      <c r="B274" t="s">
        <v>630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367</v>
      </c>
      <c r="B275" t="s">
        <v>631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368</v>
      </c>
      <c r="B276" t="s">
        <v>632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198</v>
      </c>
      <c r="B277" t="s">
        <v>634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199</v>
      </c>
      <c r="B278" t="s">
        <v>635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200</v>
      </c>
      <c r="B279" t="s">
        <v>636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258</v>
      </c>
      <c r="B280" t="s">
        <v>637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292</v>
      </c>
      <c r="B281" t="s">
        <v>638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293</v>
      </c>
      <c r="B282" t="s">
        <v>639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640</v>
      </c>
      <c r="C283" t="str">
        <f>IF(ISERROR(MATCH(A283,'SegEnds_Xtal_Prot#'!B:B,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641</v>
      </c>
      <c r="C284" t="str">
        <f>IF(ISERROR(MATCH(A284,'SegEnds_Xtal_Prot#'!B:B,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342</v>
      </c>
      <c r="B285" t="s">
        <v>642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287</v>
      </c>
      <c r="B286" t="s">
        <v>645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288</v>
      </c>
      <c r="B287" t="s">
        <v>646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289</v>
      </c>
      <c r="B288" t="s">
        <v>647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290</v>
      </c>
      <c r="B289" t="s">
        <v>648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650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378</v>
      </c>
      <c r="B291" t="s">
        <v>651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379</v>
      </c>
      <c r="B292" t="s">
        <v>652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380</v>
      </c>
      <c r="B293" t="s">
        <v>653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654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655</v>
      </c>
      <c r="C295" t="str">
        <f>IF(ISERROR(MATCH(A295,'SegEnds_Xtal_Prot#'!B:B, 0)), "NoXtal", "Xtal")</f>
        <v>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241</v>
      </c>
      <c r="B296" t="s">
        <v>656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261</v>
      </c>
      <c r="B297" t="s">
        <v>657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213</v>
      </c>
      <c r="B298" t="s">
        <v>658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371</v>
      </c>
      <c r="B299" t="s">
        <v>659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359</v>
      </c>
      <c r="B300" t="s">
        <v>660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360</v>
      </c>
      <c r="B301" t="s">
        <v>661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361</v>
      </c>
      <c r="B302" t="s">
        <v>662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362</v>
      </c>
      <c r="B303" t="s">
        <v>663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363</v>
      </c>
      <c r="B304" t="s">
        <v>664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364</v>
      </c>
      <c r="B305" t="s">
        <v>665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365</v>
      </c>
      <c r="B306" t="s">
        <v>666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366</v>
      </c>
      <c r="B307" t="s">
        <v>667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473</v>
      </c>
      <c r="B308" t="s">
        <v>668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311</v>
      </c>
      <c r="B309" t="s">
        <v>669</v>
      </c>
      <c r="C309" t="str">
        <f>IF(ISERROR(MATCH(A309,'SegEnds_Xtal_Prot#'!B:B, 0)), "NoXtal", "Xtal")</f>
        <v>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312</v>
      </c>
      <c r="B310" t="s">
        <v>670</v>
      </c>
      <c r="C310" t="str">
        <f>IF(ISERROR(MATCH(A310,'SegEnds_Xtal_Prot#'!B:B, 0)), "NoXtal", "Xtal")</f>
        <v>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671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673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674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346</v>
      </c>
      <c r="B314" t="s">
        <v>676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347</v>
      </c>
      <c r="B315" t="s">
        <v>677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348</v>
      </c>
      <c r="B316" t="s">
        <v>678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351</v>
      </c>
      <c r="B317" t="s">
        <v>679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353</v>
      </c>
      <c r="B318" t="s">
        <v>681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354</v>
      </c>
      <c r="B319" t="s">
        <v>682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235</v>
      </c>
      <c r="B320" t="s">
        <v>683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236</v>
      </c>
      <c r="B321" t="s">
        <v>684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275</v>
      </c>
      <c r="B322" t="s">
        <v>685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276</v>
      </c>
      <c r="B323" t="s">
        <v>686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277</v>
      </c>
      <c r="B324" t="s">
        <v>687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343</v>
      </c>
      <c r="B325" t="s">
        <v>688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386</v>
      </c>
      <c r="B326" t="s">
        <v>689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333</v>
      </c>
      <c r="B327" t="s">
        <v>691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332</v>
      </c>
      <c r="B328" t="s">
        <v>692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334</v>
      </c>
      <c r="B329" t="s">
        <v>693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338</v>
      </c>
      <c r="B330" t="s">
        <v>694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340</v>
      </c>
      <c r="B331" t="s">
        <v>695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341</v>
      </c>
      <c r="B332" t="s">
        <v>696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237</v>
      </c>
      <c r="B333" t="s">
        <v>718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249</v>
      </c>
      <c r="B334" t="s">
        <v>719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257</v>
      </c>
      <c r="B335" t="s">
        <v>720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262</v>
      </c>
      <c r="B336" t="s">
        <v>721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238</v>
      </c>
      <c r="B337" t="s">
        <v>722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239</v>
      </c>
      <c r="B338" t="s">
        <v>723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240</v>
      </c>
      <c r="B339" t="s">
        <v>724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242</v>
      </c>
      <c r="B340" t="s">
        <v>725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243</v>
      </c>
      <c r="B341" t="s">
        <v>726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244</v>
      </c>
      <c r="B342" t="s">
        <v>727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245</v>
      </c>
      <c r="B343" t="s">
        <v>728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246</v>
      </c>
      <c r="B344" t="s">
        <v>729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247</v>
      </c>
      <c r="B345" t="s">
        <v>730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248</v>
      </c>
      <c r="B346" t="s">
        <v>731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250</v>
      </c>
      <c r="B347" t="s">
        <v>732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251</v>
      </c>
      <c r="B348" t="s">
        <v>733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252</v>
      </c>
      <c r="B349" t="s">
        <v>734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253</v>
      </c>
      <c r="B350" t="s">
        <v>735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254</v>
      </c>
      <c r="B351" t="s">
        <v>736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255</v>
      </c>
      <c r="B352" t="s">
        <v>737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197</v>
      </c>
      <c r="B353" t="s">
        <v>738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256</v>
      </c>
      <c r="B354" t="s">
        <v>739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259</v>
      </c>
      <c r="B355" t="s">
        <v>740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313</v>
      </c>
      <c r="B356" t="s">
        <v>741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260</v>
      </c>
      <c r="B357" t="s">
        <v>742</v>
      </c>
      <c r="C357" t="str">
        <f>IF(ISERROR(MATCH(A357,'SegEnds_Xtal_Prot#'!B:B,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263</v>
      </c>
      <c r="B358" t="s">
        <v>743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264</v>
      </c>
      <c r="B359" t="s">
        <v>744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265</v>
      </c>
      <c r="B360" t="s">
        <v>745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370</v>
      </c>
      <c r="B361" t="s">
        <v>746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331</v>
      </c>
      <c r="B362" t="s">
        <v>747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266</v>
      </c>
      <c r="B363" t="s">
        <v>748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267</v>
      </c>
      <c r="B364" t="s">
        <v>749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268</v>
      </c>
      <c r="B365" t="s">
        <v>750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269</v>
      </c>
      <c r="B366" t="s">
        <v>751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270</v>
      </c>
      <c r="B367" t="s">
        <v>752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271</v>
      </c>
      <c r="B368" t="s">
        <v>753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272</v>
      </c>
      <c r="B369" t="s">
        <v>754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273</v>
      </c>
      <c r="B370" t="s">
        <v>755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212</v>
      </c>
      <c r="B371" t="s">
        <v>756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214</v>
      </c>
      <c r="B372" t="s">
        <v>757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215</v>
      </c>
      <c r="B373" t="s">
        <v>758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216</v>
      </c>
      <c r="B374" t="s">
        <v>759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217</v>
      </c>
      <c r="B375" t="s">
        <v>760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218</v>
      </c>
      <c r="B376" t="s">
        <v>761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219</v>
      </c>
      <c r="B377" t="s">
        <v>762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220</v>
      </c>
      <c r="B378" t="s">
        <v>763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221</v>
      </c>
      <c r="B379" t="s">
        <v>764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222</v>
      </c>
      <c r="B380" t="s">
        <v>765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223</v>
      </c>
      <c r="B381" t="s">
        <v>766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224</v>
      </c>
      <c r="B382" t="s">
        <v>767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225</v>
      </c>
      <c r="B383" t="s">
        <v>768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226</v>
      </c>
      <c r="B384" t="s">
        <v>769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227</v>
      </c>
      <c r="B385" t="s">
        <v>770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228</v>
      </c>
      <c r="B386" t="s">
        <v>771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229</v>
      </c>
      <c r="B387" t="s">
        <v>772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230</v>
      </c>
      <c r="B388" t="s">
        <v>773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231</v>
      </c>
      <c r="B389" t="s">
        <v>774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232</v>
      </c>
      <c r="B390" t="s">
        <v>775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233</v>
      </c>
      <c r="B391" t="s">
        <v>776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234</v>
      </c>
      <c r="B392" t="s">
        <v>777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283</v>
      </c>
      <c r="B393" t="s">
        <v>778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284</v>
      </c>
      <c r="B394" t="s">
        <v>779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285</v>
      </c>
      <c r="B395" t="s">
        <v>780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294</v>
      </c>
      <c r="B396" t="s">
        <v>781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295</v>
      </c>
      <c r="B397" t="s">
        <v>782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301</v>
      </c>
      <c r="B398" t="s">
        <v>783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302</v>
      </c>
      <c r="B399" t="s">
        <v>784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303</v>
      </c>
      <c r="B400" t="s">
        <v>785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304</v>
      </c>
      <c r="B401" t="s">
        <v>786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305</v>
      </c>
      <c r="B402" t="s">
        <v>787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306</v>
      </c>
      <c r="B403" t="s">
        <v>788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307</v>
      </c>
      <c r="B404" t="s">
        <v>789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308</v>
      </c>
      <c r="B405" t="s">
        <v>790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349</v>
      </c>
      <c r="B406" t="s">
        <v>791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350</v>
      </c>
      <c r="B407" t="s">
        <v>792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388</v>
      </c>
      <c r="B408" t="s">
        <v>793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389</v>
      </c>
      <c r="B409" t="s">
        <v>794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390</v>
      </c>
      <c r="B410" t="s">
        <v>795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391</v>
      </c>
      <c r="B411" t="s">
        <v>796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392</v>
      </c>
      <c r="B412" t="s">
        <v>797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393</v>
      </c>
      <c r="B413" t="s">
        <v>798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TEQLITLWVLFVFTIVGNSVVLFSTWRRSRMTFFVTQLAITDSFTGLVNILTDINWRFTGPDLVCRVVRYLQVVLLYASTYVLVSLSIDRYHAIVYGEKQARVLIVIAWSLSFLFSIPTLIIFGKRWTPYMTIVAFLVYFIPLTIISIMYGIVIRTIWIKSKTYETVIGLISKAKIKAIKYSIIIILAFICCWSPYFLFDILDNFNDTQERFYASVIIQNLPALNSAINPLIYCVFSSSISFPCREQRSQ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DTQERFYASVIIQNLPALNSAINPLIYCVF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304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29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FVPVVYYSLLLCLGLPANILTVIILSQLKSSYNYLLALAAADILVLFFIVFVDFLLEDFMQMPQVPDKIIEVLEFSSIHTSIWITVPLTIDRYIAVCHSYPARTRKVIVSVYITCFLTSIPYYWWPNIHHVLIWIHCFTVYLVPCSIFFILNSIIVYKLRRKRLRGYSTGKTTAILFTITSIFATLWAPRIIMILYHLYGNRWLVHIMSDIANMLALLNTAINFFLYCFISKRFRTMAAATLKA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NRWLVHIMSDIANMLALLNTAINFFLYCFI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259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29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322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25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ELAIRITLYAVIFLMSVGGNMLIIVVLGLSTVTNAFLLSLAVSDLLLAVACMPFTLLPNLMGGTVICKAVSYLMGVSVSVSTLSLVAIALERYSAICRTRSHAARVIVATWLLSGLLMVPYPVYTRVRQTWSVLLLLLLFFIPGVVMAVAYGLISRELYLGLRFDGDSDQAKLLAKKRVVRMLLVIVVLFFLCWLPVYSANTWRAFDHRALSGAPISFIHLLSYASACVNPLVYCFMHRRFRQACLETC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HRALSGAPISFIHLLSYASACVNPLVYCFM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364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29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PPSASAYVKLVLLGLIMCVSLAGNAILSLLVLKEKAPYYFLLDLCLADGIRSAVCFPFVLASVRHGSALSCKIVAFMAVLFCFHAAFMLFCISVTRYMAIAHTLWTCAAVICMAWTLSVAMAFPPVFDVGTYVQMVPAISQNWTFHGPGATGQAAANWIAGFGRGPMPPTLLLLGMDEVKGEKQLGRMFYAITLLFLLLWSPYIVACYWRVFVPHRYLATAVWMSFAQAAVNPIVCFLLNKDLKKCLRTHAPC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PPSASAYVKLVLLGLIMCVSLAGNAILSLLVLKE</v>
      </c>
      <c r="G10" s="4" t="str">
        <f t="shared" si="2"/>
        <v>RALH</v>
      </c>
      <c r="H10" s="4" t="str">
        <f t="shared" si="3"/>
        <v>KAPYYFLLDLCLADGIRSAVCFPFVLASVRHG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TLWTCAAVICMAWTLSVAMAFPPVFDVGTY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NKDLKKCLRTHAPC</v>
      </c>
      <c r="R10" s="5">
        <f>VLOOKUP($A10,'SegEnds_NonXtal_Prot#'!$A:$AL,3,FALSE)</f>
        <v>17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86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165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357</v>
      </c>
      <c r="AP10" s="5">
        <f t="shared" si="13"/>
        <v>33</v>
      </c>
      <c r="AQ10" s="4">
        <f t="shared" si="14"/>
        <v>3</v>
      </c>
      <c r="AR10" s="4">
        <f t="shared" si="15"/>
        <v>31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29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13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'SegEnds_NonXtal_Prot#'!A180</f>
        <v>mrgrd_human</v>
      </c>
      <c r="B15" s="1" t="str">
        <f t="shared" si="0"/>
        <v>HTAYLVLSSLAMFTCLCGMAGNSMVIWLLGFRNPFCIYILNLAAADLLFLFSMASTLSLETQTDKVHELMKRLMYFAYTVGLSLLTAISTQRCLSVLFPRHLSAWVCGLLWTLCLLMNGLTSSFCDRCFRVDMVQAALIMGVLTPVMTLSSLTLFVWVRRSSQRQPTRLFVVVLASVLVFLICSLPLSIYWFVLYWLQVLCFSLSRLSSSVSSSANPVIYFLVGSRRSHRLPT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</v>
      </c>
      <c r="R15" s="5">
        <f>VLOOKUP($A15,'SegEnds_NonXtal_Prot#'!$A:$AL,3,FALSE)</f>
        <v>24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289</v>
      </c>
      <c r="AP15" s="5">
        <f t="shared" si="13"/>
        <v>31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9</v>
      </c>
    </row>
    <row r="16" spans="1:53" x14ac:dyDescent="0.2">
      <c r="A16" s="1" t="str">
        <f>'SegEnds_NonXtal_Prot#'!A183</f>
        <v>mrgrg_human</v>
      </c>
      <c r="B16" s="1" t="str">
        <f t="shared" si="0"/>
        <v>WRTFDSVVFYLTLIVGLGGPVGNGLVLWNLGFRGPFSIYLLHLAAADFLFLSCRVGFSVAQDTLYFVLTFLWFAVGLWLLAAFSVERCLSDLFPRHASAVLCALVWTPTLPAVPLPANACCPRYHVASVTWFLVLARVAWTAGVVLFVWVTCCSRPRLYGIVLGALLLLFFCGLPSVFYWSLQPLLPVFSPLATLLACVNSSSKPLIYSGLGRQPGKREPLRSVLR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WRTFDSVVFYLTLIVGLGGPVGNGLVLWNLGFR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8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32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'SegEnds_NonXtal_Prot#'!A190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PSWLASALACVLIFTIVVDILGNLLVILSVYRNNAGNIFVVSLAVADLVVAIYPYPLVLMSIFNNGYLHCQVSGFLMGLSVIGSIFNITGIAINRYCYICHSSKNSLCYVLLIWLLTLAAVLPNLRAGSSAYTIAVVVFHFLVPMIIVIFCYLRIWILVLQVRQRVPKLKPQDFRNFVTMFVVFVLFAICWAPLNFIGLAVASDPEWLFVASYYMAYFNSCLNAIIYGLLNQNFRKEYRRIIVSLCT</v>
      </c>
      <c r="C17" s="29" t="str">
        <f>IF(ISERROR(MATCH(A17,'SegEnds_Xtal_Prot#'!B:B, 0)), "NoXtal", "Xtal")</f>
        <v>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PEWLFVASYYMAYFNSCLNAIIYGLL</v>
      </c>
      <c r="Q17" s="4" t="str">
        <f t="shared" si="12"/>
        <v>NQNFRKEYRRIIVSLCT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273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315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25</v>
      </c>
      <c r="BA17" s="4">
        <f t="shared" si="24"/>
        <v>16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SVGPATSTLMFVAGVVGNGLALGILSSAFAVLVTGLAATDLLGTSFLSPAVFVAYARARGGPALCDAFAFAMTFFGLASMLILFAMAVERCLALSHGPRCARLALPAIYAFCVLFCALPLLGGGAAFSLAYAGLVALLVAAIFLCNGSVTLSLCRMYRQQKRHPRPRTGEDEVDHLILLALMTVVMAVCSLPLTIRCFTQAVASEMGDLLAFRFYAFNPILDPWVFILFRKAVFQRLKLWVCC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180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40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'SegEnds_NonXtal_Prot#'!A247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KSVLLYTLSFIYIFIFVIGMIANSVVVWVNIQAYDTHCYILNLAIADLWVVLTIPVWVVSLVQGELTCKVTHLIFSINLFGSIFFLTCMSVDRYLSITYKKMVRRVVCILVWLLAFCVSLPDTYYLWLIGMELVSVVLGFAVPFSIIAVFYFLLARAISASKHSSRKIIFSYVVVFLVCWLPYHVAVLLDIFSILHTCRLEHALFTALHVTQCLSLVHCCVNPVLYSFINRNYRYELMKAFIFK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KSVLLYTLSFIYIFIFVIGMIANSVVVWVNIQA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40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32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TATLVTCTFLLAVIFCLGSYGNFIVFLSFFDPTNFDFMILNLSFCDLFICGVTAPMFTFVLFFSSIPDAFCFTFHLTSSGFIIMSLKTVAVIALHRLRMVLGSFPCTVLLTLLLWATSFTLATLATLKGKAILSLYVVDFTFCVAVVSVSYIMIAQTLRKNAQVRKCPPNLSTAKDSKAVVTCVIIVLSVLVCCLPLGISLVQVVLSLYQFELFGFTLIFFKSGLNPFIYSRNSAGLRRKVLWCLQ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181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392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24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'SegEnds_NonXtal_Prot#'!A295</f>
        <v>pkr2_human</v>
      </c>
      <c r="B29" s="1" t="str">
        <f t="shared" si="0"/>
        <v>FFAAKIVIGIALAGIMLVCGIGNFVFIAALTRYNLTNLLIANLAISDFLVAIICCPFEMDYYVVRGHVLCASVNYLRTVSLYVSTNALLAIAIDRYLAIVHNYQTASFLIALVWMVSILIAIPSAYFAQQLYYKSYFLFIFGVEFVGPVVTMTLCYARISRELWFKAVPGFQIRKRLRCRRKTVLVLMCILTAYVLCWAPFYGFTIVRDFFEKHYLTAFYVVECIAMSNSMINTVCFVTVNNTMKYFKKMML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FFAAKIVIGIALAGIMLVCGIGNFVFIAALTRY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QQLYYKSYFLFIFGVEFVGPVVTMTLCYARISRELWFKAVPGF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49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216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32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42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'SegEnds_NonXtal_Prot#'!A321</f>
        <v>agrd2_human</v>
      </c>
      <c r="B30" s="1" t="str">
        <f t="shared" si="0"/>
        <v>YEVQRGPEEESLLRTLSFVGCGVSFCALTTTFLLFLVASERTTVHKNLTFSLASAEGFLMTSEWAVACVAVTVAMHFLFLVAFSWMLVEGLLLWRKVVAPGPGMRLYHATGWGVPVGIVAVTLAMLPHDYHTNAIWAFVGPVLFVLTANTCILARVVMITVSSAKPVLVLLPVLGLTWLAGILVHLAWAYAAVGLNSIQGLYIFLVYAACNEEVRSALQRMAEKKVA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757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30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'SegEnds_NonXtal_Prot#'!A327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'SegEnds_NonXtal_Prot#'!A347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'SegEnds_NonXtal_Prot#'!A358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'SegEnds_NonXtal_Prot#'!A366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'SegEnds_NonXtal_Prot#'!A370</f>
        <v>fzd1_human</v>
      </c>
      <c r="B35" s="1" t="str">
        <f t="shared" si="0"/>
        <v>GPEELRFSRTWIGIWSVLCCASTLFTVLTYLVDYPERPIIFLSGCYTAVAVAYIAGFLLEKEGCTILFMMLYFFSMASSIWWVILSLTWFLAAGNSQYFHLAAWAVPAIKTITILALGNVDALRGFVLAPLFVYLFIGTSFLLAGFVSLFRIRTIMEKLMVRIGVFSVLYTVPATIVIACYFYEQAFRDQWERSWVAQSCKSYAIPCDFTVFMIKYLMTLIVGITSGFWIWSGKTLNSWRKFYTRLT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YPERPIIFLSGCYTAVAVAYIAGFLLE</v>
      </c>
      <c r="I35" s="4" t="str">
        <f t="shared" si="4"/>
        <v/>
      </c>
      <c r="J35" s="4" t="str">
        <f t="shared" si="5"/>
        <v>KEGCTILFMMLYFFSMASSIWWVILSLTWFLAAG</v>
      </c>
      <c r="K35" s="4" t="str">
        <f t="shared" si="6"/>
        <v/>
      </c>
      <c r="L35" s="4" t="str">
        <f t="shared" si="7"/>
        <v>NSQYFHLAAWAVPAIKTITILALG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399</v>
      </c>
      <c r="W35" s="5" t="str">
        <f>VLOOKUP($A35,'SegEnds_NonXtal_Prot#'!$A:$AL,18,FALSE)</f>
        <v>-</v>
      </c>
      <c r="X35" s="5">
        <f>VLOOKUP($A35,'SegEnds_NonXtal_Prot#'!$A:$AL,21,FALSE)</f>
        <v>443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531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376</v>
      </c>
      <c r="AG35" s="5" t="str">
        <f>VLOOKUP($A35,'SegEnds_NonXtal_Prot#'!$A:$AL,14,FALSE)</f>
        <v>-</v>
      </c>
      <c r="AH35" s="5">
        <f>VLOOKUP($A35,'SegEnds_NonXtal_Prot#'!$A:$AL,17,FALSE)</f>
        <v>432</v>
      </c>
      <c r="AI35" s="5" t="str">
        <f>VLOOKUP($A35,'SegEnds_NonXtal_Prot#'!$A:$AL,20,FALSE)</f>
        <v>-</v>
      </c>
      <c r="AJ35" s="5">
        <f>VLOOKUP($A35,'SegEnds_NonXtal_Prot#'!$A:$AL,23,FALSE)</f>
        <v>466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26</v>
      </c>
      <c r="AS35" s="4" t="str">
        <f t="shared" si="16"/>
        <v>-</v>
      </c>
      <c r="AT35" s="4">
        <f t="shared" si="17"/>
        <v>33</v>
      </c>
      <c r="AU35" s="4" t="str">
        <f t="shared" si="18"/>
        <v>-</v>
      </c>
      <c r="AV35" s="4">
        <f t="shared" si="19"/>
        <v>23</v>
      </c>
      <c r="AW35" s="4">
        <f t="shared" si="20"/>
        <v>2</v>
      </c>
      <c r="AX35" s="4">
        <f t="shared" si="21"/>
        <v>37</v>
      </c>
      <c r="AY35" s="4">
        <f t="shared" si="22"/>
        <v>50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'SegEnds_NonXtal_Prot#'!A387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'SegEnds_NonXtal_Prot#'!A396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'SegEnds_NonXtal_Prot#'!A402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KIRVTVTFFLFLLSATFNASFLLKLQKWRMKLLLKHLTLANLLETLIVMPLDGMWNIGELLCKVLSYLKLFSMYAPAFMMVVISLDRSLAITRNSKVGQSMVGLAWILSSVFAGPQLYIFSQWWHQAFYNFFTFSCLFIIPLFIMLICNAKIIFTLTRVLHQDPHQSKNNIPRARLKTLKMTVAFATSFTVCWTPYYVLGIWYWFDEMLNRLSDPVNHFFFLFAFLNPCFDPLIYGYF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EMLNRLSDPVNHFFFLFAFLNPCFDPLIYGYF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295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31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VSLTGFLMLEIVLGLGSNLTVLVLYCMKNSVSNIITMNLHVLDVIICVGCIPLTIVILLLSTALICCFHEACVSFASVSTAINVFAITLDRYDISVKTMGRAVMLMISIWIFSFFSFLIPFIEGMYYHLLVQIPIFFFTVVVMLITYTKILQALNIRIGTRFSRERRERQKRVFRMSLLIISTFLLCWTPISVLNTTILCLLVKLRLCFLVMAYGTTIFHPLLYAFTRQKFQKVLKSKMKK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VSLTGFLMLEIVLGLGSNLTVLVLYCMK</v>
      </c>
      <c r="G41" s="4" t="str">
        <f t="shared" si="2"/>
        <v>SNLI</v>
      </c>
      <c r="H41" s="4" t="str">
        <f t="shared" si="3"/>
        <v>NSVSNIITMNLHVLDVIICVGCIPLTIVILLLS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RQKFQKVLKSKMKK</v>
      </c>
      <c r="R41" s="5">
        <f>VLOOKUP($A41,'SegEnds_NonXtal_Prot#'!$A:$AL,3,FALSE)</f>
        <v>42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106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384</v>
      </c>
      <c r="AP41" s="5">
        <f t="shared" si="13"/>
        <v>27</v>
      </c>
      <c r="AQ41" s="4">
        <f t="shared" si="14"/>
        <v>3</v>
      </c>
      <c r="AR41" s="4">
        <f t="shared" si="15"/>
        <v>32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13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DPYAFGLVQLLCHWLAMSSACYNPFIYAWL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309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29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SPCVAGVIPVIYYSVLLGLGLPVSLLTAVALARLRPSYYYLLALTASDIIIQVVIVFAGFLLQGARQVPQAVVRTANILEFAANHASVWIAILLTVDRYTALCHSSPGRTRRAIAAVLSAALLTGIPFYWWLDMDEVLKWAHCLTVYFIPCGVFLVTNSAIIHRLRRLQPRVGKSTAILLGITTLFTLLWAPRVFVMLYHMYVRDWRVHLALDVANMVAMLHTAANFGLYCFVSKTFRATVRQVIHD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SPCVAGVIPVIYYSVLLGLGLPVSLLTAVALARL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RDWRVHLALDVANMVAMLHTAANFGLYCFV</v>
      </c>
      <c r="Q48" s="4" t="str">
        <f t="shared" si="12"/>
        <v>SKTFRATVRQVIHD</v>
      </c>
      <c r="R48" s="5">
        <f>VLOOKUP($A48,'SegEnds_NonXtal_Prot#'!$A:$AL,3,FALSE)</f>
        <v>151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388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33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29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TIIPALLVAVCLVGFVGNLCVIGILLHNSMIHSLILNLSLADLSLLLFSAPIRATAYSGWFVCKSSDWFIHTCMAAKSLTIVVVAKVCFMYASDHNYTIWSVLVAIWTVASLLPLPEWFFSVAEEFMSMFGKLYPLLAFGLPLFFASFYFWRAYDQCKKRNLRNQIRSKQVTVMLLSIAIISALLWLPEWVAWLWVWHLAAGPAPPQGFIALSQVLMFSISSANPLIFLVMSEEFREGLKGVWKWM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AAGPAPPQGFIALSQVLMFSISSANPLIFLVM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278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31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PRWVYHLTSVWMIFVVTASVFTNGLVLAATMKFHPLNWILVNLAVADLAETVIASTISIVNQVSLGHPMCVLEGYTVSLCGITGLWSLAIISWERWLVVCKDAKLAIVGIAFSWIWSAVWTAPPIFGVQSYMIVLMVTCCIIPLAIIMLCYLQVWLAIRAVAKQQESTQKAEKEVTRMVVVMIFAYCVCWGPYTFFACFAAANHPLMAALPAYFAKSATIYNPVIYVFMNRQFRNCILQLFG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PRWVYHLTSVWMIFVVTASVFTNGLVLAATMKF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49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32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SSLEDLVATGTIGTLLSAMGVVGVVGNAYTLVVTCRSASMYVYVVNLALADLLYLLSIPFIVATYVTGDVGCRVLFGLDFLTMHASIFTLTVMSSERYAAVLRPKGYRKLLALGTWLLALLLTLPVMLAMWGPRAHRAYLTLLFATSIAGPGLLIGLLYARLARAYRRSQRASPGARALRLVLGIVLLFWACFLPFWLWQLLAQYHAPLAPRTARIVNYLTTCLTYGNSCANPFLYTLLTRNYRDHLRGRVR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WGPRAHRAYLTLLFATSIAGPGLLIGLLYARLARAYRRSQRAS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APLAPRTARIVNYLTTCLTYGNSCANPFLYTLL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43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203</v>
      </c>
      <c r="AA66" s="5">
        <f>VLOOKUP($A66,'SegEnds_NonXtal_Prot#'!$A:$AL,30,FALSE)</f>
        <v>252</v>
      </c>
      <c r="AB66" s="5">
        <f>VLOOKUP($A66,'SegEnds_NonXtal_Prot#'!$A:$AL,33,FALSE)</f>
        <v>286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36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42</v>
      </c>
      <c r="AY66" s="4">
        <f t="shared" ref="AY66:AY129" si="47">IFERROR(AM66-AA66,"-")</f>
        <v>32</v>
      </c>
      <c r="AZ66" s="4">
        <f t="shared" ref="AZ66:AZ129" si="48">IFERROR(AN66-AB66,"-")</f>
        <v>32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LAKLEIAVLAVTFAVAVLGNSSVLLALHRTSRMHLFIRHLSLADLAVAFFQVLPQMCWDIRGPDWLCRVVKHLQVFGMFASAYMLVVMTADRYIAVCHPARRSRLMIAAAWVLSFVLSTPQYFVFWGSRAYVTWMTGGIFVAPVVILGTCYGFICYNIWCNVRGKTASRKSISRAKIRTVKMTFVIVTAYIVCWAPFFIIQMWSVWDWTESENPTITITALLGSLNSCCNPWIYMFFSGHLLQDCVQSF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WTESENPTITITALLGSLNSCCNPWIYMFF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322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29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ELAKVEIGVLATVLVLATGGNLAVLLTLGQLSRMHLFVLHLALTDLAVALFQVLPQLLWDIQGPDLLCRAVKYLQVLSMFASTYMLLAMTLDRYLAVCHPGQSTYLLIAAPWLLAAIFSLPQVFIFPRAYLTWTTLAIFVLPVTMLTACYSLICHEICKNLKVKTQAWNTISRAKIRTVKMTFVIVLAYIACWAPFFSVQMWSVWDTNVAFTISMLLGNLNSCCNPWIYMGFNSHLLPRPLRHLACCGG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PRAYLTWTTLAIFVLPVTMLTACYSLICHEICKNLKVKTQAW</v>
      </c>
      <c r="O68" s="4" t="str">
        <f t="shared" si="35"/>
        <v>NTISRAKIRTVKMTFVIVLAYIACWAPFFSVQMWSVWD</v>
      </c>
      <c r="P68" s="4" t="str">
        <f t="shared" si="36"/>
        <v>TNVAFTISMLLGNLNSCCNPWIYMGF</v>
      </c>
      <c r="Q68" s="4" t="str">
        <f t="shared" si="37"/>
        <v>NSHLLPRPLRHLACCGG</v>
      </c>
      <c r="R68" s="5">
        <f>VLOOKUP($A68,'SegEnds_NonXtal_Prot#'!$A:$AL,3,FALSE)</f>
        <v>32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196</v>
      </c>
      <c r="AA68" s="5">
        <f>VLOOKUP($A68,'SegEnds_NonXtal_Prot#'!$A:$AL,30,FALSE)</f>
        <v>270</v>
      </c>
      <c r="AB68" s="5">
        <f>VLOOKUP($A68,'SegEnds_NonXtal_Prot#'!$A:$AL,33,FALSE)</f>
        <v>316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358</v>
      </c>
      <c r="AP68" s="5">
        <f t="shared" si="38"/>
        <v>30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41</v>
      </c>
      <c r="AY68" s="4">
        <f t="shared" si="47"/>
        <v>37</v>
      </c>
      <c r="AZ68" s="4">
        <f t="shared" si="48"/>
        <v>25</v>
      </c>
      <c r="BA68" s="4">
        <f t="shared" si="49"/>
        <v>16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LHLQEKNWSALLTAVVIILTIAGNILVIMAVSLENATNYFLMSLAIADMLLGFLVMPVSMLTILYGPSKLCAVWIYLDVLFSTASIMHLCAISLDRYVAIQNSRTKAFLKIIAVWTISVGISMPIPVFGLQDDDNFVLIGSFVSFFIPLTIMVITYFLTIKSLQKEATLCVSDLMQSISNEQKACKVLGIVFFLFVVMWCPFFITNIMAVICNEDVIGALLNVFVWIGYLSSAVNPLVYTLFNKTYRSAFSRYIQC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LHLQEKNWSALLTAVVIILTIAGNILVIMAVSLE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69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33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EGFGSVEKVVLLTFLSTVILMAILGNLLVMVAVCWDKIKTNYFIVSLAFADLLVSVLVMPFGAIELVQGEVFCLVRTSLDVLLTTASIFHLCCISLDRYYAICCTPLRIALMLGGCWVIPTFISFLPIMQGNKPYAITCSVVAFYIPFLLMVLAYYRIYVTAKEHAHQIQMLQTHRMRTETKAAKTLCIIMGCFCLCWAPFFVTNIVDPFIPGQVWTAFLWLGYINSGLNPFLYAFLNKSFRRAFLIILC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EGFGSVEKVVLLTFLSTVILMAILGNLLVMVAVCWD</v>
      </c>
      <c r="G77" s="4" t="str">
        <f t="shared" si="27"/>
        <v>RQLR</v>
      </c>
      <c r="H77" s="4" t="str">
        <f t="shared" si="28"/>
        <v>KIKTNYFIVSLAFADLLVSVLVMPFGAIELVQ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TPLRIALMLGGCWVIPTFISFLPIMQG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12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83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160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35</v>
      </c>
      <c r="AQ77" s="4">
        <f t="shared" si="39"/>
        <v>3</v>
      </c>
      <c r="AR77" s="4">
        <f t="shared" si="40"/>
        <v>31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268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VVSFGKVFLPVFYSLIFVLGLSGNLLLLMVLLRYRMVEIYLLNLAISNLLFLVTLPFWGISVAWGSFLCKMVSTLYTINFYSGIFFISCMSLDKYLEIVHTRAKSLLLATIVWAVSLAVSIPDMVFVGTIWKLFLRFQQNLLGFLLPLLAMIFFYSRIGCVLVRLQGRALKIAAALVVAFFVLWFPYNLTLFLHTLLDLQNCEVSQHLDYALQVTESIAFLHCCFSPILYAFSSHRFRQYLKAFL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</v>
      </c>
      <c r="R83" s="5">
        <f>VLOOKUP($A83,'SegEnds_NonXtal_Prot#'!$A:$AL,3,FALSE)</f>
        <v>41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203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327</v>
      </c>
      <c r="AP83" s="5">
        <f t="shared" si="38"/>
        <v>33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37</v>
      </c>
      <c r="AY83" s="4">
        <f t="shared" si="47"/>
        <v>34</v>
      </c>
      <c r="AZ83" s="4">
        <f t="shared" si="48"/>
        <v>32</v>
      </c>
      <c r="BA83" s="4">
        <f t="shared" si="49"/>
        <v>11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TVWQVVFIAFLTGILALVTIIGNILVIVSFKVNTVNNYFLLSLACADLIIGVISMNLFTTYIIMGNLACDLWLAIDYVASNASVMNLLVISFDRYFSITRTTKRAGVMIGLAWVISFVLWAPAILFWQYFVGEPTITFGTAIAAFYMPVTIMTILYWRIYKETEKRTKELAGLRMSLVKEKKAAQTLSAILLAFIITWTPYNIMVLVNTFCPKTFWNLGYWLCYINSTVNPVCYALCNKTFRTTFKMLLLC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TVWQVVFIAFLTGILALVTIIGNILVIVSFKVN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NKTFRTTFKMLLLC</v>
      </c>
      <c r="R86" s="5">
        <f>VLOOKUP($A86,'SegEnds_NonXtal_Prot#'!$A:$AL,3,FALSE)</f>
        <v>64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561</v>
      </c>
      <c r="AP86" s="5">
        <f t="shared" si="38"/>
        <v>32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13</v>
      </c>
    </row>
    <row r="87" spans="1:53" x14ac:dyDescent="0.2">
      <c r="A87" s="1" t="str">
        <f>'SegEnds_NonXtal_Prot#'!A58</f>
        <v>acm3_rat</v>
      </c>
      <c r="B87" s="1" t="str">
        <f t="shared" si="25"/>
        <v>TIWQVVFIAFLTGFLALVTIIGNILVIVAFKVNTVNNYFLLSLACADLIIGVISMNLFTTYIIMGNLACDLWLSIDYVASNASVMNLLVISFDRYFSITRTTKRAGVMIGLAWVISFVLWAPAILFWQYFVGEPTITFGTAIAAFYMPVTIMTILYWRIYKETEKRTKELAGLRMSLIKEKKAAQTLSAILLAFIITWTPYNIMVLVNTFCPKTYWNLGYWLCYINSTVNPVCYALCNKTFRTTFKTLLLC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TIWQVVFIAFLTGFLALVTIIGNILVIVAFKVN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NKTFRTTFKTLLLC</v>
      </c>
      <c r="R87" s="5">
        <f>VLOOKUP($A87,'SegEnds_NonXtal_Prot#'!$A:$AL,3,FALSE)</f>
        <v>63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560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13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RLWEVITIAAVTAVVSLITIVGNVLVMISFKVNTVNNYYLLSLACADLIIGIFSMNLYTTYILMGSLACDLWLALDYVASNASVMNLLVISFDRYFSITRTPKRAGIMIGLAWLISFILWAPAILCWQYLVGEPTITFGTAIAAFYIPVSVMTILYCRIYRETEKRTKDLADLRVVLVKERKAAQTLSAILLAFIITWTPYNIMVLVSTFCPVTLWHLGYWLCYVNSTVNPICYALCNRTFRKTFKMLLLC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RLWEVITIAAVTAVVSLITIVGNVLVMISFKVN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NRTFRKTFKMLLLC</v>
      </c>
      <c r="R89" s="5">
        <f>VLOOKUP($A89,'SegEnds_NonXtal_Prot#'!$A:$AL,3,FALSE)</f>
        <v>26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512</v>
      </c>
      <c r="AP89" s="5">
        <f t="shared" si="38"/>
        <v>32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13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253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26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APVNISKAILLGVILGGLILFGVLGNILVILSVACHSVTHYYIVNLAVADLLLTSTVLPFSAIFEVLGRVFCNIWAAVDVLCCTASIMGLCIISIDRYIGVSYTQRRGLMALLCVWALSLVISIGPLFGWEPGYVLFSALGSFYLPLAIILVMYCRVYVVAKRESRGLKSGLLLKFSREKKAAKTLGIVVGCFVLCWLPFFLVMPIGSFFSETVFKIVFWLGYLNSCINPIIYPCSSQEFKKAFQNVLR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APVNISKAILLGVILGGLILFGVLGNILVILSVACH</v>
      </c>
      <c r="G91" s="4" t="str">
        <f t="shared" si="27"/>
        <v>RHLH</v>
      </c>
      <c r="H91" s="4" t="str">
        <f t="shared" si="28"/>
        <v>SVTHYYIVNLAVADLLLTSTVLPFSAIFEVL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TQRRGLMALLCVWALSLVISIGPLFGW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19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89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165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35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26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GLVVSAQGVGVGVFLAAFILMAVAGNLLVILSVACNTVTNYFIVNLAVADLLLSATVLPFSATMEVLGRAFCDVWAAVDVLCCTASILSLCTISVDRYVGVRHTERKAAAILALLWVVALVVSVGPLLGWEAGYAVFSSVCSFYLPMAVIVVMYCRVYVVARSTTRSLEALLKFSREKKAAKTLAIVVGVFVLCWFPFFFVLPLGSLFSEGVFKVIFWLGYFNSCVNPLIYPCSSREFKRAFLRLLR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GLVVSAQGVGVGVFLAAFILMAVAGNLLVILSVACN</v>
      </c>
      <c r="G93" s="4" t="str">
        <f t="shared" si="27"/>
        <v>RHLQ</v>
      </c>
      <c r="H93" s="4" t="str">
        <f t="shared" si="28"/>
        <v>TVTNYFIVNLAVADLLLSATVLPFSATMEVL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TERKAAAILALLWVVALVVSVGPLLGW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89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159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235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35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26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HNYIFVMIPTLYSIIFVVGIFGNSLVVIVIYFYTVASVFLLNLALADLCFLLTLPLWAVYTAMGNYLCKIASASVSFNLYASVFLLTCLSIDRYLAIVHTMLVAKVTCIIIWLLAGLASLPAIIHRLPIGLGLTKNILGFLFPFLIILTSYTLIWKALKKAQKNKPRNDDIFKIIMAIVLFFFFSWIPHQIFTFLDVLIQLGDCRIADIVDTAMPITICIAYFNNCLNPLFYGFLGKKFKRYFLQLLKYI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HNYIFVMIPTLYSIIFVVGIFGNSLVVIVIYFY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24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32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WDLLHRVLPTFIISICFFGLLGNLFVLLVFLLPNVAEIYLANLAASDLVFVLGLPFWAENIWNGALLCRVINGVIKANLFISIFLVVAISQDRYRVLVHRRRQARVTCVLIWVVGGLLSIPTFLLRWHFARIVELNILGFLLPLAAIVFFNYHILASLRTRTRCGGRKDSKTTALILTLVVAFLVCWAPYHFFAFLEFLFQVQGCFWEDFIDLGLQLANFFAFTNSSLNPVIYVFVGRLFRTKVWELYKQC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WDLLHRVLPTFIISICFFGLLGNLFVLLVFLLP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33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32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IDDFRNQVYSTLYSMISVVGFFGNGFVLYVLIKTYSAFQVYMINLAVADLLCVCTLPLRVVYYVHKGDFLCRLSTYALYVNLYCSIFFMTAMSFFRCIAIVFTQKKARFVCVGIWIFVILTSSPFLMANHVLVLHYVSLFVGFIIPFVIIIVCYTMIILTLLKNLSSHKKAIGMIMVVTAAFLVSFMPYHIQRTIHLHFLHNPCDSVLRMQKSVVITLSLAASNCCFDPLLYFFSGGNFRKRLSTFRKHSLS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IDDFRNQVYSTLYSMISVVGFFGNGFVLYVLIKTY</v>
      </c>
      <c r="G116" s="4" t="str">
        <f t="shared" si="27"/>
        <v/>
      </c>
      <c r="H116" s="4" t="str">
        <f t="shared" si="28"/>
        <v>SAFQVYMINLAVADLLCVCTLPLRVVYYVHK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</v>
      </c>
      <c r="M116" s="4" t="str">
        <f t="shared" si="33"/>
        <v>CFE</v>
      </c>
      <c r="N116" s="4" t="str">
        <f t="shared" si="34"/>
        <v>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PCDSVLRMQKSVVITLSLAASNCCFDPLLYFFSGGN</v>
      </c>
      <c r="Q116" s="4" t="str">
        <f t="shared" si="37"/>
        <v>FRKRLSTFRKHSLS</v>
      </c>
      <c r="R116" s="5">
        <f>VLOOKUP($A116,'SegEnds_NonXtal_Prot#'!$A:$AL,3,FALSE)</f>
        <v>18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184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302</v>
      </c>
      <c r="AD116" s="5">
        <f>VLOOKUP($A116,'SegEnds_NonXtal_Prot#'!$A:$AL,5,FALSE)</f>
        <v>52</v>
      </c>
      <c r="AE116" s="5" t="str">
        <f>VLOOKUP($A116,'SegEnds_NonXtal_Prot#'!$A:$AL,8,FALSE)</f>
        <v>-</v>
      </c>
      <c r="AF116" s="5">
        <f>VLOOKUP($A116,'SegEnds_NonXtal_Prot#'!$A:$AL,11,FALSE)</f>
        <v>86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161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301</v>
      </c>
      <c r="AO116" s="5">
        <f>VLOOKUP($A116,'SegEnds_NonXtal_Prot#'!$A:$AL,38,FALSE)</f>
        <v>315</v>
      </c>
      <c r="AP116" s="5">
        <f t="shared" si="38"/>
        <v>34</v>
      </c>
      <c r="AQ116" s="4" t="str">
        <f t="shared" si="39"/>
        <v>-</v>
      </c>
      <c r="AR116" s="4">
        <f t="shared" si="40"/>
        <v>30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25</v>
      </c>
      <c r="AW116" s="4">
        <f t="shared" si="45"/>
        <v>2</v>
      </c>
      <c r="AX116" s="4">
        <f t="shared" si="46"/>
        <v>34</v>
      </c>
      <c r="AY116" s="4">
        <f t="shared" si="47"/>
        <v>38</v>
      </c>
      <c r="AZ116" s="4">
        <f t="shared" si="48"/>
        <v>35</v>
      </c>
      <c r="BA116" s="4">
        <f t="shared" si="49"/>
        <v>13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ARVTRIFLVVVYSIVCFLGILGNGLVIIIATFKTVNMVWFLNLAVADFLFNVFLPIHITYAAMGTAMCKISNFLLIHNMFTSVFLLTIISSDRCISVLLSVRLAYMACMVIWVLAFFLSSPSLVFRRHMVVTVTRFLCGFLVPVLIITACYLTIVCKLQRNTKKPFKIIVTIIITFFLCWCPYHTLNLLELHHAMPGSVFSLGLPLATALAIANSCMNPILYVFMGQDFKKFKVALFSRL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ARVTRIFLVVVYSIVCFLGILGNGLVIIIATFK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AMPGSVFSLGLPLATALAIANSCMNPILYVFM</v>
      </c>
      <c r="Q118" s="4" t="str">
        <f t="shared" si="37"/>
        <v>GQDFKKFKVALFSRL</v>
      </c>
      <c r="R118" s="5">
        <f>VLOOKUP($A118,'SegEnds_NonXtal_Prot#'!$A:$AL,3,FALSE)</f>
        <v>36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288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32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31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SGPQKTAVAVLCTLLGLLSALENVAVLYLILSSKPSYLFIGSLAGADFLASVVFACSFVNFHVSKAVFLLKIGSVTMTFTASVGSLLLTAIDRYLCLRYTRGRALVTLGIMWVLSALVSYLPLMGPNDYLLSWLLFIAFLFSGIIYTYGHVLWKAHQHVASLSGVPGMARMRLDVRLAKTLGLVLAVLLICWFPVLALMAHSLATSDQVKKAFAFCSMLCLINSMVNPVIYALRSGEIRSSAHHCLAHWKK</v>
      </c>
      <c r="C120" s="29" t="str">
        <f>IF(ISERROR(MATCH(A120,'SegEnds_Xtal_Prot#'!B:B, 0)), "NoXtal", "Xtal")</f>
        <v>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SDQVKKAFAFCSMLCLINSMVNPVIYALR</v>
      </c>
      <c r="Q120" s="4" t="str">
        <f t="shared" si="37"/>
        <v>SGEIRSSAHHCLAHWKK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67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274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319</v>
      </c>
      <c r="AP120" s="5">
        <f t="shared" si="38"/>
        <v>32</v>
      </c>
      <c r="AQ120" s="4">
        <f t="shared" si="39"/>
        <v>3</v>
      </c>
      <c r="AR120" s="4">
        <f t="shared" si="40"/>
        <v>29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28</v>
      </c>
      <c r="BA120" s="4">
        <f t="shared" si="49"/>
        <v>16</v>
      </c>
    </row>
    <row r="121" spans="1:53" x14ac:dyDescent="0.2">
      <c r="A121" s="1" t="str">
        <f>'SegEnds_NonXtal_Prot#'!A92</f>
        <v>cx3c1_human</v>
      </c>
      <c r="B121" s="1" t="str">
        <f t="shared" si="25"/>
        <v>IVVFGTVFLSIFYSVIFAIGLVGNLLVVFALTNSSVTDIYLLNLALSDLLFVATLPFWTHYLINMCKFTTAFFFIGFFGSIFFITVISIDRYLAIVLTVQHGVTISLGVWAAAILVAAPQFMFTQEIWPVLRNVETNFLGFLLPLLIMSYCYFRIIQTLFSCKAKAIKLILLVVIVFFLFWTPYNVMIFLETLKLYDSCDMRKDLRLALSVTETVAFSHCCLNPLIYAFAGEKFRRYLYHLY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</v>
      </c>
      <c r="R121" s="5">
        <f>VLOOKUP($A121,'SegEnds_NonXtal_Prot#'!$A:$AL,3,FALSE)</f>
        <v>26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184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308</v>
      </c>
      <c r="AP121" s="5">
        <f t="shared" si="38"/>
        <v>33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37</v>
      </c>
      <c r="AY121" s="4">
        <f t="shared" si="47"/>
        <v>34</v>
      </c>
      <c r="AZ121" s="4">
        <f t="shared" si="48"/>
        <v>32</v>
      </c>
      <c r="BA121" s="4">
        <f t="shared" si="49"/>
        <v>11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LYPVTESSYSAYAIMLLALVVFAVGIVGNLSVMCIVWHSSAWNSILASLALWDFLVLFFCLPIVIFNEITGDVSCRAVPFMEVSSLGVTTFSLCALGIDRFHVATSRCQSILAKLAVIWVGSMTLAVPELLLWYSLVMTYQNARMWWYFGCYFCLPILFTVTCQLVTWRVRGPPGRKSSKHEQCESQLNSTVVGLTVVYAFCTLPENVCNIVVAYLTELTRQTLDLLGLINQFSTFFKGAITPVLLLCICRPLGQAFLDCCCC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TELTRQTLDLLGLINQFSTFFKGAITPVLLLCI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387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LAAVETTVLVLIFAVSLLGNVCALVLVARRGATACLVLNLFCADLLFISAIPLVLAVRWTGPVACHLLFYVMTLSGSVTILTLAAVSLERMVCIVHGRRARAVLLALIWGYSAVAALPLCVFFPGEISWDVSFVTLNFLVPGLVIVISYSKILQTSEHLLDARAVVTIRVSQQDFRLFRTLFLLMVSFFIMWSPIIITILLILIQDLVIWPSLFFWVVAFTFANSALNPILYNMTLCRNEWKKIFCC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DLVIWPSLFFWVVAFTFANSALNPILYNMT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311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29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DIITYLVFAVTFVLGVLGNGLVIWVAGFRTVTTISYLNLAVADFCFTSTLPFFMVRKAMGGWFLCKFVFTIVDINLFGSVFLIALIALDRCVCVLHTVSLAKKVIIGPWVMALLLTLPVIIRVERINVAVAMLTVRGIIRFIIGFSAPMSIVAVSYGLIATKIHKQSSRPLRVLSFVAAAFFLCWSPYQVVALIATVRYKEIGIAVDVTSALAFFNSCLNPMLYVFMGQDFRERLIHALPASLER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DIITYLVFAVTFVLGVLGNGLVIWVAGFR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GQDFRERLIHALPASLER</v>
      </c>
      <c r="R135" s="5">
        <f>VLOOKUP($A135,'SegEnds_NonXtal_Prot#'!$A:$AL,3,FALSE)</f>
        <v>26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189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322</v>
      </c>
      <c r="AP135" s="5">
        <f t="shared" si="63"/>
        <v>28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42</v>
      </c>
      <c r="AY135" s="4">
        <f t="shared" si="72"/>
        <v>31</v>
      </c>
      <c r="AZ135" s="4">
        <f t="shared" si="73"/>
        <v>28</v>
      </c>
      <c r="BA135" s="4">
        <f t="shared" si="74"/>
        <v>17</v>
      </c>
    </row>
    <row r="136" spans="1:53" x14ac:dyDescent="0.2">
      <c r="A136" s="1" t="str">
        <f>'SegEnds_NonXtal_Prot#'!A107</f>
        <v>fpr2_human</v>
      </c>
      <c r="B136" s="1" t="str">
        <f t="shared" si="50"/>
        <v>RILPLVVLGVTFVLGVLGNGLVIWVAGFRTVTTICYLNLALADFSFTATLPFLIVSMAMGGWFLCKLIHIVVDINLFGSVFLIGFIALDRCICVLHTVSLAMKVIVGPWILALVLTLPVFLFLERLKVAITMLTARGIIRFVIGFSLPMSIVAICYGLIAAKIHKKSSRPLRVLTAVVASFFICWFPFQLVALLGTVWFYGKYKIIDILVNPTSSLAFFNSCLNPMLYVFVGQDFRERLIHSLPTSLER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ERLKVAITMLTARGIIRFVIGFSLPMSIVAICYGLIAAKIHKK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GQDFRERLIHSLPTSLER</v>
      </c>
      <c r="R136" s="5">
        <f>VLOOKUP($A136,'SegEnds_NonXtal_Prot#'!$A:$AL,3,FALSE)</f>
        <v>26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189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323</v>
      </c>
      <c r="AP136" s="5">
        <f t="shared" si="63"/>
        <v>28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42</v>
      </c>
      <c r="AY136" s="4">
        <f t="shared" si="72"/>
        <v>31</v>
      </c>
      <c r="AZ136" s="4">
        <f t="shared" si="73"/>
        <v>32</v>
      </c>
      <c r="BA136" s="4">
        <f t="shared" si="74"/>
        <v>17</v>
      </c>
    </row>
    <row r="137" spans="1:53" x14ac:dyDescent="0.2">
      <c r="A137" s="1" t="str">
        <f>'SegEnds_NonXtal_Prot#'!A108</f>
        <v>fpr3_human</v>
      </c>
      <c r="B137" s="1" t="str">
        <f t="shared" si="50"/>
        <v>WIFSLLVHGVTFVFGVLGNGLVIWVAGFRTVNTICYLNLALADFSFSAILPFRMVSVAMRGSFLCKLVHVMIDINLFVSVYLITIIALDRCICVLHTMSLAKRVMTGLWIFTIVLTLPNFIFWERLNVFITMAKVFLILHFIIGFSVPMSIITVCYGIIAAKIHRNSSRPLRVFAAVVASFFICWFPYELIGILMAVWLNGKYKIILVLINPTSSLAFFNSCLNPILYVFMGRNFQERLIRSLPTSLER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GRNFQERLIRSLPTSLER</v>
      </c>
      <c r="R137" s="5">
        <f>VLOOKUP($A137,'SegEnds_NonXtal_Prot#'!$A:$AL,3,FALSE)</f>
        <v>26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189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323</v>
      </c>
      <c r="AP137" s="5">
        <f t="shared" si="63"/>
        <v>28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42</v>
      </c>
      <c r="AY137" s="4">
        <f t="shared" si="72"/>
        <v>31</v>
      </c>
      <c r="AZ137" s="4">
        <f t="shared" si="73"/>
        <v>32</v>
      </c>
      <c r="BA137" s="4">
        <f t="shared" si="74"/>
        <v>17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338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11</v>
      </c>
    </row>
    <row r="143" spans="1:53" x14ac:dyDescent="0.2">
      <c r="A143" s="1" t="str">
        <f>'SegEnds_NonXtal_Prot#'!A115</f>
        <v>gp101_human</v>
      </c>
      <c r="B143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KMPISLAHGIIRSTVLVIFLAASFVGNIVLALVLQRK</v>
      </c>
      <c r="G143" s="4" t="str">
        <f t="shared" si="52"/>
        <v>PQLL</v>
      </c>
      <c r="H143" s="4" t="str">
        <f t="shared" si="53"/>
        <v>QVTNRFIFNLLVTDLLQISLVAPWVVATSV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</v>
      </c>
      <c r="R143" s="5">
        <f>VLOOKUP($A143,'SegEnds_NonXtal_Prot#'!$A:$AL,3,FALSE)</f>
        <v>23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93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170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470</v>
      </c>
      <c r="AP143" s="5">
        <f t="shared" si="63"/>
        <v>36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12</v>
      </c>
    </row>
    <row r="144" spans="1:53" x14ac:dyDescent="0.2">
      <c r="A144" s="1" t="str">
        <f>'SegEnds_NonXtal_Prot#'!A116</f>
        <v>gp119_human</v>
      </c>
      <c r="B144" s="1" t="str">
        <f t="shared" si="50"/>
        <v>MESSFSFGVILAVLASLIIATNTLVAVAVLLLGVSLCFTLNLAVADTLIGVAISGLLTDQLSRPTQKTLCSLRMAFVTSSAAASVLTVMLITFDRYLAIKQSGFVAGACIAGLWLVSYLIGFLPLGIFHPHFVLTLSCVGFFPAMLLFVFFYCDMLKIASMHSQQIRGYRSPRTPSDFKALRTVSVLIGSFALSWTPFLITGIVQVACYLVLERYLWLLGVGNSLLNPLIYAYWQKEVRLQLYHMALGVKKVLTSFL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MESSFSFGVILAVLASLIIATNTLVAVAVLLL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QKEVRLQLYHMALGVKKVLTSFL</v>
      </c>
      <c r="R144" s="5">
        <f>VLOOKUP($A144,'SegEnds_NonXtal_Prot#'!$A:$AL,3,FALSE)</f>
        <v>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143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305</v>
      </c>
      <c r="AP144" s="5">
        <f t="shared" si="63"/>
        <v>31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25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22</v>
      </c>
    </row>
    <row r="145" spans="1:53" x14ac:dyDescent="0.2">
      <c r="A145" s="1" t="str">
        <f>'SegEnds_NonXtal_Prot#'!A117</f>
        <v>gp141_human</v>
      </c>
      <c r="B145" s="1" t="str">
        <f t="shared" si="50"/>
        <v>DPIVTPHLISLYFIVLIGGLVGVISILFLLVKSVTTMAVINLVVVHSVFLLTVPFRLTYLIKGLPFCKFVSAMLHIHMYLTFLFYVVILVTRYLIFFKRKLHAVAASAGMWTLVIVIVVPLVVSVKIINYMIVIFVIAVAVILLVFQVFIIMLMVQKLRHSHQEFWAQLKNLFFIGVILVCFLPYQFFRIYYLNVCNSKVAFYNEIFLSVTAISCYDLLLFVFGSHWFKQKIIGLWN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</v>
      </c>
      <c r="M145" s="4" t="str">
        <f t="shared" si="58"/>
        <v>CFK</v>
      </c>
      <c r="N145" s="4" t="str">
        <f t="shared" si="59"/>
        <v>VKIINYMIVIFVIAVAVILLVFQVFIIMLMVQKLRHS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178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153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25</v>
      </c>
      <c r="AW145" s="4">
        <f t="shared" si="70"/>
        <v>2</v>
      </c>
      <c r="AX145" s="4">
        <f t="shared" si="71"/>
        <v>36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PSSMLYWLFLPSSLLAAATLAVSPLLLVTILRNQEPHYLLPANILLSDLAYILLHMLISSSSLGGRMACGILTDAVFAACTSTILSFTAIVLHTYLAVIHSHGAAWKAVALIWLVACCFPTFLIWLEQGASYILPPSMGTQPGCGLLVIVTYTSILCVLFLCTALIANGQGYSRARGTLLIHSVLITLYVSTGVVFSLDMVLTGTHTWLLAANSEVLMMLPRAMLTYLYLLRYRQLL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PSSMLYWLFLPSSLLAAATLAVSPLLLVTILRN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</v>
      </c>
      <c r="R146" s="5">
        <f>VLOOKUP($A146,'SegEnds_NonXtal_Prot#'!$A:$AL,3,FALSE)</f>
        <v>45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328</v>
      </c>
      <c r="AP146" s="5">
        <f t="shared" si="63"/>
        <v>32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11</v>
      </c>
    </row>
    <row r="147" spans="1:53" x14ac:dyDescent="0.2">
      <c r="A147" s="1" t="str">
        <f>'SegEnds_NonXtal_Prot#'!A119</f>
        <v>gp152_human</v>
      </c>
      <c r="B147" s="1" t="str">
        <f t="shared" si="50"/>
        <v>GGWDTVFLVALLLLGLPANGLMAWLAGSQTRLALLLLSLALSDFLFLAAAAFQILEIRHGGTAACRFYYFLWGVSYSSGLFLLAALSLDRCLLALCPVRLPLWVCAGVWVLATLFSVPWLVFPEELSLRMLEVLGGFLPFLLLLVCHVLTQATACRTQQQPAACRGFARVARTILSAYVVLRLPYQLAQLLYLAFGYLLWEALVYSDYLILLNSCLSPFLCLMASADLRTLLRSVLSSFAAA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SADLRTLLRSVLSSFAAA</v>
      </c>
      <c r="R147" s="5">
        <f>VLOOKUP($A147,'SegEnds_NonXtal_Prot#'!$A:$AL,3,FALSE)</f>
        <v>29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316</v>
      </c>
      <c r="AP147" s="5">
        <f t="shared" si="63"/>
        <v>28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17</v>
      </c>
    </row>
    <row r="148" spans="1:53" x14ac:dyDescent="0.2">
      <c r="A148" s="1" t="str">
        <f>'SegEnds_NonXtal_Prot#'!A120</f>
        <v>gp153_human</v>
      </c>
      <c r="B148" s="1" t="str">
        <f t="shared" si="50"/>
        <v>RLPGSAVGWLVCGGLSLLANAWGILSVGAKKPLEFLLCTLAATHMLNVAVPIATYSVVQLRNEGLCKVFVSTFYTLTLATCFSVTSLSYHRMWMVCWAKKQAVHTVMGIWMVSFILSALPAVGGLGFGVCFLLLVGGSVAMGVICTAIALFQTLAVQVGRQADRREPAKTSLQTTGLVTTIVFIYDCLMGFPVLVVSFSSLRAPWMALCVLWCSVAQALLLPVFLWACDRYRADLKAVR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</v>
      </c>
      <c r="R148" s="5">
        <f>VLOOKUP($A148,'SegEnds_NonXtal_Prot#'!$A:$AL,3,FALSE)</f>
        <v>6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311</v>
      </c>
      <c r="AP148" s="5">
        <f t="shared" si="63"/>
        <v>29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11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TARIVMPLHYSLVFIIGLVGNLLALVVIVQNNSTTLYSTNLVISDILFTTALPTRIAYYAMGGDALCRITALVFYINTYAGVNFMTCLSIDRFIAVVHRIEHAKGVCIFVWILVFAQTLPLLINPEETKSLPWILLGACFIGYVLPLIIILICYSQICCKLFRTLTEKSGVNKKALNTIILIIVVFVLCFTPYHVAIIQHMIKKLRECSQRHSFQISLHFTVCLMNFNCCMDPFIYFFACKGYKRKVMRMLK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TARIVMPLHYSLVFIIGLVGNLLALVVIVQN</v>
      </c>
      <c r="G151" s="4" t="str">
        <f t="shared" si="52"/>
        <v>RKKI</v>
      </c>
      <c r="H151" s="4" t="str">
        <f t="shared" si="53"/>
        <v>NSTTLYSTNLVISDILFTTALPTRIAYYAMG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29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94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30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LGVVHWVSLVLYCLAFVLGIPGNAIVIWFTGFKTVTTLWFLNLAIADFIFLLFLPLYISYVAMGIWLCKANSFTAQLNMFASVFFLTVISLDHYIHLIHTLKNSLIVIIFIWLLASLIGGPALYFRRHHVLTWVKFIIGYLFPLLTMSICYLCLIFKVKKRSSRHFWTILVVVVAFVVCWTPYHLFSIWELTIHHVMQAGIPLSTGLAFLNSCLNPILYVLISKKFQARFRSSVAEI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LGVVHWVSLVLYCLAFVLGIPGNAIVIWFTGFK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34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32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VFLPVFYTAVFLTGVLGNLVLMGALHFKRLIDIFIINLAASDFIFLVTLPLWVDKEASLGSFLCKGSSYMISVNMHCSVLLLTCMSVDRYLAIVWRTDCAYVVCASIWFISCLLGLPTLLSRKATPIKLIWSLVALIFTFFVPLLSIVTCYCCIARKLCAHGKHNKKLKKSIKIIFIVVAAFLVSWLPFNTFKFLAIVSHYLPSAILQLGMEVSGPLAFANSCVNPFIYYIFDSYIRRAIVHCLCPC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VFLPVFYTAVFLTGVLGNLVLMGALHFK</v>
      </c>
      <c r="G155" s="4" t="str">
        <f t="shared" si="52"/>
        <v/>
      </c>
      <c r="H155" s="4" t="str">
        <f t="shared" si="53"/>
        <v>RLIDIFIINLAASDFIFLVTLPLWVDKEASL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KATPIKLIWSLVALIFTFFVPLLSIVTCYCCIARKLCAH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34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187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96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27</v>
      </c>
      <c r="AQ155" s="4" t="str">
        <f t="shared" si="64"/>
        <v>-</v>
      </c>
      <c r="AR155" s="4">
        <f t="shared" si="65"/>
        <v>30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38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IAALVFYSCIFIIGLFVNITALWVFSCTTTVTIYMMNVALVDLIFIMTLPFRMFYYAKGEYFCQILGALTVFYPSIALWLLAFISADRYMAIVQNTCKAVLACVGVWIMTLTTTTPLLLLYIYLKAVNVLNLTRLTFFFLIPLFIMIGCYLVIIHNLLHGKLKPKVKEKSIRIIITLLVQVLVCFMPFHICFAFLMLGYNPWGAFTTFLMNLSTCLDVILYYIVSKQFQARVISVMLYR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SKQFQARVISVMLYR</v>
      </c>
      <c r="R157" s="5">
        <f>VLOOKUP($A157,'SegEnds_NonXtal_Prot#'!$A:$AL,3,FALSE)</f>
        <v>23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304</v>
      </c>
      <c r="AP157" s="5">
        <f t="shared" si="63"/>
        <v>27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14</v>
      </c>
    </row>
    <row r="158" spans="1:53" x14ac:dyDescent="0.2">
      <c r="A158" s="1" t="str">
        <f>'SegEnds_NonXtal_Prot#'!A133</f>
        <v>gpr20_human</v>
      </c>
      <c r="B158" s="1" t="str">
        <f t="shared" si="50"/>
        <v>FPGLWLALMAVHGAIFLAGLVLNGLALYVFCCRTPSVIYTINLVVTDLLVGLSLPTRFAVYYGCAFPHVLGYFLNMHCSILFLTCICVDRYLAIVRQPACARAVCAFVWLAAGAVTLSVLGRVFALTVLEFLLPLLVISVFTGRIMCALSRPHQGRQRRVRAMQLLLTVLIIFLVCFTPFHARQVAVALWSLVVYHVAVTLSSLNSCMDPIVYCFVTSGFQATVRGLFGQH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FPGLWLALMAVHGAIFLAGLVLNGLALYVFCCR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SLVVYHVAVTLSSLNSCMDPIVYCFV</v>
      </c>
      <c r="Q158" s="4" t="str">
        <f t="shared" si="62"/>
        <v>TSGFQATVRGLFGQH</v>
      </c>
      <c r="R158" s="5">
        <f>VLOOKUP($A158,'SegEnds_NonXtal_Prot#'!$A:$AL,3,FALSE)</f>
        <v>49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275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187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315</v>
      </c>
      <c r="AP158" s="5">
        <f t="shared" si="63"/>
        <v>32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24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25</v>
      </c>
      <c r="BA158" s="4">
        <f t="shared" si="74"/>
        <v>14</v>
      </c>
    </row>
    <row r="159" spans="1:53" x14ac:dyDescent="0.2">
      <c r="A159" s="1" t="str">
        <f>'SegEnds_NonXtal_Prot#'!A134</f>
        <v>gpr21_human</v>
      </c>
      <c r="B159" s="1" t="str">
        <f t="shared" si="50"/>
        <v>ETVNFCLLEVLIIVFLTVLIISGNIIVIFVFHCAHHTTSYFIQTMAYADLFVGVSCVVPSLSLLHPVEESLTCQIFGFVVSVLKSVSMASLACISIDRYIAITKTPWRLRLCIFLIWLYSTLVFLPSFFHWGKPTDSYFTLFIVMMLYAPAALIVCFTYFNIFRICQQHTKDISETGEVQACPDKRYAMVLFRITSVFYILWLPYIIYFLLESSTRFASFLTTWLAISNSFCNCVIYSLSNSVFQRGLKRLSGA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ETVNFCLLEVLIIVFLTVLIISGNIIVIFVFHCA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TPWRLRLCIFLIWLYSTLVFLPSFFHWGKP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</v>
      </c>
      <c r="R159" s="5">
        <f>VLOOKUP($A159,'SegEnds_NonXtal_Prot#'!$A:$AL,3,FALSE)</f>
        <v>23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171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321</v>
      </c>
      <c r="AP159" s="5">
        <f t="shared" si="63"/>
        <v>33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29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13</v>
      </c>
    </row>
    <row r="160" spans="1:53" x14ac:dyDescent="0.2">
      <c r="A160" s="1" t="str">
        <f>'SegEnds_NonXtal_Prot#'!A135</f>
        <v>gpr25_human</v>
      </c>
      <c r="B160" s="1" t="str">
        <f t="shared" si="50"/>
        <v>LPYGYVYIPALYLAAFAVGLLGNAFVVWLLAGRRLVDTFVLHLAAADLGFVLTLPLWAAAAALGDGLCKLSSFALAGTRCAGALLLAGMSVDRYLAVVKTPRCALASCCGVWAVALLAGLPSLVYRAFQGLSLLLLLLTFVLPLVVTLFCYCRISRRLRRRARRNSLRIIFAIESTFVGSWLPFSALRAVFHLARLGPCPLLLALRWGLTIATCLAFVNSCANPLIYLLLDRSFRARALDGACGR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LPYGYVYIPALYLAAFAVGLLGNAFVVWLLAGR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35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32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38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30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6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36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SLRPLTVVILSASIVVGVLGNGLVLWMTVFRTVSTVCFFHLALADFMLSLSLPIAMYYIVSGEWACKLYITFVFLSYFASNCLLVFISVDRCISVLYTVQRASWLAFGVWLLAAALCSAHLKFRGVVEGHIIGTIGHFLLGFLGPLAIIGTCAHLIRAKLLREANRPKRLLLVLVSAFFIFWSPFNVVLLVHLWRHPRMLLILQASFALGCVNSSLNPFLYVFVGRDFQEKFFQSLT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GVVEGHIIGTIGHFLLGFLGPLAIIGTCAHLIRAKLLRE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</v>
      </c>
      <c r="R164" s="5">
        <f>VLOOKUP($A164,'SegEnds_NonXtal_Prot#'!$A:$AL,3,FALSE)</f>
        <v>41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208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332</v>
      </c>
      <c r="AP164" s="5">
        <f t="shared" si="63"/>
        <v>30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38</v>
      </c>
      <c r="AY164" s="4">
        <f t="shared" si="72"/>
        <v>31</v>
      </c>
      <c r="AZ164" s="4">
        <f t="shared" si="73"/>
        <v>28</v>
      </c>
      <c r="BA164" s="4">
        <f t="shared" si="74"/>
        <v>12</v>
      </c>
    </row>
    <row r="165" spans="1:53" x14ac:dyDescent="0.2">
      <c r="A165" s="1" t="str">
        <f>'SegEnds_NonXtal_Prot#'!A140</f>
        <v>gpr33_human</v>
      </c>
      <c r="B165" s="1" t="str">
        <f t="shared" si="50"/>
        <v>APASKMIIALSLYISSIIGTITNGLYLWVLRFKTVNTLLFFHLILSYFISTMILPFMATSQLQGTALCKVFNGTLSLGMFTSVFFLSAIGLDRYLLTLHTPRWASSIVLGVWISAAALSIPYLIFRIHVACFISRFLLGFLLPFFIIIFCYERVASKVKERSSKPFKVMMTAIISFFVCWMPYHIHQGLLLTTLELTLILTVLTTSFNTIFSPTLYLFVGENFKKVFKKSILAL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APASKMIIALSLYISSIIGTITNGLYLWVLRFK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25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32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FYPLTQESYGAYAVMCLSVVIFGTGIIGNLAVMCIVCHNSISNSLLANLAFWDFLIIFFCLPLVIFHELTEDFSCKIVPYIEVASLGVTTFTLCALCIDRFRAATNNCSSTTAKLAVIWVGALLLALPEVVLRYVLALTYDSARLWWYFGCYFCLPTLFTITCSLVTARKIRKAEKACKRQIQLESQMNCTVVALTILYGFCIIPENICNIVTAYMTGVSQQTMDLLNIISQFLLFFKSCVTPVLLFCLCKPFSRAFMECCCC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TGVSQQTMDLLNIISQFLLFFKSCVTPVLLFCL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520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32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359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11</v>
      </c>
    </row>
    <row r="170" spans="1:53" x14ac:dyDescent="0.2">
      <c r="A170" s="1" t="str">
        <f>'SegEnds_NonXtal_Prot#'!A145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VCIFETVVIVLLTFLIIAGNLTVIFVFHCAHYTTSYFIQTMAYADLFVGVSCLVPTLSLLHGVHESLTCQVFGYIISVLKSVSMACLACISVDRYLAITKTPCRLRICIILIWIYSCLIFLPSFFGWTSAYFTGFIVCLLYAPAAFVVCFTYFHIFKICRQHTKEINSSRETGHSPDRRYAMVLFRITSVFYMLWLPYIIYFLLESSRPTLSFLTTWLAISNSFCNCVIYSLSNSVFRLGLRRLS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VCIFETVVIVLLTFLIIAGNLTVIFVFHCA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</v>
      </c>
      <c r="R172" s="5">
        <f>VLOOKUP($A172,'SegEnds_NonXtal_Prot#'!$A:$AL,3,FALSE)</f>
        <v>39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180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332</v>
      </c>
      <c r="AP172" s="5">
        <f t="shared" si="63"/>
        <v>29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11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TTCIQPSMISSMALPIIYILLCIVGVFGNTLSQWIFLTKTSTHIYLSHLVTANLLVCSAMPFMSIYFLKGQSAQCRVVNFLGTLSMHASMFVSLLILSWIAISRYATLMQQPNFARKLCIYIWGVVLGIIIPVTVYYLGAMISQIAGLIGTTFIGFSFLVVLTSYYSFVSHLRKIIMEKDLTYSSVKRHLLVIQILLIVCFLPYSIFKPIFYVLLNYLIETKNILTCLASARSSTDPIIFLLLDKTFKKTLYNLFTK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TTCIQPSMISSMALPIIYILLCIVGVFGNTLSQWIFLTK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DKTFKKTLYNLFTK</v>
      </c>
      <c r="R176" s="5">
        <f>VLOOKUP($A176,'SegEnds_NonXtal_Prot#'!$A:$AL,3,FALSE)</f>
        <v>5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326</v>
      </c>
      <c r="AP176" s="5">
        <f t="shared" si="63"/>
        <v>38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13</v>
      </c>
    </row>
    <row r="177" spans="1:53" x14ac:dyDescent="0.2">
      <c r="A177" s="1" t="str">
        <f>'SegEnds_NonXtal_Prot#'!A153</f>
        <v>gpr84_human</v>
      </c>
      <c r="B177" s="1" t="str">
        <f t="shared" si="50"/>
        <v>SCYHESVLGYRYVAVSWGVVVAVTGTVGNVLTLLALAIQTRFNLLIANLTLADLLYCTLLQPFSVDTYLHGATFCRVFGLLLFASNSVSILTLCLIALGRYLLIAHSAKGIVLALVSTWVVGVASFAPLWPIYDQYKLRQASIHSNHVARTDEAMPGRFQELDSRLASGGPSEGISSEPVPDSSSEFGKVTRMCFAVFLCFALSYIPFLLLNILDARVVVHMLAANLTWLNGCINPVLYAAMNRQFRQAYGSILKR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SCYHESVLGYRYVAVSWGVVVAVTGTVGNVLTLLALAIQ</v>
      </c>
      <c r="G177" s="4" t="str">
        <f t="shared" si="52"/>
        <v>PKLR</v>
      </c>
      <c r="H177" s="4" t="str">
        <f t="shared" si="53"/>
        <v>TRFNLLIANLTLADLLYCTLLQPFSVDTYLH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</v>
      </c>
      <c r="M177" s="4" t="str">
        <f t="shared" si="58"/>
        <v>CSF</v>
      </c>
      <c r="N177" s="4" t="str">
        <f t="shared" si="59"/>
        <v>DQYKLRQASIHSNHVARTDEAMPGRFQELDSRLASGGPSEGISSEPV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10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213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83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159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38</v>
      </c>
      <c r="AQ177" s="4">
        <f t="shared" si="64"/>
        <v>3</v>
      </c>
      <c r="AR177" s="4">
        <f t="shared" si="65"/>
        <v>30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46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YLLGSWMIRLTVWFIFLVALFFNLLVILTTFASPSSKLFIGLISVSNLFMGIYTGILTFLDAVSWWETGSGCKVAGFLAVFSSESAIFLLMLATVERSLSAKDHLKQFRVAALLAFLGATVAGCFPLFHRTPSLGFTVTLVLLNSLAFLLMAVIYTKLYCNLEKNSQSSMIKHVAWLIFTNCIFFCPVAFFSFAPLITPEIMKSVTLIFFPLPACLNPVLYVFFNPKFKEDWKLLKRRV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YLLGSWMIRLTVWFIFLVALFFNLLVILTTFAS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534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32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YLFESWGIRLAVWAIVLLSVLCNGLVLLTVFAGPPVKFVVGAIAGANTLTGISCGLLASVDALTFRWETGLGCRATGFLAVLGSEASVLLLTLAAVQCSVSVSCSLGSVRAGVLGCLALAGLAAALPLASVAALGFTVALVMMNSFCFLVVAGAYIKLYCDLPRVWDCAMVRHVAWLIFADGLLYCPVAFLSFASMLGPEAVKSVLLVVLPLPACLNPLLYLLFNPHFRDDLRRLRPRAGD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YLFESWGIRLAVWAIVLLSVLCNGLVLLTVFAG</v>
      </c>
      <c r="G189" s="4" t="str">
        <f t="shared" si="52"/>
        <v/>
      </c>
      <c r="H189" s="4" t="str">
        <f t="shared" si="53"/>
        <v>PPVKFVVGAIAGANTLTGISCGLLASVDALTF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NPHFRDDLRRLRPRAGD</v>
      </c>
      <c r="R189" s="5">
        <f>VLOOKUP($A189,'SegEnds_NonXtal_Prot#'!$A:$AL,3,FALSE)</f>
        <v>557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626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847</v>
      </c>
      <c r="AP189" s="5">
        <f t="shared" si="63"/>
        <v>32</v>
      </c>
      <c r="AQ189" s="4" t="str">
        <f t="shared" si="64"/>
        <v>-</v>
      </c>
      <c r="AR189" s="4">
        <f t="shared" si="65"/>
        <v>31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16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NDSFKYTLYGCMFSMVFVLGLISNCVAIYIFICVNETTTYMINLAMSDLLFVFTLPFRIFYFTTGDLLCKISVMLFYTNMYGSILFLTCISVDRFLAIVYTKRNAKIVCTGVWLTVIGGSAPAVFVTYLSRIVIFIEIVGFFIPLILNVTCSSMVLKTLTKPSRSKINKTKVLKMIFVHLIIFCFCFVPYNINLILYSLVRTQNCSVVAAVRTMYPITLCIAVSNCCFDPIVYYFTSDTIQNSIKMKNWSVRR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NCSVVAAVRTMYPITLCIAVSNCCFDPIVYYFTSDT</v>
      </c>
      <c r="Q192" s="4" t="str">
        <f t="shared" si="62"/>
        <v>IQNSIKMKNWSVRR</v>
      </c>
      <c r="R192" s="5">
        <f>VLOOKUP($A192,'SegEnds_NonXtal_Prot#'!$A:$AL,3,FALSE)</f>
        <v>12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179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298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297</v>
      </c>
      <c r="AO192" s="5">
        <f>VLOOKUP($A192,'SegEnds_NonXtal_Prot#'!$A:$AL,38,FALSE)</f>
        <v>311</v>
      </c>
      <c r="AP192" s="5">
        <f t="shared" si="63"/>
        <v>33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35</v>
      </c>
      <c r="AY192" s="4">
        <f t="shared" si="72"/>
        <v>40</v>
      </c>
      <c r="AZ192" s="4">
        <f t="shared" si="73"/>
        <v>35</v>
      </c>
      <c r="BA192" s="4">
        <f t="shared" si="74"/>
        <v>13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SLLAIILLSVALAVGLPGNSFVVWSILKRSVTALMVLNLALADLAVLLTAPFFLHFLAQGLAGCRLCHYVCGVSMYASVLLITAMSLDRSLAVARTKAMARRVLAGIWVLSFLLATPVLAYRYPSEGHRAFHLIFEAVTGFLLPFLAVVASYSDIGRRLQARSRRTGRLVVLIILTFAAFWLPYHVVNLAEAGRALALGLVGKRLSLARNVLIALAFLSSSVNPVLYACAGGGLLRSAGVGFVAKLLE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GGGLLRSAGVGFVAKLLE</v>
      </c>
      <c r="R194" s="5">
        <f>VLOOKUP($A194,'SegEnds_NonXtal_Prot#'!$A:$AL,3,FALSE)</f>
        <v>18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306</v>
      </c>
      <c r="AP194" s="5">
        <f t="shared" ref="AP194:AP257" si="88">IFERROR(AD194-R194,"-")</f>
        <v>28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17</v>
      </c>
    </row>
    <row r="195" spans="1:53" x14ac:dyDescent="0.2">
      <c r="A195" s="1" t="str">
        <f>'SegEnds_NonXtal_Prot#'!A173</f>
        <v>mas_human</v>
      </c>
      <c r="B195" s="1" t="str">
        <f t="shared" si="75"/>
        <v>AHRQIPIVHWVIMSISPVGFVENGILLWFLCFRNPFTVYITHLSIADISLLFCIFILSIDYALDSSGHYYTIVTLSVTFLFGYNTGLYLLTAISVERCLSVLYPKYQSALVCALLWALSCLVTTMEYVMCRAVIIFIAILSFLVFTPLMLVSSTILVVKIRKNTWSSKLYIVIMVTIIIFLIFAMPMRLLYLLYYEYGNLHHISLLFSTINSSANPFIYFFVGSSKKKRFKESLKVV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AHRQIPIVHWVIMSISPVGFVENGILLWFLCFR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28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32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276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26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279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26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272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26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CYKQTLSLTVLTCIVSLVGLTGNAVVLWLLGCRNAFSIYILNLAAADFLFLSGRLIYSLLSFIISKILYPVMMFSYFAGLSFLSAVSTERCLSVLWPTHLSAVVCVLLWALSLLRSILEWMLCCQTSDFITVAWLIFLCVVLCGSSLVLLIRILCGSRLTRLYVTILLTVLVFLLCGLPFGIQFFLFLWIVDREVLFCHVHLVSIFLSALNSSANPIIYFFVGSFRQRQNRQNLKLV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CYKQTLSLTVLTCIVSLVGLTGNAVVLWLLGCR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VDREVLFCHVHLVSIFLSALNSSANPIIYFFV</v>
      </c>
      <c r="Q204" s="4" t="str">
        <f t="shared" si="87"/>
        <v>GSFRQRQNRQNLKLV</v>
      </c>
      <c r="R204" s="5">
        <f>VLOOKUP($A204,'SegEnds_NonXtal_Prot#'!$A:$AL,3,FALSE)</f>
        <v>23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244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32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31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GKETLIPVFLILFIALVGLVGNGFVLWLLGFRNAFSVYVLSLAGADFLFLCFQIINCLVYLSNSINFPSFFTTVMTCAYLAGLSMLSTVSTERCLSVLWPRHLSAVVCVLLWALSLLLSILEGKFCSGWCQTFDFITAAWLIFLFMVLCGSSLALLVRILCGSRLTRLYLTILLTVLVFLLCGLPFGIQWFLILWIKDSDVLFCHIHPVSVVLSSLNSSANPIIYFFVGSFRKQWRLQ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KDSDVLFCHIHPVSVVLSSLNSSANPIIYFFV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251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31</v>
      </c>
      <c r="BA205" s="4">
        <f t="shared" si="99"/>
        <v>9</v>
      </c>
    </row>
    <row r="206" spans="1:53" x14ac:dyDescent="0.2">
      <c r="A206" s="1" t="str">
        <f>'SegEnds_NonXtal_Prot#'!A186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TLSFTGLTCIVSLVALTGNAVVLWLLGCRNAVSIYILNLVAADFLFLSGHIICSPLRLIISKILSPVMTFPYFIGLSMLSAISTERCLSILWPRYLSSVMCVLLWALSLLRSILEWMFCFSGANSVWCETSDFITIAWLVFLCVVLCGSSLVLLVRILCGSRLTRLYVTILLTVLVFLLCGLPFGIQWALFSRIWKVLFCHVHLVSIFLSALNSSANPIIYFFVGSFRQRQNRQNLKLVLQR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WKVLFCHVHLVSIFLSALNSSANPIIYFFV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246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29</v>
      </c>
      <c r="BA206" s="4">
        <f t="shared" si="99"/>
        <v>17</v>
      </c>
    </row>
    <row r="207" spans="1:53" x14ac:dyDescent="0.2">
      <c r="A207" s="1" t="str">
        <f>'SegEnds_NonXtal_Prot#'!A187</f>
        <v>mrgx4_human</v>
      </c>
      <c r="B207" s="1" t="str">
        <f t="shared" si="75"/>
        <v>CYNQTLSFTVLTCIISLVGLTGNAVVLWLLGYRNAVSIYILNLAAADFLFLSFQIIRLPLRLIIRKILVSVMTFPYFTGLSMLSAISTERCLSVLWPTHLSAVVCVLLWGLSLLFSMLEWRSSWCETSDFIPVAWLIFLCVVLCVSSLVLLVRILCGSRLTRLYVTILLTVLVFLLCGLPFGILGALIYRMYCHVYLVCMSLSSLNSSANPIIYFFVGSFRQRQNRQNLKLV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CYNQTLSFTVLTCIISLVGLTGNAVVLWLLGYR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YCHVYLVCMSLSSLNSSANPIIYFFV</v>
      </c>
      <c r="Q207" s="4" t="str">
        <f t="shared" si="87"/>
        <v>GSFRQRQNRQNLKLV</v>
      </c>
      <c r="R207" s="5">
        <f>VLOOKUP($A207,'SegEnds_NonXtal_Prot#'!$A:$AL,3,FALSE)</f>
        <v>23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250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159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290</v>
      </c>
      <c r="AP207" s="5">
        <f t="shared" si="88"/>
        <v>32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24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25</v>
      </c>
      <c r="BA207" s="4">
        <f t="shared" si="99"/>
        <v>14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275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26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LGALVPVTAVCLCLFVVGVSGNVVTVMLIGRYTTTNLYLGSMAVSDLLILLGLPFDLYRLWRSGPLLCRLSLYVGEGCTYATLLHMTALSVERYLAICRTRRRVRALIAVLWAVALLSAGPFLFLVQLGALRVMLWVTTAYFFLPFLCLSILYGLIGRELWSSRRPLSGRERGHRQTVRVLLVVVLAFIICWLPFHVGRIIYINTDSRMMYFSQYFNIVALQLFYLSASINPILYNLISKKYRAAAFKLL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DSRMMYFSQYFNIVALQLFYLSASINPILYNLI</v>
      </c>
      <c r="Q209" s="4" t="str">
        <f t="shared" si="87"/>
        <v>SKKYRAAAFKLL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326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370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32</v>
      </c>
      <c r="BA209" s="4">
        <f t="shared" si="99"/>
        <v>11</v>
      </c>
    </row>
    <row r="210" spans="1:53" x14ac:dyDescent="0.2">
      <c r="A210" s="1" t="str">
        <f>'SegEnds_NonXtal_Prot#'!A191</f>
        <v>mtr1b_human</v>
      </c>
      <c r="B210" s="1" t="str">
        <f t="shared" si="75"/>
        <v>WVAPALSAVLIVTTAVDVVGNLLVILSVLRNNAGNLFLVSLALADLVVAFYPYPLILVAIFYDGEEHCKASAFVMGLSVIGSVFNITAIAINRYCYICHRRWHTPLHICLIWLLTVVALLPNFFVGSTQYTAAVVVIHFLLPIAVVSFCYLRIWVLVLQARRKALCLKPSDLRSFLTMFVVFVIFAICWAPLNCIGLAVAINPEGLFVTSYLLAYFNSCLNAIVYGLLNQNFRREYKRILLALWN</v>
      </c>
      <c r="C210" s="29" t="str">
        <f>IF(ISERROR(MATCH(A210,'SegEnds_Xtal_Prot#'!B:B, 0)), "NoXtal", "Xtal")</f>
        <v>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WVAPALSAVLIVTTAVDVVGNLLVILSVLRN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PEGLFVTSYLLAYFNSCLNAIVYGLL</v>
      </c>
      <c r="Q210" s="4" t="str">
        <f t="shared" si="87"/>
        <v>NQNFRREYKRILLALWN</v>
      </c>
      <c r="R210" s="5">
        <f>VLOOKUP($A210,'SegEnds_NonXtal_Prot#'!$A:$AL,3,FALSE)</f>
        <v>38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286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328</v>
      </c>
      <c r="AP210" s="5">
        <f t="shared" si="88"/>
        <v>30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25</v>
      </c>
      <c r="BA210" s="4">
        <f t="shared" si="99"/>
        <v>16</v>
      </c>
    </row>
    <row r="211" spans="1:53" x14ac:dyDescent="0.2">
      <c r="A211" s="1" t="str">
        <f>'SegEnds_NonXtal_Prot#'!A192</f>
        <v>mtr1l_human</v>
      </c>
      <c r="B211" s="1" t="str">
        <f t="shared" si="75"/>
        <v>PPALIIFMFCAMVITIVVDLIGNSMVILAVTKNNSGNIFVVSLSVADMLVAIYPYPLMLHAMSIGSQLQCQMVGFITGLSVVGSIFNIVAIAINRYCYICHSVRNTCIYLVITWIMTVLAVLPNMYIGNPVFTVTIVCIHFVLPLLIVGFCYVRIWTKVLAARDPAPDNQLAEVRNFLTMFVIFLLFAVCWCPINVLTVLVAVSPNWLYLAAYFIAYFNSCLNAVIYGLLNENFRREYWTIFHAMRH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PPALIIFMFCAMVITIVVDLIGNSMVILAVTKN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PNWLYLAAYFIAYFNSCLNAVIYGLL</v>
      </c>
      <c r="Q211" s="4" t="str">
        <f t="shared" si="87"/>
        <v>NENFRREYWTIFHAMRH</v>
      </c>
      <c r="R211" s="5">
        <f>VLOOKUP($A211,'SegEnds_NonXtal_Prot#'!$A:$AL,3,FALSE)</f>
        <v>24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272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314</v>
      </c>
      <c r="AP211" s="5">
        <f t="shared" si="88"/>
        <v>32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25</v>
      </c>
      <c r="BA211" s="4">
        <f t="shared" si="99"/>
        <v>16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371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342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'SegEnds_NonXtal_Prot#'!A196</f>
        <v>ntr1_human</v>
      </c>
      <c r="B215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</v>
      </c>
      <c r="R215" s="5">
        <f>VLOOKUP($A215,'SegEnds_NonXtal_Prot#'!$A:$AL,3,FALSE)</f>
        <v>60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230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379</v>
      </c>
      <c r="AP215" s="5">
        <f t="shared" si="88"/>
        <v>31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32</v>
      </c>
      <c r="BA215" s="4">
        <f t="shared" si="99"/>
        <v>11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384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373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'SegEnds_NonXtal_Prot#'!A199</f>
        <v>ogr1_human</v>
      </c>
      <c r="B218" s="1" t="str">
        <f t="shared" si="75"/>
        <v>DHTIHQTLAPVVYVTVLVVGFPANCLSLYFGYLQNELGVYLCNLTVADLFYICSLPFWLQYVLQHGDLSCQVCGILLYENIYISVGFLCCISVDRYLAVAHTLKAAVGVSVVIWAKELLTSIYFLMHAWQRAINYYRFLVGFLFPICLLLASYQGILRAVRRQKSRKDQIQRLVLSTVVIFLACFLPYHVLLLVRSVWAKGVFNAYHFSLLLTSFNCVADPVLYCFVSETTHRDLARLRGACLA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DHTIHQTLAPVVYVTVLVVGFPANCLSLYFGYLQ</v>
      </c>
      <c r="G218" s="4" t="str">
        <f t="shared" si="77"/>
        <v>IKAR</v>
      </c>
      <c r="H218" s="4" t="str">
        <f t="shared" si="78"/>
        <v>NELGVYLCNLTVADLFYICSLPFWLQYVLQH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</v>
      </c>
      <c r="M218" s="4" t="str">
        <f t="shared" si="83"/>
        <v>CFE</v>
      </c>
      <c r="N218" s="4" t="str">
        <f t="shared" si="84"/>
        <v>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AKGVFNAYHFSLLLTSFNCVADPVLYCFVSET</v>
      </c>
      <c r="Q218" s="4" t="str">
        <f t="shared" si="87"/>
        <v>THRDLARLRGACLA</v>
      </c>
      <c r="R218" s="5">
        <f>VLOOKUP($A218,'SegEnds_NonXtal_Prot#'!$A:$AL,3,FALSE)</f>
        <v>16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180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293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84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159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292</v>
      </c>
      <c r="AO218" s="5">
        <f>VLOOKUP($A218,'SegEnds_NonXtal_Prot#'!$A:$AL,38,FALSE)</f>
        <v>306</v>
      </c>
      <c r="AP218" s="5">
        <f t="shared" si="88"/>
        <v>33</v>
      </c>
      <c r="AQ218" s="4">
        <f t="shared" si="89"/>
        <v>3</v>
      </c>
      <c r="AR218" s="4">
        <f t="shared" si="90"/>
        <v>30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25</v>
      </c>
      <c r="AW218" s="4">
        <f t="shared" si="95"/>
        <v>2</v>
      </c>
      <c r="AX218" s="4">
        <f t="shared" si="96"/>
        <v>34</v>
      </c>
      <c r="AY218" s="4">
        <f t="shared" si="97"/>
        <v>35</v>
      </c>
      <c r="AZ218" s="4">
        <f t="shared" si="98"/>
        <v>31</v>
      </c>
      <c r="BA218" s="4">
        <f t="shared" si="99"/>
        <v>13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41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36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NPAIAVALPVVYSLVAAVSIPGNLFSLWVLCRRSPSVIFMINLSVTDLMLASVLPFQIYYHCNGVLLCNVVTVAFYANMYSSILTMTCISVERFLGVLYRRRYAVAACAGTWLLLLTALSPLARSVAMWAVFLFTIFILLFLIPFVITVACYTATILKLLRGREQRRRAVGLAAVVLLAFVTCFAPNNFVLLAHIVSYYHVYKLTLCLSCLNNCLDPFVYYFASREFQLRLREYLGCR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NPAIAVALPVVYSLVAAVSIPGNLFSLWVLCRR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</v>
      </c>
      <c r="M228" s="4" t="str">
        <f t="shared" si="83"/>
        <v>CFD</v>
      </c>
      <c r="N228" s="4" t="str">
        <f t="shared" si="84"/>
        <v>SVAMWAVFLFTIFILLFLIPFVITVACYTATILKLLR</v>
      </c>
      <c r="O228" s="4" t="str">
        <f t="shared" si="85"/>
        <v>GREQRRRAVGLAAVVLLAFVTCFAPNNFVLLAHIVS</v>
      </c>
      <c r="P228" s="4" t="str">
        <f t="shared" si="86"/>
        <v>YYHVYKLTLCLSCLNNCLDPFVYYFA</v>
      </c>
      <c r="Q228" s="4" t="str">
        <f t="shared" si="87"/>
        <v>SREFQLRLREYLGCR</v>
      </c>
      <c r="R228" s="5">
        <f>VLOOKUP($A228,'SegEnds_NonXtal_Prot#'!$A:$AL,3,FALSE)</f>
        <v>19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186</v>
      </c>
      <c r="AA228" s="5">
        <f>VLOOKUP($A228,'SegEnds_NonXtal_Prot#'!$A:$AL,30,FALSE)</f>
        <v>228</v>
      </c>
      <c r="AB228" s="5">
        <f>VLOOKUP($A228,'SegEnds_NonXtal_Prot#'!$A:$AL,33,FALSE)</f>
        <v>271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160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32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24</v>
      </c>
      <c r="AW228" s="4">
        <f t="shared" si="95"/>
        <v>2</v>
      </c>
      <c r="AX228" s="4">
        <f t="shared" si="96"/>
        <v>36</v>
      </c>
      <c r="AY228" s="4">
        <f t="shared" si="97"/>
        <v>35</v>
      </c>
      <c r="AZ228" s="4">
        <f t="shared" si="98"/>
        <v>25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336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25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318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25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GNSAVMGGVLFSTGLLGNLLALGLLASVFYMLVCGLTVTDLLGKCLLSPVVLAAYAQPALDNSLCQAFAFFMSFFGLSSTLQLLAMALECWLSLGHTLRLGALVAPVVSAFSLAFCALPFMGSVLGYSVLYSSLMALLVLATVLCNLGAMRNLYAMHRRLQRHPRSSPQPLEELDHLLLLALMTVLFTMCSLPVIYRAYYGAFKRTSEEAEDLRALRFLSVISIVDPWIFIIFRSPVFRIFFHKIFI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195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43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'SegEnds_NonXtal_Prot#'!A222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'SegEnds_NonXtal_Prot#'!A223</f>
        <v>pe2r1_human</v>
      </c>
      <c r="B236" s="1" t="str">
        <f t="shared" si="75"/>
        <v>SPALPIFSMTLGAVSNLLALALLAQAARRRSAATFLLFVASLLATDLAGHVIPGALVLRLYTGGACHFLGGCMVFFGLCPLLLGCGMAVERCVGVTRSVARARLALAAVAAVALAVALLPLARGWRQALLAGLFASLGLVALLAALVCNTLSGLALLRARWRRRSRRRRARAHDVEMVGQLVGIMVVSCICWSPMLVLVALAVGGLQRPLFLAVRLASWNQILDPWVYILLRQAVLRQLLRLLPPRAGAKG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SPALPIFSMTLGAVSNLLALALLAQAA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GWRQALLAGLFASLGLVALLAALVCNTLSGLALLRARWRRRSRR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RQAVLRQLLRLLPPRAGAKG</v>
      </c>
      <c r="R236" s="5">
        <f>VLOOKUP($A236,'SegEnds_NonXtal_Prot#'!$A:$AL,3,FALSE)</f>
        <v>35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197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374</v>
      </c>
      <c r="AP236" s="5">
        <f t="shared" si="88"/>
        <v>26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43</v>
      </c>
      <c r="AY236" s="4">
        <f t="shared" si="97"/>
        <v>37</v>
      </c>
      <c r="AZ236" s="4">
        <f t="shared" si="98"/>
        <v>25</v>
      </c>
      <c r="BA236" s="4">
        <f t="shared" si="99"/>
        <v>19</v>
      </c>
    </row>
    <row r="237" spans="1:53" x14ac:dyDescent="0.2">
      <c r="A237" s="1" t="str">
        <f>'SegEnds_NonXtal_Prot#'!A224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'SegEnds_NonXtal_Prot#'!A225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VAFPITMLLTGFVGNALAMLLVSRSYRKSFLLCIGWLALTDLVGQLLTTPVVIVVYLSKIDPSGRLCTFFGLTMTVFGLSSLFIASAMAVERALAIRAKTRATRAVLLGVWLAVLAFALLPVLGWGNLFFASAFAFLGLLALTVTFSCNLATIKALVSRCRAKASSAQWGRITTETAIQLMGIMCVLSVCWSPLLIMMLKMIFNQTSTHTEKQKECNFFLIAVRLASLNQILDPWVYLLLRKILLRKFCQIRYHTNNYAS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</v>
      </c>
      <c r="O238" s="4" t="str">
        <f t="shared" si="85"/>
        <v>SSAQWGRITTETAIQLMGIMCVLSVCWSPLLIMMLKMIFNQTS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269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264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39</v>
      </c>
      <c r="AY238" s="4">
        <f t="shared" si="97"/>
        <v>42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NSPVTIPAVMFIFGVVGNLVAIVVLCTTFYTLVCGLAVTDLLGTLLVSPVTIATYMKGQPLCEYSTFILLFFSLSGLSIICAMSVERYLAINHDKRLAGLTLFAVYASNVLFCALPNMGVTAHAAYSYMYAGFSSFLILATVLCNVLVCGALLRMHRQFMRRTRRIAGAEIQMVILLIATSLVVLICSIPLVVRVFVNQLYNPDLQAIRIASVNPILDPWIYILLRKTVLSKAIEKIKC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>QWPG</v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</v>
      </c>
      <c r="O239" s="4" t="str">
        <f t="shared" si="85"/>
        <v>RRIAGAEIQMVILLIATSLVVLICSIPLVVRVFVNQLY</v>
      </c>
      <c r="P239" s="4" t="str">
        <f t="shared" si="86"/>
        <v>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>
        <f>VLOOKUP($A239,'SegEnds_NonXtal_Prot#'!$A:$AL,12,FALSE)</f>
        <v>84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309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>
        <f>VLOOKUP($A239,'SegEnds_NonXtal_Prot#'!$A:$AL,14,FALSE)</f>
        <v>87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221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43</v>
      </c>
      <c r="AY239" s="4">
        <f t="shared" si="97"/>
        <v>37</v>
      </c>
      <c r="AZ239" s="4">
        <f t="shared" si="98"/>
        <v>23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SVFFSVIFMTVGILSNSLAIAILMKAYQKSKASFLLLASGLVITDFFGHLINGAIAVFVYASFDQSNVLCSIFGICMVFSGLCPLLLGSVMAIERCIGVTKTSKHVKMMLSGVCLFAVFIALLPILGRFYLLLFSFLGLLALGVSLLCNAITGITLLRVKFKSQQHHLEMVIQLLAIMCVSCICWSPFLVTMANIGINTCETTLFALRMATWNQILDPWVYILLRKAVLKNLYKLASQCCGVHV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SVFFSVIFMTVGILSNSLAIAILMKAY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29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26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'SegEnds_NonXtal_Prot#'!A229</f>
        <v>psyr_human</v>
      </c>
      <c r="B241" s="1" t="str">
        <f t="shared" si="75"/>
        <v>QHDLDHYLFPIVYIFVIIVSIPANIGSLCVSFLQASELGIYLFSLSLSDLLYALTLPLWIDYTWNKSPALCKGSAFLMYMNFYSSTAFLTCIAVDRYLAVVYTRRFALMVSLSIWILETIFNAVMLWEKWQINLNLFRTCTGYAIPLVTILICNRKVYQAVRHENKEKKRIIKLLVSITVTFVLCFTPFHVMLLIRCILEHAHSNSGKRTYTMYRITVALTSLNCVADPILYCFVTETGRYDMWNILKFCTG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QHDLDHYLFPIVYIFVIIVSIPANIGSLCVSFLQA</v>
      </c>
      <c r="G241" s="4" t="str">
        <f t="shared" si="77"/>
        <v/>
      </c>
      <c r="H241" s="4" t="str">
        <f t="shared" si="78"/>
        <v>SELGIYLFSLSLSDLLYALTLPLWIDYTWNK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</v>
      </c>
      <c r="M241" s="4" t="str">
        <f t="shared" si="83"/>
        <v>CYD</v>
      </c>
      <c r="N241" s="4" t="str">
        <f t="shared" si="84"/>
        <v>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HSNSGKRTYTMYRITVALTSLNCVADPILYCFVTET</v>
      </c>
      <c r="Q241" s="4" t="str">
        <f t="shared" si="87"/>
        <v>GRYDMWNILKFCTG</v>
      </c>
      <c r="R241" s="5">
        <f>VLOOKUP($A241,'SegEnds_NonXtal_Prot#'!$A:$AL,3,FALSE)</f>
        <v>9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178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297</v>
      </c>
      <c r="AD241" s="5">
        <f>VLOOKUP($A241,'SegEnds_NonXtal_Prot#'!$A:$AL,5,FALSE)</f>
        <v>43</v>
      </c>
      <c r="AE241" s="5" t="str">
        <f>VLOOKUP($A241,'SegEnds_NonXtal_Prot#'!$A:$AL,8,FALSE)</f>
        <v>-</v>
      </c>
      <c r="AF241" s="5">
        <f>VLOOKUP($A241,'SegEnds_NonXtal_Prot#'!$A:$AL,11,FALSE)</f>
        <v>77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152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296</v>
      </c>
      <c r="AO241" s="5">
        <f>VLOOKUP($A241,'SegEnds_NonXtal_Prot#'!$A:$AL,38,FALSE)</f>
        <v>310</v>
      </c>
      <c r="AP241" s="5">
        <f t="shared" si="88"/>
        <v>34</v>
      </c>
      <c r="AQ241" s="4" t="str">
        <f t="shared" si="89"/>
        <v>-</v>
      </c>
      <c r="AR241" s="4">
        <f t="shared" si="90"/>
        <v>30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34</v>
      </c>
      <c r="AY241" s="4">
        <f t="shared" si="97"/>
        <v>38</v>
      </c>
      <c r="AZ241" s="4">
        <f t="shared" si="98"/>
        <v>35</v>
      </c>
      <c r="BA241" s="4">
        <f t="shared" si="99"/>
        <v>13</v>
      </c>
    </row>
    <row r="242" spans="1:53" x14ac:dyDescent="0.2">
      <c r="A242" s="1" t="str">
        <f>'SegEnds_NonXtal_Prot#'!A230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APMPVKFLALRLMVALAYGLVGAIGLLGNLAVLWVLSNCGPPSDTFVFNLALADLGLALTLPFWAAESALGGALCKMVLTATVLNVYASIFLITALSVARYWVVAMSLFWARIATLAVWAAAALVTVPTAVFGSRYWLGAYQLQRVVLAFMVPLGVITTSYLLLLAFLQRQDSRVVARSVRILVASFFLCWFPNHVVTLWGVLVKFDNSTFYTIQTYVFPVTTCLAHSNSCLNPVLYCLLRREPRQALAGTFRD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APMPVKFLALRLMVALAYGLVGAIGLLGNLAVLWVLSNC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</v>
      </c>
      <c r="R244" s="5">
        <f>VLOOKUP($A244,'SegEnds_NonXtal_Prot#'!$A:$AL,3,FALSE)</f>
        <v>29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197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326</v>
      </c>
      <c r="AP244" s="5">
        <f t="shared" si="88"/>
        <v>38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36</v>
      </c>
      <c r="AY244" s="4">
        <f t="shared" si="97"/>
        <v>36</v>
      </c>
      <c r="AZ244" s="4">
        <f t="shared" si="98"/>
        <v>32</v>
      </c>
      <c r="BA244" s="4">
        <f t="shared" si="99"/>
        <v>13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AGMVAIQCIYALVCLVGLVGNALVIFVILRYTATNIYLLNLAVADELFMLSVPFVASSAALGSVLCRAVLSVDGLNMFTSVFCLTVLSVDRYVAVVHRPSVAKLINLGVWLASLLVTLPIAIFAPHPAWSAVFVVYTFLLGFLLPVLAIGLCYLLIVGKMRAVWQQRRRSEKKITRLVLMVVVVFVLCWMPFYVVQLLNLFVATVNHVSLILSYANSCANPILYGFLSDNFRRFFQRVLC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PHPAWSAVFVVYTFLLGFLLPVLAIGLCYLLIVGKMRAV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</v>
      </c>
      <c r="R249" s="5">
        <f>VLOOKUP($A249,'SegEnds_NonXtal_Prot#'!$A:$AL,3,FALSE)</f>
        <v>45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203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327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38</v>
      </c>
      <c r="AY249" s="4">
        <f t="shared" si="97"/>
        <v>38</v>
      </c>
      <c r="AZ249" s="4">
        <f t="shared" si="98"/>
        <v>24</v>
      </c>
      <c r="BA249" s="4">
        <f t="shared" si="99"/>
        <v>12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SPWFAASFCVVGLASNLLALSVLAGARQSSFLTFLCGLVLTDFLGLLVTGTIVVSQHAACRLCRFMGVVMIFFGLSPLLLGAAMASERYLGITRSQRRAWATVGLVWAAALALGLLPLLGESGDVAFGLLFSMLGGLSVGLSFLLNTVSVATLCHVYHGQQRPRDSEVEMMAQLLGIMVVASVCWLPLLVFIAQTVLRSRTTEKELLIYLRVATWNQILDPWVYILFRRAVLRRLQPRLSTRPRSLS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EWHAV</v>
      </c>
      <c r="J252" s="4" t="str">
        <f t="shared" si="80"/>
        <v>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</v>
      </c>
      <c r="O252" s="4" t="str">
        <f t="shared" si="85"/>
        <v>QRPRDSEVEMMAQLLGIMVVASVCWLPLLVFIAQTVLR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102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234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98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229</v>
      </c>
      <c r="AM252" s="5">
        <f>VLOOKUP($A252,'SegEnds_NonXtal_Prot#'!$A:$AL,32,FALSE)</f>
        <v>271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4</v>
      </c>
      <c r="AT252" s="4">
        <f t="shared" si="92"/>
        <v>34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39</v>
      </c>
      <c r="AY252" s="4">
        <f t="shared" si="97"/>
        <v>37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'SegEnds_NonXtal_Prot#'!A241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NERSLGVRVAMYSFMAGSIFITIFGNLAMIISISYFTPTNFLILSMAITDFLLGFTIMPYSMIRSVEGLTFCKIYYSFDLMLSITSIFHLCSVAIDRFYAICYTIPVIKRLLLLCWSVPGAFAFGVVFSENKLWGTTLFMAGFFTPGSMMVGIYGKIFAVSRKHAHAINNQNNQVKKDKKAAKTLGIVIGVFLLCWFPCFFTILLDPFLPVVLFDALTWFGYFNSTCNPLIYGFFYPWFRRALKYILL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NERSLGVRVAMYSFMAGSIFITIFGNLAMIISISYF</v>
      </c>
      <c r="G254" s="4" t="str">
        <f t="shared" si="77"/>
        <v>KQLH</v>
      </c>
      <c r="H254" s="4" t="str">
        <f t="shared" si="78"/>
        <v>TPTNFLILSMAITDFLLGFTIMPYSMIRSVE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TIPVIKRLLLLCWSVPGAFAFGVVFSE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36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106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182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35</v>
      </c>
      <c r="AQ254" s="4">
        <f t="shared" si="89"/>
        <v>3</v>
      </c>
      <c r="AR254" s="4">
        <f t="shared" si="90"/>
        <v>30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26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LLARAELALLSIVFVAVALSNGLVLAALARRWAPIHVFIGHLCLADLAVALFQVLPQLAWKARGPDALCRAVKYLQMVGMYASSYMILAMTLDRHRAICRSGAHWNRPVLVAWAFSLLLSLPQLFIFRRTYVTWIALMVFVAPTLGIAACQVLIFREIHASLVPGPSERAHVSAAVAKTVRMTLVIVVVYVLCWAPFFLVQLWAAWDEGAPFVLLMLLASLNSCTNPWIYASFSSSVSSELRSLLCCARG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SSSVSSELRSLLCCARG</v>
      </c>
      <c r="R261" s="5">
        <f>VLOOKUP($A261,'SegEnds_NonXtal_Prot#'!$A:$AL,3,FALSE)</f>
        <v>35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202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345</v>
      </c>
      <c r="AP261" s="5">
        <f t="shared" si="113"/>
        <v>30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41</v>
      </c>
      <c r="AY261" s="4">
        <f t="shared" si="122"/>
        <v>37</v>
      </c>
      <c r="AZ261" s="4">
        <f t="shared" si="123"/>
        <v>25</v>
      </c>
      <c r="BA261" s="4">
        <f t="shared" si="124"/>
        <v>16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SLSTRVTLAFFMSLVAFAIMLGNALVILAFVVDHRSSYFFLNLAISDFFVGVISIPLYIPHTLGKEICVFWLTTDYLLCTASVYNIVLISYDRYLSVSNGVLKIVTLMVAVWVLAFLVNGPMILVEWYILAITSFLEFVIPVILVAYFNMNIYWSLWKRDHLSRCQSHVELLRARRLAKSLAILLGVFAVCWAPYSLFTIVLSFYKSVWYRIAFWLQWFNSFVNPLLYPLCHKRFQKAFLKIFCI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SLSTRVTLAFFMSLVAFAIMLGNALVILAFVVD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HKRFQKAFLKIFCI</v>
      </c>
      <c r="R266" s="5">
        <f>VLOOKUP($A266,'SegEnds_NonXtal_Prot#'!$A:$AL,3,FALSE)</f>
        <v>11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375</v>
      </c>
      <c r="AP266" s="5">
        <f t="shared" si="113"/>
        <v>32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13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FLQFSKVFLPCMYLVVFVCGLVGNSLVLVISIFYSLTDVFLVNLPLADLVFVCTLPFWAYAGIHGQVMCKSLLGIYTINFYTSMLILTCITVDRFIVVVKRMTWGKVTSLLIWVISLLVSLPQIIYGAISTVVLATQMTLGFFLPLLTMIVCYSVIIKTLLHAKHRSLKIIFLVMAVFLLTQMPFNLMKFIRSTHEYYAMTSFHYTIMVTEAIAYLRACLNPVLYAFVSLKFRKNFWKLVKDIGCLPYL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EYYAMTSFHYTIMVTEAIAYLRACLNPVLYAFV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259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32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317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9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FEESRIVLVVVYSAVCTLGVPANCLTAWLALLQNVLAVYLLCLALCELLYTGTLPLWVIYIRNGLLACKVTAYIFFCNIYVSILFLCCISCDRFVAVVYRRRTAILISACIFILVGIVHYPVFQMDSRIAGYYYARFTVGFAIPLSIIAFTNHRIFRSIKQSAAQKAKVKHSAIAVVVIFLVCFAPYHLVLLVKAAAFSYMCGLEERLYTASVVFLCLSTVNGVADPIIYVLATDHSRQEVSRIHKGW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FEESRIVLVVVYSAVCTLGVPANCLTAWLALLQ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</v>
      </c>
      <c r="M276" s="4" t="str">
        <f t="shared" si="108"/>
        <v>CFD</v>
      </c>
      <c r="N276" s="4" t="str">
        <f t="shared" si="109"/>
        <v>MDSRIAGYYYARFTVGFAIPLSIIAFTNHRIFRSIKQ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TDHSRQEVSRIHKGW</v>
      </c>
      <c r="R276" s="5">
        <f>VLOOKUP($A276,'SegEnds_NonXtal_Prot#'!$A:$AL,3,FALSE)</f>
        <v>38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192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179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326</v>
      </c>
      <c r="AP276" s="5">
        <f t="shared" si="113"/>
        <v>32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24</v>
      </c>
      <c r="AW276" s="4">
        <f t="shared" si="120"/>
        <v>2</v>
      </c>
      <c r="AX276" s="4">
        <f t="shared" si="121"/>
        <v>36</v>
      </c>
      <c r="AY276" s="4">
        <f t="shared" si="122"/>
        <v>38</v>
      </c>
      <c r="AZ276" s="4">
        <f t="shared" si="123"/>
        <v>32</v>
      </c>
      <c r="BA276" s="4">
        <f t="shared" si="124"/>
        <v>14</v>
      </c>
    </row>
    <row r="277" spans="1:53" x14ac:dyDescent="0.2">
      <c r="A277" s="1" t="str">
        <f>'SegEnds_NonXtal_Prot#'!A268</f>
        <v>gp135_human</v>
      </c>
      <c r="B277" s="1" t="str">
        <f t="shared" si="100"/>
        <v>HGAAVAAQALVLLLIFLLSSLGNCAVMGVIVKHTVTNAFILSLSLSDLLTALLCLPAAFLDLFTPAGPWRGFCAASRFFSSCFGIVSTLSVALISLDRYCAIVRGRRRALQLLAGAWLTALGFSLPWELLGGAAFSVGLVVACYLLPFLLMCFCHYHICKTVRLSDVRVRARVLRFFSEVRTATTVLIMIVFVICCWGPYCFLVLLAAARPSLLSVVAVWLTWANGAINPVIYAIRNPNISMLLGRNREEGYR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HGAAVAAQALVLLLIFLLSSLGNCAVMGVIVKH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GAAFSVGLVVACYLLPFLLMCFCHYHICKTVRLSDVRVR</v>
      </c>
      <c r="O277" s="4" t="str">
        <f t="shared" si="110"/>
        <v>ARVLRFFSEVRTATTVLIMIVFVICCWGPYCFLVLLAAAR</v>
      </c>
      <c r="P277" s="4" t="str">
        <f t="shared" si="111"/>
        <v>PSLLSVVAVWLTWANGAINPVIYAIR</v>
      </c>
      <c r="Q277" s="4" t="str">
        <f t="shared" si="112"/>
        <v>NPNISMLLGRNREEGYR</v>
      </c>
      <c r="R277" s="5">
        <f>VLOOKUP($A277,'SegEnds_NonXtal_Prot#'!$A:$AL,3,FALSE)</f>
        <v>99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274</v>
      </c>
      <c r="AA277" s="5">
        <f>VLOOKUP($A277,'SegEnds_NonXtal_Prot#'!$A:$AL,30,FALSE)</f>
        <v>318</v>
      </c>
      <c r="AB277" s="5">
        <f>VLOOKUP($A277,'SegEnds_NonXtal_Prot#'!$A:$AL,33,FALSE)</f>
        <v>365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407</v>
      </c>
      <c r="AP277" s="5">
        <f t="shared" si="113"/>
        <v>32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38</v>
      </c>
      <c r="AY277" s="4">
        <f t="shared" si="122"/>
        <v>39</v>
      </c>
      <c r="AZ277" s="4">
        <f t="shared" si="123"/>
        <v>25</v>
      </c>
      <c r="BA277" s="4">
        <f t="shared" si="124"/>
        <v>16</v>
      </c>
    </row>
    <row r="278" spans="1:53" x14ac:dyDescent="0.2">
      <c r="A278" s="1" t="str">
        <f>'SegEnds_NonXtal_Prot#'!A269</f>
        <v>gp146_human</v>
      </c>
      <c r="B278" s="1" t="str">
        <f t="shared" si="100"/>
        <v>QLGLSLLSLLGLVVGVPVGLCYNALLVLANLHSYFVNMAVAGLVLSALAPVHLLGPPSSRGGEVHVALQIPFNVSSLVAMYSTALLSLDHYIERALSVYNTRHVCGFVWGGALLTSFSSLLFYNAEAADATLVFIGYVVPALATLYALVLLSRVRREDRDTGRLEPSAHRLLVATVCTQFGLWTPHYLILLGHTVIISRDAHYLGLLHFVKDFSKLLAFSSSFVTPLLYRYMNQSFPSKLQRLMKKL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QLGLSLLSLLGLVVGVPVGLCYNALLVLANLHS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23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32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APASGPPSRRVRLVFLGVILVVAVAGNTTVLCRLCGGRKMDFLLVQLALADLYACGGTALSQLAWELAATGDLACRFLQLLQASGRGASAHLVVLIALERRRAVRLRPLPARALAALGWLLALLLALPPAFVVRWHLQVYAFYEAVAGFVAPVTVLGVACGHLLSVWWRHRPQAPAPAPSALPRAKVQSLKMSLLLALLFVGCELPYFAARLAAAWSGPAGDWEGEGLSAALRVVAMANSALNPFVYLFFQAGDCRLRRQLRK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APASGPPSRRVRLVFLGVILVVAVAGNTTVLCRLCGG</v>
      </c>
      <c r="G280" s="4" t="str">
        <f t="shared" si="102"/>
        <v/>
      </c>
      <c r="H280" s="4" t="str">
        <f t="shared" si="103"/>
        <v>RKMDFLLVQLALADLYACGGTALSQLAWEL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RWHLQVYAFYEAVAGFVAPVTVLGVACGHLLSVWWRHRPQAPA</v>
      </c>
      <c r="O280" s="4" t="str">
        <f t="shared" si="110"/>
        <v>PAPSALPRAKVQSLKMSLLLALLFVGCELPYFAARLAAAWS</v>
      </c>
      <c r="P280" s="4" t="str">
        <f t="shared" si="111"/>
        <v>GPAGDWEGEGLSAALRVVAMANSALNPFVYLFF</v>
      </c>
      <c r="Q280" s="4" t="str">
        <f t="shared" si="112"/>
        <v>QAGDCRLRRQLRK</v>
      </c>
      <c r="R280" s="5">
        <f>VLOOKUP($A280,'SegEnds_NonXtal_Prot#'!$A:$AL,3,FALSE)</f>
        <v>34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226</v>
      </c>
      <c r="AA280" s="5">
        <f>VLOOKUP($A280,'SegEnds_NonXtal_Prot#'!$A:$AL,30,FALSE)</f>
        <v>281</v>
      </c>
      <c r="AB280" s="5">
        <f>VLOOKUP($A280,'SegEnds_NonXtal_Prot#'!$A:$AL,33,FALSE)</f>
        <v>323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109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368</v>
      </c>
      <c r="AP280" s="5">
        <f t="shared" si="113"/>
        <v>36</v>
      </c>
      <c r="AQ280" s="4" t="str">
        <f t="shared" si="114"/>
        <v>-</v>
      </c>
      <c r="AR280" s="4">
        <f t="shared" si="115"/>
        <v>29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42</v>
      </c>
      <c r="AY280" s="4">
        <f t="shared" si="122"/>
        <v>40</v>
      </c>
      <c r="AZ280" s="4">
        <f t="shared" si="123"/>
        <v>32</v>
      </c>
      <c r="BA280" s="4">
        <f t="shared" si="124"/>
        <v>12</v>
      </c>
    </row>
    <row r="281" spans="1:53" x14ac:dyDescent="0.2">
      <c r="A281" s="1" t="str">
        <f>'SegEnds_NonXtal_Prot#'!A272</f>
        <v>gp160_human</v>
      </c>
      <c r="B281" s="1" t="str">
        <f t="shared" si="100"/>
        <v>QTNQPLDVNYLLFLIILGKILLNILTLGMRRKNNFMEYFCISLAFVDLLLLVNISIILYFRDFRFTKYHICLFTQIISFTYGFLHYPVFLTACIDYCLNFSKQKLFYFFTVILIWISVLAYVLGDPAIQSYWLSFFMVMILFVAFITCWEEVTTLVQAIRITSYMNESHSSYTVRSKKIFLSKLIVCFLSTWLPFVLLQVIIVLLPAYIEMNIPWLYFVNSFLIATVYWFNCHKLNLKDIGL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QTNQPLDVNYLLFLIILGKILLNILTLGMRRKN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</v>
      </c>
      <c r="R281" s="5">
        <f>VLOOKUP($A281,'SegEnds_NonXtal_Prot#'!$A:$AL,3,FALSE)</f>
        <v>17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306</v>
      </c>
      <c r="AP281" s="5">
        <f t="shared" si="113"/>
        <v>32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10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257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26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PAPLRISLAIVMLLMTVVGFLGNTVVCIIVYQRSAINLLLATLAFSDIMLSLCCMPFTAVTLITVGDHFCRLSATLYWFFVLEGVAILLIISVDRFLIIVQNPRRAKVIIAVSWVLSFCIAGPSLTGDRAYVVTLVVAVFFAPFGVMLCAYMCILNTVRKNAVRVHNQSSVDLSFKTKAFTTILILFVGFSLCWLPHSVYSLLSVFSFYATSTCVLWLSYLKSVFNPIVYCWRIKKFREACIELL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PAPLRISLAIVMLLMTVVGFLGNTVVCIIVYQR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NPRRAKVIIAVSWVLSFCIAGPSLTG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FYATSTCVLWLSYLKSVFNPIVYCWR</v>
      </c>
      <c r="Q284" s="4" t="str">
        <f t="shared" si="112"/>
        <v>IKKFREACIELL</v>
      </c>
      <c r="R284" s="5">
        <f>VLOOKUP($A284,'SegEnds_NonXtal_Prot#'!$A:$AL,3,FALSE)</f>
        <v>30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302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169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339</v>
      </c>
      <c r="AP284" s="5">
        <f t="shared" si="113"/>
        <v>32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25</v>
      </c>
      <c r="BA284" s="4">
        <f t="shared" si="124"/>
        <v>11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LPLQITLSAIMIFILFVSFLGNLVVCLMVYQKSAINILLASLAFADMLLAVLNMPFALVTILTTGKFFCRVSAMFFWLFVIEGVAILLIISIDRFLIIVQNPYRAKVLIAVSWATSFCVAFPLAVYQAYVILISLISFFIPFLVILYSFMGILNTLRHNALRIHSYPSIDMGFKTRAFTTILILFAVFIVCWAPFTTYSLVATFSFFEISTWLLWLCYLKSALNPLIYYWRIKKFHDACLDMMP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LPLQITLSAIMIFILFVSFLGNLVVCLMVYQK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FFEISTWLLWLCYLKSALNPLIYYWR</v>
      </c>
      <c r="Q286" s="4" t="str">
        <f t="shared" si="112"/>
        <v>IKKFHDACLDMMP</v>
      </c>
      <c r="R286" s="5">
        <f>VLOOKUP($A286,'SegEnds_NonXtal_Prot#'!$A:$AL,3,FALSE)</f>
        <v>78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349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215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387</v>
      </c>
      <c r="AP286" s="5">
        <f t="shared" si="113"/>
        <v>31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24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25</v>
      </c>
      <c r="BA286" s="4">
        <f t="shared" si="124"/>
        <v>12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PAWQIVLWAAAYTVIVVTSVVGNVVVMWIILAHTVTNYFLVNLAFAEASMAAFNTVVNFTYAVHNGLFYCKFHNFFPIAAVFASIYSMTAVAFDRYMAIIHSATATKVVICVIWVLALLLAFPQGYYSPNKIYEKVYHICVTVLIYFLPLLVIGYAYTVVGITLWASEIPGDRYHEQVSAKRKVVKMMIVVVCTFAICWLPFHIFFLLPYINFIQQVYLAIMWLAMSSTMYNPIIYCCLNDRFRLGFKHAF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FIQQVYLAIMWLAMSSTMYNPIIYCCL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282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26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PSWQLALWATAYLALVLVAVTGNAIVIWIILAHTVTNYFIVNLALADLCMAAFNAAFNFVYASHNGRAFCYFQNLFPITAMFVSIYSMTAIAADRYMAIVHSAPSTKAVIAGIWLVALALASPQCFYSSGGKTLLLYHLVVIALIYFLPLAVMFVAYSVIGLTLWRRAVPGHANLRHLQAMKKFVKTMVLVVLTFAICWLPYHLYFILGSFQFIQQVYLALFWLAMSSTMYNPIIYCCLNHRFRSGFRLAF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TVTNYFIVNLALADLCMAAFNAAFNFVYASHN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FIQQVYLALFWLAMSSTMYNPIIYCCL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284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97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31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26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PSWRIALWSLAYGVVVAVAVLGNLIVIWIILAHTVTNYFLVNLAFSDASMAAFNTLVNFIYALHSGANYCRFQNFFPITAVFASIYSMTAIAVDRYMAIIDSATATKIVIGSIWILAFLLAFPQCLYSEGPKQHFTYHIIVIILVYCFPLLIMGITYTIVGITLWGGEIPGDKYHEQLKAKRKVVKMMIIVVMTFAICWLPYHIYFILTAIYYIQQVYLASFWLAMSSTMYNPIIYCCLNKRFRAGFKRAF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YIQQVYLASFWLAMSSTMYNPIIYCCL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333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26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STLAPLPAPLAVAVPVVYAVICAVGLAGNSAVLYVLLRATVTNLFILNLAIADELFTLVLPINIADFLLGELMCKLIVAIDQYNTFSSLYFLTVMSADRYLVVLATYSAARAVSLAVWGIVTLVVLPFAVFAEAFWWRASRLYTLVLGFAIPVSTICVLYTTLLCRLHAMAKALERAKKRVTFLVVAILAVCLLCWTPYHLSTVVALTTTPLVIAISYFITSLSYANSCLNPFLYAFLDASFRRNLRQLITC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STLAPLPAPLAVAVPVVYAVICAVGLAGNSAVLYVLLRA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27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38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AAMFIVAYALIFLLCMVGNTLVCFIVLKNTVTNMFILNLAVSDLLVGIFCMPTTLVDNLIDNATCKMSGLVQGMSVSASVFTLVAIAVERFRCIVHTLRKALVTIAVIWALALLIMCPSAVTLKGMRRVYTTVLFSHIYLAPLALIVVMYARIARKLCQAPGPAPADPRASRRRARVVHMLVMVALFFTLSWLPLWALLLLIDYGHLVTVYAFPFAHWLAFFNSSANPIIYGYFNENFRRGFQAAF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41</v>
      </c>
      <c r="AY293" s="4">
        <f t="shared" si="122"/>
        <v>39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VAAIFIISYFLIFFLCMMGNTVVCFIVMRNTVTNLFILNLAISDLLVGIFCMPITLLDNIIAGNTMCKISGLVQGISVAASVFTLVAIAVDRFQCVVYTIKTAFVIIMIIWVLAITIMSPSAVMLEMRKIYTTVLFANIYLAPLSLIVIMYGRIGISLFRAAVPHTHVVSRKKQKIIKMLLIVALLFILSWLPLWTLMMLSDYAQIINIYIYPFAHWLAFGNSSVNPIIYGFFNENFRRGFQEAF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VAAIFIISYFLIFFLCMMGNTVVCFIVMRN</v>
      </c>
      <c r="G294" s="4" t="str">
        <f t="shared" si="102"/>
        <v>KHMH</v>
      </c>
      <c r="H294" s="4" t="str">
        <f t="shared" si="103"/>
        <v>TVTNLFILNLAISDLLVGIFCMPITLLDNIIA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146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316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211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29</v>
      </c>
      <c r="AQ294" s="4">
        <f t="shared" si="114"/>
        <v>3</v>
      </c>
      <c r="AR294" s="4">
        <f t="shared" si="115"/>
        <v>31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40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QVVLILAYCSIILLGVIGNSLVIHVVIKFTVTNFFIANLAVADLLVNTLCLPFTLTYTLMGPVLCHLVPYAQGLAVQVSTITLTVIALDRHRCIVYSKRISFLIIGLAWGISALLASPLAIFRSIYGTVYSLSSLLILYVLPLGIISFSYTRIWSKLKNHVSPGDHYHQRRQKTTKMLVCVVVVFAVSWLPLHAFQLAVDIDLKEYKLIFTVFHIIAMCSTFANPLLYGWMNSNYRKAFLSAF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QVVLILAYCSIILLGVIGNSLVIHVVIKF</v>
      </c>
      <c r="G296" s="4" t="str">
        <f t="shared" si="102"/>
        <v>KSMR</v>
      </c>
      <c r="H296" s="4" t="str">
        <f t="shared" si="103"/>
        <v>TVTNFFIANLAVADLLVNTLCLPFTLTYTLM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SIYGTVYSLSSLLILYVLPLGIISFSYTRIWSKLKNHVSPG</v>
      </c>
      <c r="O296" s="4" t="str">
        <f t="shared" si="110"/>
        <v>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50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213</v>
      </c>
      <c r="AA296" s="5">
        <f>VLOOKUP($A296,'SegEnds_NonXtal_Prot#'!$A:$AL,30,FALSE)</f>
        <v>257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113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28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40</v>
      </c>
      <c r="AY296" s="4">
        <f t="shared" si="122"/>
        <v>37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ARVEVAVLCLILLLALSGNACVLLALRTTSRLFFFMKHLSIADLVVAVFQVLPQLLWDIYGPDLLCRLVKYLQVVGMFASTYLLLLMSLDRCLAICQRRRTDRLAVLATWLGCLVASAPQVHIFPWGPKAYITWITLAVYIVPVIVLAACYGLISFKIWQNLRLKTAAAKLISKAKIRTVKMTFIIVLAFIVCWTPFFFVQMWSVWDEASAFIIVMLLASLNSCCNPWIYMLFTGHLFHELVQRF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PWGPKAYITWITLAVYIVPVIVLAACYGLISFKIWQNLRLKTAAA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39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194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28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44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'SegEnds_NonXtal_Prot#'!A294</f>
        <v>pkr1_human</v>
      </c>
      <c r="B302" s="1" t="str">
        <f t="shared" si="100"/>
        <v>FFAAKIVIGMALVGIMLVCGIGNFIFIAALVRYNLTNLLIANLAISDFLVAIVCCPFEMDYYVVRGHVLCTSVNYLRTVSLYVSTNALLAIAIDRYLAIVHKCQTATGLIALVWTVSILIAIPSAYFTQQLYYKSYFLFIFGIEFVGPVVTMTLCYARISRELWFKAVPGFQIRKRLRCRRKTVLVLMCILTAYVLCWAPFYGFTIVRDFFEKHYLTAFYIVECIAMSNSMINTLCFVTVNDTVKYFKKIML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FFAAKIVIGMALVGIMLVCGIGNFIFIAALVRY</v>
      </c>
      <c r="G302" s="4" t="str">
        <f t="shared" si="102"/>
        <v>KKLR</v>
      </c>
      <c r="H302" s="4" t="str">
        <f t="shared" si="103"/>
        <v>NLTNLLIANLAISDFLVAIVCCPFEMDYYVVR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58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225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126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32</v>
      </c>
      <c r="AQ302" s="4">
        <f t="shared" si="114"/>
        <v>3</v>
      </c>
      <c r="AR302" s="4">
        <f t="shared" si="115"/>
        <v>31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42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EARVRILISVVYWVVCALGLAGNLLVLYLMKSMKSSINLFVTNLALTDFQFVLTLPFWAVENALGKAMCKIVSMVTSMNMYASVFFLTAMSVTRYHSVASCCFSAKALCVWIWALAALASLPSAIFSWLGLYHSQKVLLGFVLPLGIIILCYLLLVRFIADRRAAGTKRPTGASARRLSKVTKSVTIVVLSFFLCWLPNQALTTWSILIKFNSQEYFLCQVYAFPVSVCLAHSNSCLNPVLYCLVRREFRKALKSLLWRI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EARVRILISVVYWVVCALGLAGNLLVLYLMKSM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77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32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'SegEnds_NonXtal_Prot#'!A299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'SegEnds_NonXtal_Prot#'!A300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'SegEnds_NonXtal_Prot#'!A301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'SegEnds_NonXtal_Prot#'!A302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'SegEnds_NonXtal_Prot#'!A303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'SegEnds_NonXtal_Prot#'!A304</f>
        <v>ghrhr_human</v>
      </c>
      <c r="B310" s="1" t="str">
        <f t="shared" si="100"/>
        <v>LAEEESYFSTVKIIYTVGHSISIVALFVAITILVALCPRNYVHTQLFTTFILKAGAVFLKDAALVLCKVSVAASHFATMTNFSWLLAEAVYLNCLLASRAFWWLVLAGWGLPVLFTGTWVSCKLAFEYWWIIKGPIVLSVGVNFGLFLNIIRILVRKLHTQSQYWRLSKSTLFLIPLFGIHYIIFNFLGIRLPLELGLGSFQGFIVAILYCFLNQEVRTEISRKWHGHDPELLPAWRTR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119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200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347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35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30</v>
      </c>
      <c r="AY310" s="4">
        <f t="shared" si="122"/>
        <v>28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'SegEnds_NonXtal_Prot#'!A305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'SegEnds_NonXtal_Prot#'!A306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'SegEnds_NonXtal_Prot#'!A307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'SegEnds_NonXtal_Prot#'!A308</f>
        <v>glr_human</v>
      </c>
      <c r="B314" s="1" t="str">
        <f t="shared" si="100"/>
        <v>QKEVAKMYSSFQVMYTVGYSLSLGALLLALAILGGLCTRNAIHANLFASFVLKASSVLVIDGLLRTRYSAVAGCRVAAVFMQYGIVANYCWLLVEGLYLHNLLGLSFFSLYLGIGWGAPMLFVVPWAVVKCLFENMGFWWILRFPVFLAILINFFIFVRIVQLLVAKLRADYKFRLAKSTLTLIPLLGVHEVVFAFQGTLRSAKLFFDLFLSSFQGLLVAVLYCFLNKEVQSELRRRWHRWRLGKVLWEERN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'SegEnds_NonXtal_Prot#'!A309</f>
        <v>pacr_human</v>
      </c>
      <c r="B315" s="1" t="str">
        <f t="shared" si="100"/>
        <v>YESETGDQDYYYLSVKALYTVGYSTSLVTLTTAMVILCRFCTRNFIHMNLFVSFMLRAISVFIKDWILVECKAVMVFFHYCVVSNYFWLFIEGLYLFTLLVEPERRYFYWYTIIGWGTPTVCVTVWATLRLYFDLWWVIKGPVVGSIMVNFVLFIGIIVILVQKLNESSIYLRLARSTLLLIPLFGIHYTVFAFSKRERLVFELGLGSFQGFVVAVLYCFLNGEVQAEIKRKWRSWKVNRYFAVDFK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YESETGDQDYYYLSVKALYTVGYSTSLVTLTTAMVILCRF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VECKAVMVFFHYCVVSNYFWLFIEGLYLFTLLVE</v>
      </c>
      <c r="K315" s="4" t="str">
        <f t="shared" si="106"/>
        <v/>
      </c>
      <c r="L315" s="4" t="str">
        <f t="shared" si="107"/>
        <v>PERRYFYWYTIIGWGTPTVCVTVWATLRLYFD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139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224</v>
      </c>
      <c r="W315" s="5" t="str">
        <f>VLOOKUP($A315,'SegEnds_NonXtal_Prot#'!$A:$AL,18,FALSE)</f>
        <v>-</v>
      </c>
      <c r="X315" s="5">
        <f>VLOOKUP($A315,'SegEnds_NonXtal_Prot#'!$A:$AL,21,FALSE)</f>
        <v>261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39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31</v>
      </c>
      <c r="AW315" s="4">
        <f t="shared" si="120"/>
        <v>2</v>
      </c>
      <c r="AX315" s="4">
        <f t="shared" si="121"/>
        <v>30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'SegEnds_NonXtal_Prot#'!A310</f>
        <v>pth1r_human</v>
      </c>
      <c r="B316" s="1" t="str">
        <f t="shared" si="100"/>
        <v>FLTNETREREVFDRLGMIYTVGYSVSLASLTVAVLILAYFCTRNYIHMHLFLSFMLRAVSIFVKDAVLYSGATGYAGCRVAVTFFLYFLATNYYWILVEGLYLHSLIFMSEKKYLWGFTVFGWGLPAVFVAVWVSVRATLAKKWIIQVPILASIVLNFILFINIVRVLATKLDTRQQYRKLLKSTLVLMPLFGVHYIVFMATGTLWQVQMHYEMLFNSFQGFFVAIIYCFCNGEVQAEIKKSWSRWTLALDFKRKAR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FLTNETREREVFDRLGMIYTVGYSVSLASLTVAVLILAYF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173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39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30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'SegEnds_NonXtal_Prot#'!A311</f>
        <v>pth2r_human</v>
      </c>
      <c r="B317" s="1" t="str">
        <f t="shared" si="100"/>
        <v>QPDISIGKQEFFERLYVMYTVGYSISFGSLAVAILIIGYFCTRNYIHMHLFVSFMLRATSIFVKDRVVHAHIGQYIGCKIAVVMFIYFLATNYYWILVEGLYLHNLIFVSDTKYLWGFILIGWGFPAAFVAAWAVARATLAIKWIYQAPILAAIGLNFILFLNTVRVLATKIDTRKQYRKLAKSTLVLVLVFGVHYIVFVCLGLGWEIRMHCELFFNSFQGFFVSIIYCYCNGEVQAEVKKMWSRWNLSVDWKRTPP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QPDISIGKQEFFERLYVMYTVGYSISFGSLAVAILIIGYF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130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39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30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'SegEnds_NonXtal_Prot#'!A312</f>
        <v>sctr_human</v>
      </c>
      <c r="B318" s="1" t="str">
        <f t="shared" si="100"/>
        <v>HSYLLKLKVMYTVGYSSSLVMLLVALGILCAFCTRNYIHMHLFVSFILRALSNFIKDAVLAGCKLVMVLFQYCIMANYSWLLVEGLYLHTLLAIERKYLQGFVAFGWGSPAIFVALWAIARHFLEIWWIIRGPVILSILINFILFINILRILMRKLNEVSHYKRLARSTLLLIPLFGIHYIVFAFMEIQLFFELALGSFQGLVVAVLYCFLNGEVQLEVQKKWQQWHLREFPLHPVA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AGCKLVMVLFQYCIMANYSWLLVEGLYLHTLLAI</v>
      </c>
      <c r="K318" s="4" t="str">
        <f t="shared" si="106"/>
        <v/>
      </c>
      <c r="L318" s="4" t="str">
        <f t="shared" si="107"/>
        <v>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136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213</v>
      </c>
      <c r="W318" s="5" t="str">
        <f>VLOOKUP($A318,'SegEnds_NonXtal_Prot#'!$A:$AL,18,FALSE)</f>
        <v>-</v>
      </c>
      <c r="X318" s="5">
        <f>VLOOKUP($A318,'SegEnds_NonXtal_Prot#'!$A:$AL,21,FALSE)</f>
        <v>251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360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31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30</v>
      </c>
      <c r="AW318" s="4">
        <f t="shared" si="120"/>
        <v>2</v>
      </c>
      <c r="AX318" s="4">
        <f t="shared" si="121"/>
        <v>30</v>
      </c>
      <c r="AY318" s="4">
        <f t="shared" si="122"/>
        <v>28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'SegEnds_NonXtal_Prot#'!A313</f>
        <v>vipr1_human</v>
      </c>
      <c r="B319" s="1" t="str">
        <f t="shared" si="100"/>
        <v>AASLDEQQTMFYGSVKTGYTIGYGLSLATLLVATAILSLFCTRNYIHMHLFISFILRAAAVFIKDLALVGCKAAMVFFQYCVMANFFWLLVEGLYLYTLLAVSERKYFWGYILIGWGVPSTFTMVWTIARIHFELWWIIKGPILTSILVNFILFICIIRILLQKLSDSSPYSRLARSTLLLIPLFGVHYIMFAFFPEVKMVFELVVGSFQGFVVAILYCFLNGEVQAELRRKWRRWHLQGVLGWNPK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AASLDEQQTMFYGSVKTGYTIGYGLSLATLLVATAILSLF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VGCKAAMVFFQYCVMANFFWLLVEGLYLYTLLAV</v>
      </c>
      <c r="K319" s="4" t="str">
        <f t="shared" si="106"/>
        <v/>
      </c>
      <c r="L319" s="4" t="str">
        <f t="shared" si="107"/>
        <v>SERKYFWGYILIGWGVPSTFTMVWTIARIHFE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128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213</v>
      </c>
      <c r="W319" s="5" t="str">
        <f>VLOOKUP($A319,'SegEnds_NonXtal_Prot#'!$A:$AL,18,FALSE)</f>
        <v>-</v>
      </c>
      <c r="X319" s="5">
        <f>VLOOKUP($A319,'SegEnds_NonXtal_Prot#'!$A:$AL,21,FALSE)</f>
        <v>250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39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31</v>
      </c>
      <c r="AW319" s="4">
        <f t="shared" si="120"/>
        <v>2</v>
      </c>
      <c r="AX319" s="4">
        <f t="shared" si="121"/>
        <v>30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'SegEnds_NonXtal_Prot#'!A314</f>
        <v>vipr2_human</v>
      </c>
      <c r="B320" s="1" t="str">
        <f t="shared" si="100"/>
        <v>SDPEDESKITFYILVKAIYTLGYSVSLMSLATGSIILCLFCTRNYIHLNLFLSFILRAISVLVKDDVLVGCKLSLVFLQYCIMANFFWLLVEGLYLHTLLVAPPRRCFLAYLLIGWGLPTVCIGAWTAARLYLEPWWVIRIPILISIIVNFVLFISIIRILLQKLNDQSQYKRLAKSTLLLIPLFGVHYMVFAVFSKYQILFELCLGSFQGLVVAVLYCFLNSEVQCELKRKWRSRCPTPSASRDYR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SDPEDESKITFYILVKAIYTLGYSVSLMSLATGSIILCLF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PPRRCFLAYLLIGWGLPTVCIGAWTAARLYLE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112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236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39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31</v>
      </c>
      <c r="AW320" s="4">
        <f t="shared" si="120"/>
        <v>2</v>
      </c>
      <c r="AX320" s="4">
        <f t="shared" si="121"/>
        <v>30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'SegEnds_NonXtal_Prot#'!A315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'SegEnds_NonXtal_Prot#'!A316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'SegEnds_NonXtal_Prot#'!A317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'SegEnds_NonXtal_Prot#'!A318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'SegEnds_NonXtal_Prot#'!A319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'SegEnds_NonXtal_Prot#'!A320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'SegEnds_NonXtal_Prot#'!A322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'SegEnds_NonXtal_Prot#'!A323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'SegEnds_NonXtal_Prot#'!A324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'SegEnds_NonXtal_Prot#'!A325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'SegEnds_NonXtal_Prot#'!A326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'SegEnds_NonXtal_Prot#'!A328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'SegEnds_NonXtal_Prot#'!A329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'SegEnds_NonXtal_Prot#'!A330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'SegEnds_NonXtal_Prot#'!A331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'SegEnds_NonXtal_Prot#'!A332</f>
        <v>agrg2_human</v>
      </c>
      <c r="B336" s="1" t="str">
        <f t="shared" si="125"/>
        <v>SRTSVLPAQMMALTFITYIGCGLSSIFLSVTLVTYIAFDYPSKILIQLCAALLLLNLVFLLDSWIGLCISVAVFLHYFLLVSFTWMGLEAFHMYLALVKYIRKYILKFCIVGWGVPAVVVTIILTISPDNYNAVFYITVVGYFCVIFLLNVSMFIVVLVQLCRIKTSIQDLRSIAGLTFLLGITWGFAFFANVTFMYLFAIFNTLQGFFIFIFYCVAKENVRKQWRRYLCCGKL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YIRKYILKFCIVGWGVPAVVVTIILTISPDNY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730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31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'SegEnds_NonXtal_Prot#'!A333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'SegEnds_NonXtal_Prot#'!A334</f>
        <v>agrg4_human</v>
      </c>
      <c r="B338" s="1" t="str">
        <f t="shared" si="125"/>
        <v>SRSTVDSVNEQILALITYTGCGISSIFLGVAVVTYIAFDYPAKILINLCTALLMLNLVFLINSWLGVCITAAVALHYFLLVSFTWMGLEAVHMYLALVKYIPNYILKFCLVGWGIPAIMVAITVSVKKDLYDSIFYISVVAYFCLIFLMNLSMFCTVLVQLNSVKMILHDLKGTMSLTFLLGLTWGFAFFARNFFLYLFAIFNTLQGFFIFVFHCVMKESVREQWQIHLCCGWL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YIPNYILKFCLVGWGIPAIMVAITVSVKKDLY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MILHDLKGTMSLTFLLGLTWGFAFFA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2845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2959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31</v>
      </c>
      <c r="AW338" s="4">
        <f t="shared" si="145"/>
        <v>2</v>
      </c>
      <c r="AX338" s="4">
        <f t="shared" si="146"/>
        <v>33</v>
      </c>
      <c r="AY338" s="4">
        <f t="shared" si="147"/>
        <v>25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'SegEnds_NonXtal_Prot#'!A335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'SegEnds_NonXtal_Prot#'!A336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'SegEnds_NonXtal_Prot#'!A337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'SegEnds_NonXtal_Prot#'!A338</f>
        <v>agrl1_human</v>
      </c>
      <c r="B342" s="1" t="str">
        <f t="shared" si="125"/>
        <v>REIYQGRINELLLSVITWVGIVISLVCLAICISTFCFLTDRNTIHKNLCINLFLAELLFLVGIDKIACPIFAGLLHYFFLAAFSWLCLEGVHLYLLLVESRTKYYYLGGYCFPALVVGIAAAIDYRSYDNYFIWSFIGPVSFVIVVNLVFLMVTLHKMIRSSNIKSWALGAIALLFLLGLTWAFGLLSVVMAYLFTTFNAFQGVFIFVFHCALQKKVHKEYSKCLRHSYC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SRTKYYYLGGYCFPALVVGIAAAIDYRSY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961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28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'SegEnds_NonXtal_Prot#'!A339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'SegEnds_NonXtal_Prot#'!A340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'SegEnds_NonXtal_Prot#'!A341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'SegEnds_NonXtal_Prot#'!A342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'SegEnds_NonXtal_Prot#'!A343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'SegEnds_NonXtal_Prot#'!A344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'SegEnds_NonXtal_Prot#'!A345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'SegEnds_NonXtal_Prot#'!A346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'SegEnds_NonXtal_Prot#'!A348</f>
        <v>casr_human</v>
      </c>
      <c r="B351" s="1" t="str">
        <f t="shared" si="125"/>
        <v>PFGIALTLFAVLGIFLTAFVLGVFIKFNRELSYLLLFSLLCCFSSSLFFIQDWTCRLRQPAFGISFVLCISCILVKTNRVLLVFGLNLQFLLVFLCTFMQIVICVIWLYTASLMALGFLIGYTCLLAAICFFFAFKSEAKFITFSMLIFFIVWISFIPAYASFVSAVEVIAILAASFGLLACIFFNKIYIILFKPSRNTIEEVRCS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QDWTCRLRQPAFGISFVLCISCILVKTNRVLLVF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673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'SegEnds_NonXtal_Prot#'!A349</f>
        <v>gabr1_human</v>
      </c>
      <c r="B352" s="1" t="str">
        <f t="shared" si="125"/>
        <v>KLFISVSVLSSLGIVLAVVCLSFNIYNQPNLNNLTAVGCSLALAAVFPLGFPFVCQARLWLLGLGFSLGYGSMFTKIWWVHTVFEPWKLYATVGLLVGMDVLTLAIWQIVDMNTWLGIFYGYKGLLLLLGIFLAYETDHRAVGMAIYNVAVLCLITAPVTMIAAFAFASLAIVFSSYITLVVLFVPKMRRLITRGEWQSEAQDTMK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FPFVCQARLWLLGLGFSLGYGSMFTKIWWVHTVF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659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33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'SegEnds_NonXtal_Prot#'!A350</f>
        <v>gabr2_human</v>
      </c>
      <c r="B353" s="1" t="str">
        <f t="shared" si="125"/>
        <v>PLYSILSALTILGMIMASAFLFFNIKNSPYMNNLIILGGMLSYASIFLFGFETLCTVRTWILTVGYTTAFGAMFAKTWRVHAIFKDQKLLVIVGGMLLIDLCILICWQAVDMTIWLGIVYAYKGLLMLFGCFLAWETDSKYIGMSVYNVGIMCIIGAAVSFLVQFCIVALVIIFCSTITLCLVFVPKLITLRTNPDAATQNRRFQF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FETLCTVRTWILTVGYTTAFGAMFAKTWRVHAIF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549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33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'SegEnds_NonXtal_Prot#'!A351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'SegEnds_NonXtal_Prot#'!A352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'SegEnds_NonXtal_Prot#'!A353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'SegEnds_NonXtal_Prot#'!A354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'SegEnds_NonXtal_Prot#'!A355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'SegEnds_NonXtal_Prot#'!A356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'SegEnds_NonXtal_Prot#'!A357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'SegEnds_NonXtal_Prot#'!A359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'SegEnds_NonXtal_Prot#'!A360</f>
        <v>grm3_human</v>
      </c>
      <c r="B362" s="1" t="str">
        <f t="shared" si="125"/>
        <v>AWAIGPVTIACLGFMCTCMVVTVFIKHGRELCYILLFGVGLSYCMTFFFISPVICALRRLGLGSSFAICYSALLTKTNCIARIFSPSSQVFICLGLILVQIVMVSVWLILEKDSSMLISLTYDVILVILCTVYAFKTEAKFIGFTMYTTCIIWLAFLPIFYVVQTTTMCISVSLSGFVVLGCLFAPKVHIILFQPQKNVVTHRLHL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SPVICALRRLGLGSSFAICYSALLTKTNCIARIF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637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'SegEnds_NonXtal_Prot#'!A361</f>
        <v>grm4_human</v>
      </c>
      <c r="B363" s="1" t="str">
        <f t="shared" si="125"/>
        <v>PWAVLPLFLAVVGIAATLFVVITFVRYGRELSYVLLAGIFLCYATTFLMIDLGTCSLRRIFLGLGMSISYAALLTKTNRIYRIFSPASQLAITFSLISLQLLGICVWFVVDSDLSLICLLGYSMLLMVTCTVYAIKTEAKPIGFTMYTTCIVWLAFIPIFFGIQTTTLTVSVSLSASVSLGMLYMPKVYIILFHPEQNVPKRKRSL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DLGTCSLRRIFLGLGMSISYAALLTKTNRIYRIF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648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33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'SegEnds_NonXtal_Prot#'!A362</f>
        <v>grm5_human</v>
      </c>
      <c r="B364" s="1" t="str">
        <f t="shared" si="125"/>
        <v>PEPIAAVVFACLGLLATLFVTVVFIIYSRELCYIILAGICLGYLCTFCLIKQIYCYLQRIGIGLSPAMSYSALVTKTNRIARILSACAQLVIAFILICIQLGIIVALFIMETNLGVVTPLGYNGLLILSCTFYAFKTEAKYIAFTMYTTCIIWLAFVPIYFGYKIITMCFSVSLSATVALGCMFVPKVYIILAKPERNVRSAFTTS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KQIYCYLQRIGIGLSPAMSYSALVTKTNRIARIL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640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33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'SegEnds_NonXtal_Prot#'!A363</f>
        <v>grm6_human</v>
      </c>
      <c r="B365" s="1" t="str">
        <f t="shared" si="125"/>
        <v>PWAAPPLLLAVLGIVATTTVVATFVRYGRELSYVLLTGIFLIYAITFLMVGAAVCAARRLFLGLGTTLSYSALLTKTNRIYRIFSPTSQLVITFSLTSLQVVGMIAWLGARSDLSLIGCLGYSLLLMVTCTVYAIKAEAKPIGFTMYTTCIIWLAFVPIFFGIQTTTLTVSLSLSASVSLGMLYVPKTYVILFHPEQNVQKRKRSL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GAAVCAARRLFLGLGTTLSYSALLTKTNRIYRIF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646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33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'SegEnds_NonXtal_Prot#'!A364</f>
        <v>grm7_human</v>
      </c>
      <c r="B366" s="1" t="str">
        <f t="shared" si="125"/>
        <v>PWAVIPVFLAMLGIIATIFVMATFIRYGRELSYVLLTGIFLCYIITFLMIDVAVCSFRRVFLGLGMCISYAALLTKTNRIYRIFSPTSQLAITSSLISVQLLGVFIWFGVDTDLQIICSLGYSILLMVTCTVYAIKTEAKPIGFTMYTTCIVWLAFIPIFFGIQTTTLTISMNLSASVALGMLYMPKVYIIIFHPELNVQKRKRSF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DVAVCSFRRVFLGLGMCISYAALLTKTNRIYRIF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651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33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'SegEnds_NonXtal_Prot#'!A365</f>
        <v>grm8_human</v>
      </c>
      <c r="B367" s="1" t="str">
        <f t="shared" si="125"/>
        <v>PWAVVPVFVAILGIIATTFVIVTFVRYGRELSYVLLTGIFLCYSITFLMIDTIICSFRRVFLGLGMCFSYAALLTKTNRIHRIFSPASQLVITFSLISVQLLGVFVWFVVDSDLSLICSLGYSILLMVTCTVYAIKTEAKPIGFTMYTTCIIWLAFIPIFFGIQTTTLTVSMSLSASVSLGMLYMPKVYIIIFHPEQNVQKRKRSF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DTIICSFRRVFLGLGMCFSYAALLTKTNRIHRIF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644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33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'SegEnds_NonXtal_Prot#'!A367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'SegEnds_NonXtal_Prot#'!A368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'SegEnds_NonXtal_Prot#'!A369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'SegEnds_NonXtal_Prot#'!A371</f>
        <v>fzd10_human</v>
      </c>
      <c r="B371" s="1" t="str">
        <f t="shared" si="125"/>
        <v>SREDKRFAVVWLAIWAVLCFFSSAFTVLTFLIDYPERPIIFLSMCYCVYSVGYLIRLFAGSTGCTLVFLVLYYFGMASSLWWVVLTLTWFLAAGNSSYFHLAAWAIPAVKTILILVMRDVNALTGFVLIPLACYLVIGTSFILSGFVALFHIRRVMEKLMVRIGLFSVLYTVPATCVIACYFYERLNMDYWKILAAQHKCKMNNQTKAVEIFMVKIFMLLVVGITSGMWIWTSKTLQSWQQVCSRRL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YPERPIIFLSMCYCVYSVGYLIRLFAG</v>
      </c>
      <c r="I371" s="4" t="str">
        <f t="shared" si="129"/>
        <v/>
      </c>
      <c r="J371" s="4" t="str">
        <f t="shared" si="130"/>
        <v>STGCTLVFLVLYYFGMASSLWWVVLTLTWFLAAG</v>
      </c>
      <c r="K371" s="4" t="str">
        <f t="shared" si="131"/>
        <v/>
      </c>
      <c r="L371" s="4" t="str">
        <f t="shared" si="132"/>
        <v>NSSYFHLAAWAIPAVKTILILVMR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306</v>
      </c>
      <c r="W371" s="5" t="str">
        <f>VLOOKUP($A371,'SegEnds_NonXtal_Prot#'!$A:$AL,18,FALSE)</f>
        <v>-</v>
      </c>
      <c r="X371" s="5">
        <f>VLOOKUP($A371,'SegEnds_NonXtal_Prot#'!$A:$AL,21,FALSE)</f>
        <v>350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438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284</v>
      </c>
      <c r="AG371" s="5" t="str">
        <f>VLOOKUP($A371,'SegEnds_NonXtal_Prot#'!$A:$AL,14,FALSE)</f>
        <v>-</v>
      </c>
      <c r="AH371" s="5">
        <f>VLOOKUP($A371,'SegEnds_NonXtal_Prot#'!$A:$AL,17,FALSE)</f>
        <v>339</v>
      </c>
      <c r="AI371" s="5" t="str">
        <f>VLOOKUP($A371,'SegEnds_NonXtal_Prot#'!$A:$AL,20,FALSE)</f>
        <v>-</v>
      </c>
      <c r="AJ371" s="5">
        <f>VLOOKUP($A371,'SegEnds_NonXtal_Prot#'!$A:$AL,23,FALSE)</f>
        <v>373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26</v>
      </c>
      <c r="AS371" s="4" t="str">
        <f t="shared" si="141"/>
        <v>-</v>
      </c>
      <c r="AT371" s="4">
        <f t="shared" si="142"/>
        <v>33</v>
      </c>
      <c r="AU371" s="4" t="str">
        <f t="shared" si="143"/>
        <v>-</v>
      </c>
      <c r="AV371" s="4">
        <f t="shared" si="144"/>
        <v>23</v>
      </c>
      <c r="AW371" s="4">
        <f t="shared" si="145"/>
        <v>2</v>
      </c>
      <c r="AX371" s="4">
        <f t="shared" si="146"/>
        <v>37</v>
      </c>
      <c r="AY371" s="4">
        <f t="shared" si="147"/>
        <v>50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'SegEnds_NonXtal_Prot#'!A372</f>
        <v>fzd2_human</v>
      </c>
      <c r="B372" s="1" t="str">
        <f t="shared" si="125"/>
        <v>SQEETRFARLWILTWSVLCCASTFFTVTTYLVDYPERPIIFLSGCYTMVSVAYIAGFVLQKEGCTILFMMLYFFSMASSIWWVILSLTWFLAAGNSQYFHLAAWAVPAVKTITILAMGSLDPLRGFVLAPLFVYLFIGTSFLLAGFVSLFRIRTIMERLMVRIGVFSVLYTVPATIVIACYFYEQAFREHWERSWVSQHCKSLAIPCDFTVYMIKYLMTLIVGITSGFWIWSGKTLHSWRKFYTRLT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YPERPIIFLSGCYTMVSVAYIAGFVLQ</v>
      </c>
      <c r="I372" s="4" t="str">
        <f t="shared" si="129"/>
        <v/>
      </c>
      <c r="J372" s="4" t="str">
        <f t="shared" si="130"/>
        <v>KEGCTILFMMLYFFSMASSIWWVILSLTWFLAAG</v>
      </c>
      <c r="K372" s="4" t="str">
        <f t="shared" si="131"/>
        <v/>
      </c>
      <c r="L372" s="4" t="str">
        <f t="shared" si="132"/>
        <v>NSQYFHLAAWAVPAVKTITILAMG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324</v>
      </c>
      <c r="W372" s="5" t="str">
        <f>VLOOKUP($A372,'SegEnds_NonXtal_Prot#'!$A:$AL,18,FALSE)</f>
        <v>-</v>
      </c>
      <c r="X372" s="5">
        <f>VLOOKUP($A372,'SegEnds_NonXtal_Prot#'!$A:$AL,21,FALSE)</f>
        <v>368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456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301</v>
      </c>
      <c r="AG372" s="5" t="str">
        <f>VLOOKUP($A372,'SegEnds_NonXtal_Prot#'!$A:$AL,14,FALSE)</f>
        <v>-</v>
      </c>
      <c r="AH372" s="5">
        <f>VLOOKUP($A372,'SegEnds_NonXtal_Prot#'!$A:$AL,17,FALSE)</f>
        <v>357</v>
      </c>
      <c r="AI372" s="5" t="str">
        <f>VLOOKUP($A372,'SegEnds_NonXtal_Prot#'!$A:$AL,20,FALSE)</f>
        <v>-</v>
      </c>
      <c r="AJ372" s="5">
        <f>VLOOKUP($A372,'SegEnds_NonXtal_Prot#'!$A:$AL,23,FALSE)</f>
        <v>391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23</v>
      </c>
      <c r="AW372" s="4">
        <f t="shared" si="145"/>
        <v>2</v>
      </c>
      <c r="AX372" s="4">
        <f t="shared" si="146"/>
        <v>37</v>
      </c>
      <c r="AY372" s="4">
        <f t="shared" si="147"/>
        <v>50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'SegEnds_NonXtal_Prot#'!A373</f>
        <v>fzd3_human</v>
      </c>
      <c r="B373" s="1" t="str">
        <f t="shared" si="125"/>
        <v>RREELSFARYFIGLISIICLSATLFTFLTFLIDYPERPIIFYAVCYMMVSLIFFIGFLLENKACTMLFMILYFFTMAGSVWWVILTITWFLAAVKALLFHASAWGIPGTLTIILLAMNDVDALRYFVLAPLCLYVVVGVSLLLAGIISLNRVRIEIVKFMIRIGVFSILYLVPLLVVIGCYFYEQAYRGIWETTWIQERCREYHIPCDLILFLMKYLMALIVGIPSVFWVGSKKTCFEWASFFHGRR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YPERPIIFYAVCYMMVSLIFFIGFLLE</v>
      </c>
      <c r="I373" s="4" t="str">
        <f t="shared" si="129"/>
        <v/>
      </c>
      <c r="J373" s="4" t="str">
        <f t="shared" si="130"/>
        <v>NKACTMLFMILYFFTMAGSVWWVILTITWFLAAV</v>
      </c>
      <c r="K373" s="4" t="str">
        <f t="shared" si="131"/>
        <v/>
      </c>
      <c r="L373" s="4" t="str">
        <f t="shared" si="132"/>
        <v>KALLFHASAWGIPGTLTIILLAMN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283</v>
      </c>
      <c r="W373" s="5" t="str">
        <f>VLOOKUP($A373,'SegEnds_NonXtal_Prot#'!$A:$AL,18,FALSE)</f>
        <v>-</v>
      </c>
      <c r="X373" s="5">
        <f>VLOOKUP($A373,'SegEnds_NonXtal_Prot#'!$A:$AL,21,FALSE)</f>
        <v>327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415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259</v>
      </c>
      <c r="AG373" s="5" t="str">
        <f>VLOOKUP($A373,'SegEnds_NonXtal_Prot#'!$A:$AL,14,FALSE)</f>
        <v>-</v>
      </c>
      <c r="AH373" s="5">
        <f>VLOOKUP($A373,'SegEnds_NonXtal_Prot#'!$A:$AL,17,FALSE)</f>
        <v>316</v>
      </c>
      <c r="AI373" s="5" t="str">
        <f>VLOOKUP($A373,'SegEnds_NonXtal_Prot#'!$A:$AL,20,FALSE)</f>
        <v>-</v>
      </c>
      <c r="AJ373" s="5">
        <f>VLOOKUP($A373,'SegEnds_NonXtal_Prot#'!$A:$AL,23,FALSE)</f>
        <v>350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26</v>
      </c>
      <c r="AS373" s="4" t="str">
        <f t="shared" si="141"/>
        <v>-</v>
      </c>
      <c r="AT373" s="4">
        <f t="shared" si="142"/>
        <v>33</v>
      </c>
      <c r="AU373" s="4" t="str">
        <f t="shared" si="143"/>
        <v>-</v>
      </c>
      <c r="AV373" s="4">
        <f t="shared" si="144"/>
        <v>23</v>
      </c>
      <c r="AW373" s="4">
        <f t="shared" si="145"/>
        <v>2</v>
      </c>
      <c r="AX373" s="4">
        <f t="shared" si="146"/>
        <v>37</v>
      </c>
      <c r="AY373" s="4">
        <f t="shared" si="147"/>
        <v>50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'SegEnds_NonXtal_Prot#'!A374</f>
        <v>fzd4_human</v>
      </c>
      <c r="B374" s="1" t="str">
        <f t="shared" si="125"/>
        <v>SRSAKEFTDIWMAVWASLCFISTAFTVLTFLIDYPERPIIFLSMCYNIYSIAYIVRLTVGNTGCAIIFLLMYFFGMASSIWWVILTLTWFLAAGHSSYFHIAAWAIPAVKTIVILIMRNLDALTGFVVAPLFTYLVIGTLFIAAGLVALFKIRSNLERLMVKIGVFSVLYTVPATCVIACYFYEISNNMAVEMLKIFMSLLVGITSGMWIWSAKTLHTWQKCSNRLV</v>
      </c>
      <c r="C374" s="29" t="str">
        <f>IF(ISERROR(MATCH(A374,'SegEnds_Xtal_Prot#'!B:B, 0)), "NoXtal", "Xtal")</f>
        <v>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YPERPIIFLSMCYNIYSIAYIVRLTVG</v>
      </c>
      <c r="I374" s="4" t="str">
        <f t="shared" si="129"/>
        <v/>
      </c>
      <c r="J374" s="4" t="str">
        <f t="shared" si="130"/>
        <v>NTGCAIIFLLMYFFGMASSIWWVILTLTWFLAAG</v>
      </c>
      <c r="K374" s="4" t="str">
        <f t="shared" si="131"/>
        <v/>
      </c>
      <c r="L374" s="4" t="str">
        <f t="shared" si="132"/>
        <v>HSSYFHIAAWAIPAVKTIVILIMR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ERLMVKIGVFSVLYTVPATCVIACYFYEISN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299</v>
      </c>
      <c r="W374" s="5" t="str">
        <f>VLOOKUP($A374,'SegEnds_NonXtal_Prot#'!$A:$AL,18,FALSE)</f>
        <v>-</v>
      </c>
      <c r="X374" s="5">
        <f>VLOOKUP($A374,'SegEnds_NonXtal_Prot#'!$A:$AL,21,FALSE)</f>
        <v>343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431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276</v>
      </c>
      <c r="AG374" s="5" t="str">
        <f>VLOOKUP($A374,'SegEnds_NonXtal_Prot#'!$A:$AL,14,FALSE)</f>
        <v>-</v>
      </c>
      <c r="AH374" s="5">
        <f>VLOOKUP($A374,'SegEnds_NonXtal_Prot#'!$A:$AL,17,FALSE)</f>
        <v>332</v>
      </c>
      <c r="AI374" s="5" t="str">
        <f>VLOOKUP($A374,'SegEnds_NonXtal_Prot#'!$A:$AL,20,FALSE)</f>
        <v>-</v>
      </c>
      <c r="AJ374" s="5">
        <f>VLOOKUP($A374,'SegEnds_NonXtal_Prot#'!$A:$AL,23,FALSE)</f>
        <v>366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461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26</v>
      </c>
      <c r="AS374" s="4" t="str">
        <f t="shared" si="141"/>
        <v>-</v>
      </c>
      <c r="AT374" s="4">
        <f t="shared" si="142"/>
        <v>33</v>
      </c>
      <c r="AU374" s="4" t="str">
        <f t="shared" si="143"/>
        <v>-</v>
      </c>
      <c r="AV374" s="4">
        <f t="shared" si="144"/>
        <v>23</v>
      </c>
      <c r="AW374" s="4">
        <f t="shared" si="145"/>
        <v>2</v>
      </c>
      <c r="AX374" s="4">
        <f t="shared" si="146"/>
        <v>37</v>
      </c>
      <c r="AY374" s="4">
        <f t="shared" si="147"/>
        <v>30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'SegEnds_NonXtal_Prot#'!A375</f>
        <v>fzd5_human</v>
      </c>
      <c r="B375" s="1" t="str">
        <f t="shared" si="125"/>
        <v>SADERTFATFWIGLWSVLCFISTSTTVATFLIDYPERPIIFLSACYLCVSLGFLVRLVVGPALCTIVFLLVYFFGMASSIWWVILSLTWFLAAGYAQYFHLAAWLIPSVKSITALALSNLNSLRGFVLGPLVLYLLVGTLFLLAGFVSLFRIRSVIEKLMIRIGIFTLLYTVPASIVVACYLYEQHYRESWEAALTCACPGHDTGQPEYWVLMLKYFMCLVVGITSGVWIWSGKTVESWRRFTSRCC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YPERPIIFLSACYLCVSLGFLVRLVVG</v>
      </c>
      <c r="I375" s="4" t="str">
        <f t="shared" si="129"/>
        <v/>
      </c>
      <c r="J375" s="4" t="str">
        <f t="shared" si="130"/>
        <v>PALCTIVFLLVYFFGMASSIWWVILSLTWFLAAG</v>
      </c>
      <c r="K375" s="4" t="str">
        <f t="shared" si="131"/>
        <v/>
      </c>
      <c r="L375" s="4" t="str">
        <f t="shared" si="132"/>
        <v>YAQYFHLAAWLIPSVKSITALALS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312</v>
      </c>
      <c r="W375" s="5" t="str">
        <f>VLOOKUP($A375,'SegEnds_NonXtal_Prot#'!$A:$AL,18,FALSE)</f>
        <v>-</v>
      </c>
      <c r="X375" s="5">
        <f>VLOOKUP($A375,'SegEnds_NonXtal_Prot#'!$A:$AL,21,FALSE)</f>
        <v>356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444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292</v>
      </c>
      <c r="AG375" s="5" t="str">
        <f>VLOOKUP($A375,'SegEnds_NonXtal_Prot#'!$A:$AL,14,FALSE)</f>
        <v>-</v>
      </c>
      <c r="AH375" s="5">
        <f>VLOOKUP($A375,'SegEnds_NonXtal_Prot#'!$A:$AL,17,FALSE)</f>
        <v>345</v>
      </c>
      <c r="AI375" s="5" t="str">
        <f>VLOOKUP($A375,'SegEnds_NonXtal_Prot#'!$A:$AL,20,FALSE)</f>
        <v>-</v>
      </c>
      <c r="AJ375" s="5">
        <f>VLOOKUP($A375,'SegEnds_NonXtal_Prot#'!$A:$AL,23,FALSE)</f>
        <v>379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26</v>
      </c>
      <c r="AS375" s="4" t="str">
        <f t="shared" si="141"/>
        <v>-</v>
      </c>
      <c r="AT375" s="4">
        <f t="shared" si="142"/>
        <v>33</v>
      </c>
      <c r="AU375" s="4" t="str">
        <f t="shared" si="143"/>
        <v>-</v>
      </c>
      <c r="AV375" s="4">
        <f t="shared" si="144"/>
        <v>23</v>
      </c>
      <c r="AW375" s="4">
        <f t="shared" si="145"/>
        <v>2</v>
      </c>
      <c r="AX375" s="4">
        <f t="shared" si="146"/>
        <v>37</v>
      </c>
      <c r="AY375" s="4">
        <f t="shared" si="147"/>
        <v>50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'SegEnds_NonXtal_Prot#'!A376</f>
        <v>fzd6_human</v>
      </c>
      <c r="B376" s="1" t="str">
        <f t="shared" si="125"/>
        <v>KSDELEFAKSFIGTVSIFCLCATLFTFLTFLIDYPERPIIYYSVCYSIVSLMYFIGFLLGNKACTVLFMLLYFFTMAGTVWWVILTITWFLAAGKAVWFHAVAWGTPGFLTVMLLAMNDLDASRYFVLLPLCLCVFVGLSLLLAGIISLNHVRQVIKKFMIRIGVFSGLYLVPLVTLLGCYVYEQVNRITWEITWVSDHCRQYHIPCELALFMIKYLMTLIVGISAVFWVGSKKTCTEWAGFFKRNR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YPERPIIYYSVCYSIVSLMYFIGFLLG</v>
      </c>
      <c r="I376" s="4" t="str">
        <f t="shared" si="129"/>
        <v/>
      </c>
      <c r="J376" s="4" t="str">
        <f t="shared" si="130"/>
        <v>NKACTVLFMLLYFFTMAGTVWWVILTITWFLAAG</v>
      </c>
      <c r="K376" s="4" t="str">
        <f t="shared" si="131"/>
        <v/>
      </c>
      <c r="L376" s="4" t="str">
        <f t="shared" si="132"/>
        <v>KAVWFHAVAWGTPGFLTVMLLAMN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279</v>
      </c>
      <c r="W376" s="5" t="str">
        <f>VLOOKUP($A376,'SegEnds_NonXtal_Prot#'!$A:$AL,18,FALSE)</f>
        <v>-</v>
      </c>
      <c r="X376" s="5">
        <f>VLOOKUP($A376,'SegEnds_NonXtal_Prot#'!$A:$AL,21,FALSE)</f>
        <v>323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411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255</v>
      </c>
      <c r="AG376" s="5" t="str">
        <f>VLOOKUP($A376,'SegEnds_NonXtal_Prot#'!$A:$AL,14,FALSE)</f>
        <v>-</v>
      </c>
      <c r="AH376" s="5">
        <f>VLOOKUP($A376,'SegEnds_NonXtal_Prot#'!$A:$AL,17,FALSE)</f>
        <v>312</v>
      </c>
      <c r="AI376" s="5" t="str">
        <f>VLOOKUP($A376,'SegEnds_NonXtal_Prot#'!$A:$AL,20,FALSE)</f>
        <v>-</v>
      </c>
      <c r="AJ376" s="5">
        <f>VLOOKUP($A376,'SegEnds_NonXtal_Prot#'!$A:$AL,23,FALSE)</f>
        <v>346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26</v>
      </c>
      <c r="AS376" s="4" t="str">
        <f t="shared" si="141"/>
        <v>-</v>
      </c>
      <c r="AT376" s="4">
        <f t="shared" si="142"/>
        <v>33</v>
      </c>
      <c r="AU376" s="4" t="str">
        <f t="shared" si="143"/>
        <v>-</v>
      </c>
      <c r="AV376" s="4">
        <f t="shared" si="144"/>
        <v>23</v>
      </c>
      <c r="AW376" s="4">
        <f t="shared" si="145"/>
        <v>2</v>
      </c>
      <c r="AX376" s="4">
        <f t="shared" si="146"/>
        <v>37</v>
      </c>
      <c r="AY376" s="4">
        <f t="shared" si="147"/>
        <v>50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'SegEnds_NonXtal_Prot#'!A377</f>
        <v>fzd7_human</v>
      </c>
      <c r="B377" s="1" t="str">
        <f t="shared" si="125"/>
        <v>KEEERRFARLWVGVWSVLCCASTLFTVLTYLVDYPERPIIFLSGCYFMVAVAHVAGFLLEKEGCTILFMVLYFFGMASSIWWVILSLTWFLAAGNSQYFHLAAWAVPAVKTITILAMGSVDALRGFVLAPLFVYLFIGTSFLLAGFVSLFRIRTIMEKLMVRIGVFSVLYTVPATIVLACYFYEQAFREHWERTWLLQTCKSYAVPCDFTVFMIKYLMTMIVGITTGFWIWSGKTLQSWRRFYHRLS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YPERPIIFLSGCYFMVAVAHVAGFLLE</v>
      </c>
      <c r="I377" s="4" t="str">
        <f t="shared" si="129"/>
        <v/>
      </c>
      <c r="J377" s="4" t="str">
        <f t="shared" si="130"/>
        <v>KEGCTILFMVLYFFGMASSIWWVILSLTWFLAAG</v>
      </c>
      <c r="K377" s="4" t="str">
        <f t="shared" si="131"/>
        <v/>
      </c>
      <c r="L377" s="4" t="str">
        <f t="shared" si="132"/>
        <v>NSQYFHLAAWAVPAVKTITILAMG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333</v>
      </c>
      <c r="W377" s="5" t="str">
        <f>VLOOKUP($A377,'SegEnds_NonXtal_Prot#'!$A:$AL,18,FALSE)</f>
        <v>-</v>
      </c>
      <c r="X377" s="5">
        <f>VLOOKUP($A377,'SegEnds_NonXtal_Prot#'!$A:$AL,21,FALSE)</f>
        <v>377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465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310</v>
      </c>
      <c r="AG377" s="5" t="str">
        <f>VLOOKUP($A377,'SegEnds_NonXtal_Prot#'!$A:$AL,14,FALSE)</f>
        <v>-</v>
      </c>
      <c r="AH377" s="5">
        <f>VLOOKUP($A377,'SegEnds_NonXtal_Prot#'!$A:$AL,17,FALSE)</f>
        <v>366</v>
      </c>
      <c r="AI377" s="5" t="str">
        <f>VLOOKUP($A377,'SegEnds_NonXtal_Prot#'!$A:$AL,20,FALSE)</f>
        <v>-</v>
      </c>
      <c r="AJ377" s="5">
        <f>VLOOKUP($A377,'SegEnds_NonXtal_Prot#'!$A:$AL,23,FALSE)</f>
        <v>400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26</v>
      </c>
      <c r="AS377" s="4" t="str">
        <f t="shared" si="141"/>
        <v>-</v>
      </c>
      <c r="AT377" s="4">
        <f t="shared" si="142"/>
        <v>33</v>
      </c>
      <c r="AU377" s="4" t="str">
        <f t="shared" si="143"/>
        <v>-</v>
      </c>
      <c r="AV377" s="4">
        <f t="shared" si="144"/>
        <v>23</v>
      </c>
      <c r="AW377" s="4">
        <f t="shared" si="145"/>
        <v>2</v>
      </c>
      <c r="AX377" s="4">
        <f t="shared" si="146"/>
        <v>37</v>
      </c>
      <c r="AY377" s="4">
        <f t="shared" si="147"/>
        <v>50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'SegEnds_NonXtal_Prot#'!A378</f>
        <v>fzd8_human</v>
      </c>
      <c r="B378" s="1" t="str">
        <f t="shared" si="125"/>
        <v>SQDERAFTVFWIGLWSVLCFVSTFATVSTFLIDYPERPIIFLSACYLFVSVGYLVRLVAGPALCTVVFLLVYFFGMASSIWWVILSLTWFLAAGYSQYFHLAAWLVPSVKSIAVLALSSLDNLRGFVLAPLVIYLFIGTMFLLAGFVSLFRIRSVIEKLMIRLGLFTVLYTVPAAVVVACLFYEQHNRPRWEATHNCPCLRDLQPDQDYAVFMLKYFMCLVVGITSGVWVWSGKTLESWRSLCTRCC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YPERPIIFLSACYLFVSVGYLVRLVAG</v>
      </c>
      <c r="I378" s="4" t="str">
        <f t="shared" si="129"/>
        <v/>
      </c>
      <c r="J378" s="4" t="str">
        <f t="shared" si="130"/>
        <v>PALCTVVFLLVYFFGMASSIWWVILSLTWFLAAG</v>
      </c>
      <c r="K378" s="4" t="str">
        <f t="shared" si="131"/>
        <v/>
      </c>
      <c r="L378" s="4" t="str">
        <f t="shared" si="132"/>
        <v>YSQYFHLAAWLVPSVKSIAVLALS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393</v>
      </c>
      <c r="W378" s="5" t="str">
        <f>VLOOKUP($A378,'SegEnds_NonXtal_Prot#'!$A:$AL,18,FALSE)</f>
        <v>-</v>
      </c>
      <c r="X378" s="5">
        <f>VLOOKUP($A378,'SegEnds_NonXtal_Prot#'!$A:$AL,21,FALSE)</f>
        <v>437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527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334</v>
      </c>
      <c r="AG378" s="5" t="str">
        <f>VLOOKUP($A378,'SegEnds_NonXtal_Prot#'!$A:$AL,14,FALSE)</f>
        <v>-</v>
      </c>
      <c r="AH378" s="5">
        <f>VLOOKUP($A378,'SegEnds_NonXtal_Prot#'!$A:$AL,17,FALSE)</f>
        <v>426</v>
      </c>
      <c r="AI378" s="5" t="str">
        <f>VLOOKUP($A378,'SegEnds_NonXtal_Prot#'!$A:$AL,20,FALSE)</f>
        <v>-</v>
      </c>
      <c r="AJ378" s="5">
        <f>VLOOKUP($A378,'SegEnds_NonXtal_Prot#'!$A:$AL,23,FALSE)</f>
        <v>460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26</v>
      </c>
      <c r="AS378" s="4" t="str">
        <f t="shared" si="141"/>
        <v>-</v>
      </c>
      <c r="AT378" s="4">
        <f t="shared" si="142"/>
        <v>33</v>
      </c>
      <c r="AU378" s="4" t="str">
        <f t="shared" si="143"/>
        <v>-</v>
      </c>
      <c r="AV378" s="4">
        <f t="shared" si="144"/>
        <v>23</v>
      </c>
      <c r="AW378" s="4">
        <f t="shared" si="145"/>
        <v>2</v>
      </c>
      <c r="AX378" s="4">
        <f t="shared" si="146"/>
        <v>37</v>
      </c>
      <c r="AY378" s="4">
        <f t="shared" si="147"/>
        <v>50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'SegEnds_NonXtal_Prot#'!A379</f>
        <v>fzd9_human</v>
      </c>
      <c r="B379" s="1" t="str">
        <f t="shared" si="125"/>
        <v>SRRDKDFALVWMAVWSALCFFSTAFTVLTFLLEYPERPIIFLSMCYNVYSLAFLIRAVAGNTGCTLVFLLLYYFGMASSLWWVVLTLTWFLAAGHGSYFHMAAWGLPALKTIVILTLRDAAALTGFVLVPLSGYLVLGSSFLLTGFVALFHIRKIMEKLMVKIGVFSILYTVPATCVIVCYVYERLNMDFWRLRATEQPCAAAAGPGTVAVFMLKIFMSLVVGITSGVWVWSSKTFQTWQSLCYRKI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YPERPIIFLSMCYNVYSLAFLIRAVAG</v>
      </c>
      <c r="I379" s="4" t="str">
        <f t="shared" si="129"/>
        <v/>
      </c>
      <c r="J379" s="4" t="str">
        <f t="shared" si="130"/>
        <v>NTGCTLVFLLLYYFGMASSLWWVVLTLTWFLAAG</v>
      </c>
      <c r="K379" s="4" t="str">
        <f t="shared" si="131"/>
        <v/>
      </c>
      <c r="L379" s="4" t="str">
        <f t="shared" si="132"/>
        <v>HGSYFHMAAWGLPALKTIVILTLR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310</v>
      </c>
      <c r="W379" s="5" t="str">
        <f>VLOOKUP($A379,'SegEnds_NonXtal_Prot#'!$A:$AL,18,FALSE)</f>
        <v>-</v>
      </c>
      <c r="X379" s="5">
        <f>VLOOKUP($A379,'SegEnds_NonXtal_Prot#'!$A:$AL,21,FALSE)</f>
        <v>354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442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288</v>
      </c>
      <c r="AG379" s="5" t="str">
        <f>VLOOKUP($A379,'SegEnds_NonXtal_Prot#'!$A:$AL,14,FALSE)</f>
        <v>-</v>
      </c>
      <c r="AH379" s="5">
        <f>VLOOKUP($A379,'SegEnds_NonXtal_Prot#'!$A:$AL,17,FALSE)</f>
        <v>343</v>
      </c>
      <c r="AI379" s="5" t="str">
        <f>VLOOKUP($A379,'SegEnds_NonXtal_Prot#'!$A:$AL,20,FALSE)</f>
        <v>-</v>
      </c>
      <c r="AJ379" s="5">
        <f>VLOOKUP($A379,'SegEnds_NonXtal_Prot#'!$A:$AL,23,FALSE)</f>
        <v>377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26</v>
      </c>
      <c r="AS379" s="4" t="str">
        <f t="shared" si="141"/>
        <v>-</v>
      </c>
      <c r="AT379" s="4">
        <f t="shared" si="142"/>
        <v>33</v>
      </c>
      <c r="AU379" s="4" t="str">
        <f t="shared" si="143"/>
        <v>-</v>
      </c>
      <c r="AV379" s="4">
        <f t="shared" si="144"/>
        <v>23</v>
      </c>
      <c r="AW379" s="4">
        <f t="shared" si="145"/>
        <v>2</v>
      </c>
      <c r="AX379" s="4">
        <f t="shared" si="146"/>
        <v>37</v>
      </c>
      <c r="AY379" s="4">
        <f t="shared" si="147"/>
        <v>50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'SegEnds_NonXtal_Prot#'!A382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'SegEnds_NonXtal_Prot#'!A380</f>
        <v>smo_human</v>
      </c>
      <c r="B381" s="1" t="str">
        <f t="shared" si="125"/>
        <v>TEAEHQDMHSYIAAFGAVTGLCTLFTLATFVADRYPAVILFYVNACFFVGSIGWLAQFLSCVIIFVIVYYALMAGVVWFVVLTYAWHTSFKAKTSYFHLLTWSLPFVLTVAILAVNYRYRAGFVLAPIGLVLIVGGYFLIRGVMTLFSIKSNHASKINETMLRLGIFGFLAFGFVLITFSCHFYDFFNQAEWERSFRDYVLCQANVTISLLVEKINLFAMFGTGIAMSTWVWTKATLLIWRRTWCRLT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</v>
      </c>
      <c r="K381" s="4" t="str">
        <f t="shared" si="131"/>
        <v/>
      </c>
      <c r="L381" s="4" t="str">
        <f t="shared" si="132"/>
        <v>KTSYFHLLTWSLPFVLTVAILAV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356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442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345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33</v>
      </c>
      <c r="AU381" s="4" t="str">
        <f t="shared" si="143"/>
        <v>-</v>
      </c>
      <c r="AV381" s="4">
        <f t="shared" si="144"/>
        <v>22</v>
      </c>
      <c r="AW381" s="4">
        <f t="shared" si="145"/>
        <v>2</v>
      </c>
      <c r="AX381" s="4">
        <f t="shared" si="146"/>
        <v>37</v>
      </c>
      <c r="AY381" s="4">
        <f t="shared" si="147"/>
        <v>54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'SegEnds_NonXtal_Prot#'!A384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'SegEnds_NonXtal_Prot#'!A385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'SegEnds_NonXtal_Prot#'!A383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'SegEnds_NonXtal_Prot#'!A386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'SegEnds_NonXtal_Prot#'!A388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PSIFTLVIIAEFIIGNLSNGFIVLINCIDWVLSSVDKLLIILAISRIGLIWEILVSWFLALHYSGTGLRIMIFSWIVSNHFNLWLATIFSIFYLLKIASWRVNKVILMILLGTLVFLFLNLIQINMHIKFETFSVSVKFTMTMFSLTPFTVAFISFLLLIFSLQKHLQKMPRTKVHTNALKIVISFLLFYASFFLCVLISWISNTVIYMLCETIGVFSPSSHSFLLILGNAKLRQAFLLVAAK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WRVNKVILMILLGTLVFLFLNLIQINMHIK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153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29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'SegEnds_NonXtal_Prot#'!A389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'SegEnds_NonXtal_Prot#'!A390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'SegEnds_NonXtal_Prot#'!A391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'SegEnds_NonXtal_Prot#'!A392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'SegEnds_NonXtal_Prot#'!A393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'SegEnds_NonXtal_Prot#'!A394</f>
        <v>t2r31_human</v>
      </c>
      <c r="B392" s="1" t="str">
        <f t="shared" si="15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RRVKSVILVMLLGPLLFLACQLFVINM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149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26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'SegEnds_NonXtal_Prot#'!A395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'SegEnds_NonXtal_Prot#'!A397</f>
        <v>t2r40_human</v>
      </c>
      <c r="B394" s="1" t="str">
        <f t="shared" si="150"/>
        <v>VTFTLVVSGIECITGILGSGFITAIYGAEWALPTGDRIMLMLSFSRLLLQIWMMLENIFSLLVYNQNSVYILFKVITVFLNHSNLWFAAWLKVFYCLRIANRKIIVLMPWLLRLSVLVSLSFSFPLSRDVFSETNMVNLVFFYNMGIFVPLIMFILAATLLILSLKRHTLHMPSMKAHIGAIKATSYFLILYIFNAIALFLSTSNYSSWNILCKIIMAAYPAGHSVQLILGNPGLRRAWKRFQHQ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RKIIVLMPWLLRLSVLVSLSFSFPLSRDVF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165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29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'SegEnds_NonXtal_Prot#'!A398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'SegEnds_NonXtal_Prot#'!A399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'SegEnds_NonXtal_Prot#'!A400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'SegEnds_NonXtal_Prot#'!A401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'SegEnds_NonXtal_Prot#'!A403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'SegEnds_NonXtal_Prot#'!A404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'SegEnds_NonXtal_Prot#'!A405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'SegEnds_NonXtal_Prot#'!A406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'SegEnds_NonXtal_Prot#'!A407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'SegEnds_NonXtal_Prot#'!A408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'SegEnds_NonXtal_Prot#'!A409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'SegEnds_NonXtal_Prot#'!A410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4"/>
  <sheetViews>
    <sheetView workbookViewId="0">
      <selection activeCell="J2" sqref="J2:K411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1404</v>
      </c>
      <c r="D1" s="33" t="s">
        <v>1228</v>
      </c>
      <c r="E1" s="32" t="s">
        <v>1405</v>
      </c>
      <c r="F1" s="32" t="s">
        <v>1406</v>
      </c>
      <c r="G1" s="85" t="s">
        <v>1369</v>
      </c>
      <c r="H1" s="32" t="s">
        <v>1494</v>
      </c>
    </row>
    <row r="2" spans="1:12" s="10" customFormat="1" x14ac:dyDescent="0.2">
      <c r="A2" s="3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1" t="s">
        <v>457</v>
      </c>
      <c r="B3" s="1" t="s">
        <v>132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1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1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1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1" t="s">
        <v>460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1" t="s">
        <v>930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1" t="s">
        <v>471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1" t="s">
        <v>467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1" t="s">
        <v>479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1" t="s">
        <v>461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1" t="s">
        <v>463</v>
      </c>
      <c r="B13" s="1" t="s">
        <v>158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1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1" t="s">
        <v>469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1" t="s">
        <v>470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1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1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1" t="s">
        <v>478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1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1" t="s">
        <v>462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1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1" t="s">
        <v>1197</v>
      </c>
      <c r="B23" s="1" t="s">
        <v>409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1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1" t="s">
        <v>1195</v>
      </c>
      <c r="B25" s="1" t="s">
        <v>409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1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1" t="s">
        <v>1184</v>
      </c>
      <c r="B27" s="1" t="s">
        <v>409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1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1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1" t="s">
        <v>1186</v>
      </c>
      <c r="B30" s="1" t="s">
        <v>38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1" t="s">
        <v>1190</v>
      </c>
      <c r="B31" s="1" t="s">
        <v>402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1" t="s">
        <v>1183</v>
      </c>
      <c r="B32" s="1" t="s">
        <v>406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1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1" t="s">
        <v>1188</v>
      </c>
      <c r="B34" s="1" t="s">
        <v>409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1" t="s">
        <v>1198</v>
      </c>
      <c r="B35" s="1" t="s">
        <v>409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1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1" t="s">
        <v>1196</v>
      </c>
      <c r="B37" s="1" t="s">
        <v>409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1" t="s">
        <v>1414</v>
      </c>
      <c r="B38" s="1" t="s">
        <v>38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1" t="s">
        <v>1194</v>
      </c>
      <c r="B39" s="1" t="s">
        <v>409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1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1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1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1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1" t="s">
        <v>418</v>
      </c>
      <c r="B44" s="1" t="s">
        <v>401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1" t="s">
        <v>419</v>
      </c>
      <c r="B45" s="1" t="s">
        <v>402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1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1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1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1" t="s">
        <v>1199</v>
      </c>
      <c r="B49" s="1" t="s">
        <v>38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1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1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1" t="s">
        <v>1189</v>
      </c>
      <c r="B52" s="1" t="s">
        <v>402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1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1" t="s">
        <v>484</v>
      </c>
      <c r="B54" s="1" t="s">
        <v>364</v>
      </c>
      <c r="C54" t="s">
        <v>1172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1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1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1" t="s">
        <v>486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1" t="s">
        <v>466</v>
      </c>
      <c r="B58" s="1" t="s">
        <v>132</v>
      </c>
      <c r="C58" t="s">
        <v>918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1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1" t="s">
        <v>459</v>
      </c>
      <c r="B60" s="1" t="s">
        <v>360</v>
      </c>
      <c r="C60" t="s">
        <v>1176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1" t="s">
        <v>458</v>
      </c>
      <c r="B61" s="1" t="s">
        <v>133</v>
      </c>
      <c r="C61" t="s">
        <v>345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1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1" t="s">
        <v>456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1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1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1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1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1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1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1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1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NoXtal</v>
      </c>
      <c r="J71" s="3"/>
    </row>
    <row r="72" spans="1:10" x14ac:dyDescent="0.2">
      <c r="A72" s="1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NoXtal</v>
      </c>
      <c r="J72" s="3"/>
    </row>
    <row r="73" spans="1:10" x14ac:dyDescent="0.2">
      <c r="A73" s="1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1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1" t="s">
        <v>389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1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1" t="s">
        <v>220</v>
      </c>
      <c r="B77" s="1" t="s">
        <v>34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1" t="s">
        <v>388</v>
      </c>
      <c r="B78" s="1" t="s">
        <v>126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1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1" t="s">
        <v>265</v>
      </c>
      <c r="B80" s="1" t="s">
        <v>191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1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1" t="s">
        <v>152</v>
      </c>
      <c r="B82" s="1" t="s">
        <v>126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1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1" t="s">
        <v>271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1" t="s">
        <v>230</v>
      </c>
      <c r="B85" s="1" t="s">
        <v>132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1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1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1" t="s">
        <v>132</v>
      </c>
      <c r="B88" s="1" t="s">
        <v>132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Xtal</v>
      </c>
      <c r="J88" s="3"/>
    </row>
    <row r="89" spans="1:10" x14ac:dyDescent="0.2">
      <c r="A89" s="1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1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1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1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1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1" t="s">
        <v>361</v>
      </c>
      <c r="B94" s="1" t="s">
        <v>473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1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1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1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1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1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1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1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1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1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1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1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NoXtal</v>
      </c>
      <c r="J105" s="3"/>
    </row>
    <row r="106" spans="1:10" x14ac:dyDescent="0.2">
      <c r="A106" s="1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1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1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1" t="s">
        <v>228</v>
      </c>
      <c r="B109" s="1" t="s">
        <v>325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1" t="s">
        <v>387</v>
      </c>
      <c r="B110" s="1" t="s">
        <v>191</v>
      </c>
      <c r="C110" t="s">
        <v>912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1" t="s">
        <v>259</v>
      </c>
      <c r="B111" s="1" t="s">
        <v>34</v>
      </c>
      <c r="C111" t="s">
        <v>912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1" t="s">
        <v>212</v>
      </c>
      <c r="B112" s="1" t="s">
        <v>173</v>
      </c>
      <c r="C112" t="s">
        <v>912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1" t="s">
        <v>311</v>
      </c>
      <c r="B113" s="1" t="s">
        <v>311</v>
      </c>
      <c r="C113" t="s">
        <v>912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Xtal</v>
      </c>
      <c r="J113" s="3"/>
    </row>
    <row r="114" spans="1:10" x14ac:dyDescent="0.2">
      <c r="A114" s="1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1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1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1" t="s">
        <v>134</v>
      </c>
      <c r="B117" s="1" t="s">
        <v>126</v>
      </c>
      <c r="C117" t="s">
        <v>912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1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1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1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1" t="s">
        <v>136</v>
      </c>
      <c r="B121" s="1" t="s">
        <v>133</v>
      </c>
      <c r="C121" t="s">
        <v>912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1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1" t="s">
        <v>154</v>
      </c>
      <c r="B123" s="1" t="s">
        <v>126</v>
      </c>
      <c r="C123" t="s">
        <v>912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1" t="s">
        <v>153</v>
      </c>
      <c r="B124" s="1" t="s">
        <v>191</v>
      </c>
      <c r="C124" t="s">
        <v>912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1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1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1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1" t="s">
        <v>304</v>
      </c>
      <c r="B128" s="1" t="s">
        <v>158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1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1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1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1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1" t="s">
        <v>306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1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1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1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1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1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1" t="s">
        <v>239</v>
      </c>
      <c r="B139" s="1" t="s">
        <v>160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1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1" t="s">
        <v>374</v>
      </c>
      <c r="B141" s="1" t="s">
        <v>335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1" t="s">
        <v>292</v>
      </c>
      <c r="B142" s="1" t="s">
        <v>360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1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1" t="s">
        <v>331</v>
      </c>
      <c r="B144" s="1" t="s">
        <v>371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1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1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1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1" t="s">
        <v>142</v>
      </c>
      <c r="B148" s="1" t="s">
        <v>165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1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1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1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1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1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1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1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1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NoXtal</v>
      </c>
      <c r="J156" s="3"/>
    </row>
    <row r="157" spans="1:10" x14ac:dyDescent="0.2">
      <c r="A157" s="1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1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1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1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1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1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1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NoXtal</v>
      </c>
      <c r="J163" s="3"/>
    </row>
    <row r="164" spans="1:10" x14ac:dyDescent="0.2">
      <c r="A164" s="1" t="s">
        <v>184</v>
      </c>
      <c r="B164" s="1" t="s">
        <v>170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1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1" t="s">
        <v>143</v>
      </c>
      <c r="B166" s="1" t="s">
        <v>170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1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NoXtal</v>
      </c>
      <c r="J167" s="3"/>
    </row>
    <row r="168" spans="1:10" x14ac:dyDescent="0.2">
      <c r="A168" s="1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1" t="s">
        <v>402</v>
      </c>
      <c r="B169" s="1" t="s">
        <v>402</v>
      </c>
      <c r="C169" t="s">
        <v>401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1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1" t="s">
        <v>166</v>
      </c>
      <c r="B171" s="1" t="s">
        <v>165</v>
      </c>
      <c r="C171" t="s">
        <v>1172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1" t="s">
        <v>201</v>
      </c>
      <c r="B172" s="1" t="s">
        <v>360</v>
      </c>
      <c r="C172" t="s">
        <v>1172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1" t="s">
        <v>202</v>
      </c>
      <c r="B173" s="1" t="s">
        <v>360</v>
      </c>
      <c r="C173" t="s">
        <v>1172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NoXtal</v>
      </c>
      <c r="J173" s="3"/>
    </row>
    <row r="174" spans="1:10" x14ac:dyDescent="0.2">
      <c r="A174" s="1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1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1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1" t="s">
        <v>203</v>
      </c>
      <c r="B177" s="1" t="s">
        <v>360</v>
      </c>
      <c r="C177" t="s">
        <v>1172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1" t="s">
        <v>293</v>
      </c>
      <c r="B178" s="1" t="s">
        <v>360</v>
      </c>
      <c r="C178" t="s">
        <v>1172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1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1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1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1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H182" s="10" t="str">
        <f>IF(ISERROR(MATCH(A182,'SegEnds_Xtal_Prot#'!B:B, 0)), "NoXtal", "Xtal")</f>
        <v>NoXtal</v>
      </c>
      <c r="J182" s="3"/>
    </row>
    <row r="183" spans="1:10" x14ac:dyDescent="0.2">
      <c r="A183" s="1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NoXtal</v>
      </c>
      <c r="J183" s="3"/>
    </row>
    <row r="184" spans="1:10" x14ac:dyDescent="0.2">
      <c r="A184" s="1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1" t="s">
        <v>366</v>
      </c>
      <c r="B185" s="1" t="s">
        <v>364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1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1" t="s">
        <v>266</v>
      </c>
      <c r="B187" s="1" t="s">
        <v>191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1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Xtal</v>
      </c>
      <c r="J188" s="3"/>
    </row>
    <row r="189" spans="1:10" x14ac:dyDescent="0.2">
      <c r="A189" s="1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NoXtal</v>
      </c>
      <c r="J189" s="3"/>
    </row>
    <row r="190" spans="1:10" x14ac:dyDescent="0.2">
      <c r="A190" s="1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1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1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1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1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Xtal</v>
      </c>
      <c r="J194" s="3"/>
    </row>
    <row r="195" spans="1:10" x14ac:dyDescent="0.2">
      <c r="A195" s="1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H195" s="10" t="str">
        <f>IF(ISERROR(MATCH(A195,'SegEnds_Xtal_Prot#'!B:B, 0)), "NoXtal", "Xtal")</f>
        <v>NoXtal</v>
      </c>
      <c r="J195" s="3"/>
    </row>
    <row r="196" spans="1:10" x14ac:dyDescent="0.2">
      <c r="A196" s="1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49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1" t="s">
        <v>411</v>
      </c>
      <c r="B197" s="1" t="s">
        <v>406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1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1" t="s">
        <v>413</v>
      </c>
      <c r="B199" s="1" t="s">
        <v>409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H199" s="10" t="str">
        <f>IF(ISERROR(MATCH(A199,'SegEnds_Xtal_Prot#'!B:B, 0)), "NoXtal", "Xtal")</f>
        <v>NoXtal</v>
      </c>
      <c r="J199" s="3"/>
    </row>
    <row r="200" spans="1:10" x14ac:dyDescent="0.2">
      <c r="A200" s="1" t="s">
        <v>408</v>
      </c>
      <c r="B200" s="1" t="s">
        <v>409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H200" s="10" t="str">
        <f>IF(ISERROR(MATCH(A200,'SegEnds_Xtal_Prot#'!B:B, 0)), "NoXtal", "Xtal")</f>
        <v>NoXtal</v>
      </c>
      <c r="J200" s="3"/>
    </row>
    <row r="201" spans="1:10" x14ac:dyDescent="0.2">
      <c r="A201" s="1" t="s">
        <v>412</v>
      </c>
      <c r="B201" s="1" t="s">
        <v>409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H201" s="10" t="str">
        <f>IF(ISERROR(MATCH(A201,'SegEnds_Xtal_Prot#'!B:B, 0)), "NoXtal", "Xtal")</f>
        <v>NoXtal</v>
      </c>
      <c r="J201" s="3"/>
    </row>
    <row r="202" spans="1:10" x14ac:dyDescent="0.2">
      <c r="A202" s="1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1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H203" s="10" t="str">
        <f>IF(ISERROR(MATCH(A203,'SegEnds_Xtal_Prot#'!B:B, 0)), "NoXtal", "Xtal")</f>
        <v>Xtal</v>
      </c>
      <c r="J203" s="3"/>
    </row>
    <row r="204" spans="1:10" x14ac:dyDescent="0.2">
      <c r="A204" s="1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H204" s="10" t="str">
        <f>IF(ISERROR(MATCH(A204,'SegEnds_Xtal_Prot#'!B:B, 0)), "NoXtal", "Xtal")</f>
        <v>NoXtal</v>
      </c>
      <c r="J204" s="3"/>
    </row>
    <row r="205" spans="1:10" x14ac:dyDescent="0.2">
      <c r="A205" s="1" t="s">
        <v>409</v>
      </c>
      <c r="B205" s="1" t="s">
        <v>409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H205" s="10" t="str">
        <f>IF(ISERROR(MATCH(A205,'SegEnds_Xtal_Prot#'!B:B, 0)), "NoXtal", "Xtal")</f>
        <v>Xtal</v>
      </c>
      <c r="J205" s="3"/>
    </row>
    <row r="206" spans="1:10" x14ac:dyDescent="0.2">
      <c r="A206" s="1" t="s">
        <v>410</v>
      </c>
      <c r="B206" s="1" t="s">
        <v>409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H206" s="10" t="str">
        <f>IF(ISERROR(MATCH(A206,'SegEnds_Xtal_Prot#'!B:B, 0)), "NoXtal", "Xtal")</f>
        <v>NoXtal</v>
      </c>
      <c r="J206" s="3"/>
    </row>
    <row r="207" spans="1:10" x14ac:dyDescent="0.2">
      <c r="A207" s="1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49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1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1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1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1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1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1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1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H214" s="10" t="str">
        <f>IF(ISERROR(MATCH(A214,'SegEnds_Xtal_Prot#'!B:B, 0)), "NoXtal", "Xtal")</f>
        <v>NoXtal</v>
      </c>
      <c r="J214" s="3"/>
    </row>
    <row r="215" spans="1:10" x14ac:dyDescent="0.2">
      <c r="A215" s="1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1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H216" s="10" t="str">
        <f>IF(ISERROR(MATCH(A216,'SegEnds_Xtal_Prot#'!B:B, 0)), "NoXtal", "Xtal")</f>
        <v>Xtal</v>
      </c>
      <c r="J216" s="3"/>
    </row>
    <row r="217" spans="1:10" x14ac:dyDescent="0.2">
      <c r="A217" s="1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H217" s="10" t="str">
        <f>IF(ISERROR(MATCH(A217,'SegEnds_Xtal_Prot#'!B:B, 0)), "NoXtal", "Xtal")</f>
        <v>NoXtal</v>
      </c>
      <c r="J217" s="3"/>
    </row>
    <row r="218" spans="1:10" x14ac:dyDescent="0.2">
      <c r="A218" s="1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1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1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1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1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1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1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1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1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1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H227" s="10" t="str">
        <f>IF(ISERROR(MATCH(A227,'SegEnds_Xtal_Prot#'!B:B, 0)), "NoXtal", "Xtal")</f>
        <v>NoXtal</v>
      </c>
      <c r="J227" s="3"/>
    </row>
    <row r="228" spans="1:10" x14ac:dyDescent="0.2">
      <c r="A228" s="1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H228" s="10" t="str">
        <f>IF(ISERROR(MATCH(A228,'SegEnds_Xtal_Prot#'!B:B, 0)), "NoXtal", "Xtal")</f>
        <v>Xtal</v>
      </c>
      <c r="J228" s="3"/>
    </row>
    <row r="229" spans="1:10" x14ac:dyDescent="0.2">
      <c r="A229" s="1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49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1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H230" s="10" t="str">
        <f>IF(ISERROR(MATCH(A230,'SegEnds_Xtal_Prot#'!B:B, 0)), "NoXtal", "Xtal")</f>
        <v>NoXtal</v>
      </c>
      <c r="J230" s="3"/>
    </row>
    <row r="231" spans="1:10" x14ac:dyDescent="0.2">
      <c r="A231" s="1" t="s">
        <v>226</v>
      </c>
      <c r="B231" s="1" t="s">
        <v>352</v>
      </c>
      <c r="C231" t="s">
        <v>278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1" t="s">
        <v>245</v>
      </c>
      <c r="B232" s="1" t="s">
        <v>133</v>
      </c>
      <c r="C232" t="s">
        <v>278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1" t="s">
        <v>249</v>
      </c>
      <c r="B233" s="1" t="s">
        <v>103</v>
      </c>
      <c r="C233" t="s">
        <v>103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1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H234" s="10" t="str">
        <f>IF(ISERROR(MATCH(A234,'SegEnds_Xtal_Prot#'!B:B, 0)), "NoXtal", "Xtal")</f>
        <v>Xtal</v>
      </c>
      <c r="J234" s="3"/>
    </row>
    <row r="235" spans="1:10" x14ac:dyDescent="0.2">
      <c r="A235" s="1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H235" s="10" t="str">
        <f>IF(ISERROR(MATCH(A235,'SegEnds_Xtal_Prot#'!B:B, 0)), "NoXtal", "Xtal")</f>
        <v>NoXtal</v>
      </c>
      <c r="J235" s="3"/>
    </row>
    <row r="236" spans="1:10" x14ac:dyDescent="0.2">
      <c r="A236" s="1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H236" s="10" t="str">
        <f>IF(ISERROR(MATCH(A236,'SegEnds_Xtal_Prot#'!B:B, 0)), "NoXtal", "Xtal")</f>
        <v>NoXtal</v>
      </c>
      <c r="I236" s="10"/>
      <c r="J236" s="3"/>
    </row>
    <row r="237" spans="1:10" x14ac:dyDescent="0.2">
      <c r="A237" s="1" t="s">
        <v>183</v>
      </c>
      <c r="B237" s="1" t="s">
        <v>183</v>
      </c>
      <c r="C237" t="s">
        <v>182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H237" s="10" t="str">
        <f>IF(ISERROR(MATCH(A237,'SegEnds_Xtal_Prot#'!B:B, 0)), "NoXtal", "Xtal")</f>
        <v>Xtal</v>
      </c>
      <c r="J237" s="3"/>
    </row>
    <row r="238" spans="1:10" x14ac:dyDescent="0.2">
      <c r="A238" s="1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1" t="s">
        <v>362</v>
      </c>
      <c r="B239" s="1" t="s">
        <v>364</v>
      </c>
      <c r="C239" t="s">
        <v>914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H239" s="10" t="str">
        <f>IF(ISERROR(MATCH(A239,'SegEnds_Xtal_Prot#'!B:B, 0)), "NoXtal", "Xtal")</f>
        <v>NoXtal</v>
      </c>
      <c r="J239" s="3"/>
    </row>
    <row r="240" spans="1:10" x14ac:dyDescent="0.2">
      <c r="A240" s="1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1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H241" s="10" t="str">
        <f>IF(ISERROR(MATCH(A241,'SegEnds_Xtal_Prot#'!B:B, 0)), "NoXtal", "Xtal")</f>
        <v>NoXtal</v>
      </c>
      <c r="J241" s="3"/>
    </row>
    <row r="242" spans="1:10" x14ac:dyDescent="0.2">
      <c r="A242" s="1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H242" s="10" t="str">
        <f>IF(ISERROR(MATCH(A242,'SegEnds_Xtal_Prot#'!B:B, 0)), "NoXtal", "Xtal")</f>
        <v>NoXtal</v>
      </c>
      <c r="J242" s="3"/>
    </row>
    <row r="243" spans="1:10" x14ac:dyDescent="0.2">
      <c r="A243" s="1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1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H244" s="10" t="str">
        <f>IF(ISERROR(MATCH(A244,'SegEnds_Xtal_Prot#'!B:B, 0)), "NoXtal", "Xtal")</f>
        <v>NoXtal</v>
      </c>
      <c r="J244" s="3"/>
    </row>
    <row r="245" spans="1:10" x14ac:dyDescent="0.2">
      <c r="A245" s="1" t="s">
        <v>216</v>
      </c>
      <c r="B245" s="1" t="s">
        <v>133</v>
      </c>
      <c r="C245" t="s">
        <v>914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1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1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1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1" t="s">
        <v>224</v>
      </c>
      <c r="B249" s="1" t="s">
        <v>360</v>
      </c>
      <c r="C249" t="s">
        <v>914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1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1" t="s">
        <v>268</v>
      </c>
      <c r="B251" s="1" t="s">
        <v>335</v>
      </c>
      <c r="C251" t="s">
        <v>916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1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1" t="s">
        <v>335</v>
      </c>
      <c r="B253" s="1" t="s">
        <v>335</v>
      </c>
      <c r="C253" s="1" t="s">
        <v>335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3"/>
        <v>1</v>
      </c>
      <c r="H253" s="10" t="str">
        <f>IF(ISERROR(MATCH(A253,'SegEnds_Xtal_Prot#'!B:B, 0)), "NoXtal", "Xtal")</f>
        <v>Xtal</v>
      </c>
      <c r="J253" s="3"/>
    </row>
    <row r="254" spans="1:10" x14ac:dyDescent="0.2">
      <c r="A254" s="1" t="s">
        <v>916</v>
      </c>
      <c r="B254" s="1" t="s">
        <v>916</v>
      </c>
      <c r="C254" t="s">
        <v>916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1" t="s">
        <v>384</v>
      </c>
      <c r="B255" s="1" t="s">
        <v>336</v>
      </c>
      <c r="C255" t="s">
        <v>916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H255" s="10" t="str">
        <f>IF(ISERROR(MATCH(A255,'SegEnds_Xtal_Prot#'!B:B, 0)), "NoXtal", "Xtal")</f>
        <v>NoXtal</v>
      </c>
      <c r="J255" s="3"/>
    </row>
    <row r="256" spans="1:10" x14ac:dyDescent="0.2">
      <c r="A256" s="1" t="s">
        <v>360</v>
      </c>
      <c r="B256" s="1" t="s">
        <v>360</v>
      </c>
      <c r="C256" t="s">
        <v>916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H256" s="10" t="str">
        <f>IF(ISERROR(MATCH(A256,'SegEnds_Xtal_Prot#'!B:B, 0)), "NoXtal", "Xtal")</f>
        <v>Xtal</v>
      </c>
      <c r="J256" s="3"/>
    </row>
    <row r="257" spans="1:10" x14ac:dyDescent="0.2">
      <c r="A257" s="1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H257" s="10" t="str">
        <f>IF(ISERROR(MATCH(A257,'SegEnds_Xtal_Prot#'!B:B, 0)), "NoXtal", "Xtal")</f>
        <v>NoXtal</v>
      </c>
      <c r="J257" s="3"/>
    </row>
    <row r="258" spans="1:10" x14ac:dyDescent="0.2">
      <c r="A258" s="1" t="s">
        <v>251</v>
      </c>
      <c r="B258" s="1" t="s">
        <v>336</v>
      </c>
      <c r="C258" t="s">
        <v>336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1" t="s">
        <v>164</v>
      </c>
      <c r="B259" s="1" t="s">
        <v>165</v>
      </c>
      <c r="C259" t="s">
        <v>336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1" t="s">
        <v>308</v>
      </c>
      <c r="B260" s="1" t="s">
        <v>356</v>
      </c>
      <c r="C260" t="s">
        <v>336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1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H261" s="10" t="str">
        <f>IF(ISERROR(MATCH(A261,'SegEnds_Xtal_Prot#'!B:B, 0)), "NoXtal", "Xtal")</f>
        <v>Xtal</v>
      </c>
      <c r="J261" s="3"/>
    </row>
    <row r="262" spans="1:10" x14ac:dyDescent="0.2">
      <c r="A262" s="1" t="s">
        <v>342</v>
      </c>
      <c r="B262" s="1" t="s">
        <v>360</v>
      </c>
      <c r="C262" t="s">
        <v>336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H262" s="10" t="str">
        <f>IF(ISERROR(MATCH(A262,'SegEnds_Xtal_Prot#'!B:B, 0)), "NoXtal", "Xtal")</f>
        <v>NoXtal</v>
      </c>
      <c r="J262" s="3"/>
    </row>
    <row r="263" spans="1:10" x14ac:dyDescent="0.2">
      <c r="A263" s="1" t="s">
        <v>205</v>
      </c>
      <c r="B263" s="1" t="s">
        <v>336</v>
      </c>
      <c r="C263" t="s">
        <v>918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1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1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1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H266" s="10" t="str">
        <f>IF(ISERROR(MATCH(A266,'SegEnds_Xtal_Prot#'!B:B, 0)), "NoXtal", "Xtal")</f>
        <v>Xtal</v>
      </c>
      <c r="J266" s="3"/>
    </row>
    <row r="267" spans="1:10" x14ac:dyDescent="0.2">
      <c r="A267" s="1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H267" s="10" t="str">
        <f>IF(ISERROR(MATCH(A267,'SegEnds_Xtal_Prot#'!B:B, 0)), "NoXtal", "Xtal")</f>
        <v>NoXtal</v>
      </c>
      <c r="J267" s="3"/>
    </row>
    <row r="268" spans="1:10" x14ac:dyDescent="0.2">
      <c r="A268" s="1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1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1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1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1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1" t="s">
        <v>217</v>
      </c>
      <c r="B273" s="1" t="s">
        <v>355</v>
      </c>
      <c r="C273" t="s">
        <v>1174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1" t="s">
        <v>320</v>
      </c>
      <c r="B274" s="1" t="s">
        <v>335</v>
      </c>
      <c r="C274" t="s">
        <v>1174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1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1" t="s">
        <v>399</v>
      </c>
      <c r="B276" s="1" t="s">
        <v>312</v>
      </c>
      <c r="C276" t="s">
        <v>1174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1" t="s">
        <v>218</v>
      </c>
      <c r="B277" s="1" t="s">
        <v>132</v>
      </c>
      <c r="C277" t="s">
        <v>1174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1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H278" s="10" t="str">
        <f>IF(ISERROR(MATCH(A278,'SegEnds_Xtal_Prot#'!B:B, 0)), "NoXtal", "Xtal")</f>
        <v>Xtal</v>
      </c>
      <c r="J278" s="3"/>
    </row>
    <row r="279" spans="1:10" x14ac:dyDescent="0.2">
      <c r="A279" s="1" t="s">
        <v>396</v>
      </c>
      <c r="B279" s="1" t="s">
        <v>173</v>
      </c>
      <c r="C279" t="s">
        <v>1174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H279" s="10" t="str">
        <f>IF(ISERROR(MATCH(A279,'SegEnds_Xtal_Prot#'!B:B, 0)), "NoXtal", "Xtal")</f>
        <v>NoXtal</v>
      </c>
      <c r="J279" s="3"/>
    </row>
    <row r="280" spans="1:10" x14ac:dyDescent="0.2">
      <c r="A280" s="1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1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1" t="s">
        <v>398</v>
      </c>
      <c r="B282" s="1" t="s">
        <v>312</v>
      </c>
      <c r="C282" t="s">
        <v>1174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1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1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H284" s="10" t="str">
        <f>IF(ISERROR(MATCH(A284,'SegEnds_Xtal_Prot#'!B:B, 0)), "NoXtal", "Xtal")</f>
        <v>Xtal</v>
      </c>
      <c r="J284" s="3"/>
    </row>
    <row r="285" spans="1:10" x14ac:dyDescent="0.2">
      <c r="A285" s="1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H285" s="10" t="str">
        <f>IF(ISERROR(MATCH(A285,'SegEnds_Xtal_Prot#'!B:B, 0)), "NoXtal", "Xtal")</f>
        <v>NoXtal</v>
      </c>
      <c r="J285" s="3"/>
    </row>
    <row r="286" spans="1:10" x14ac:dyDescent="0.2">
      <c r="A286" s="1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H286" s="10" t="str">
        <f>IF(ISERROR(MATCH(A286,'SegEnds_Xtal_Prot#'!B:B, 0)), "NoXtal", "Xtal")</f>
        <v>Xtal</v>
      </c>
      <c r="J286" s="3"/>
    </row>
    <row r="287" spans="1:10" x14ac:dyDescent="0.2">
      <c r="A287" s="1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H287" s="10" t="str">
        <f>IF(ISERROR(MATCH(A287,'SegEnds_Xtal_Prot#'!B:B, 0)), "NoXtal", "Xtal")</f>
        <v>NoXtal</v>
      </c>
      <c r="J287" s="3"/>
    </row>
    <row r="288" spans="1:10" x14ac:dyDescent="0.2">
      <c r="A288" s="1" t="s">
        <v>341</v>
      </c>
      <c r="B288" s="1" t="s">
        <v>920</v>
      </c>
      <c r="C288" t="s">
        <v>339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1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1" t="s">
        <v>285</v>
      </c>
      <c r="B290" s="1" t="s">
        <v>311</v>
      </c>
      <c r="C290" t="s">
        <v>339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1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1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1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H293" s="10" t="str">
        <f>IF(ISERROR(MATCH(A293,'SegEnds_Xtal_Prot#'!B:B, 0)), "NoXtal", "Xtal")</f>
        <v>Xtal</v>
      </c>
      <c r="J293" s="3"/>
    </row>
    <row r="294" spans="1:10" x14ac:dyDescent="0.2">
      <c r="A294" s="1" t="s">
        <v>270</v>
      </c>
      <c r="B294" s="1" t="s">
        <v>196</v>
      </c>
      <c r="C294" t="s">
        <v>1175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H294" s="10" t="str">
        <f>IF(ISERROR(MATCH(A294,'SegEnds_Xtal_Prot#'!B:B, 0)), "NoXtal", "Xtal")</f>
        <v>NoXtal</v>
      </c>
      <c r="J294" s="3"/>
    </row>
    <row r="295" spans="1:10" x14ac:dyDescent="0.2">
      <c r="A295" s="1" t="s">
        <v>326</v>
      </c>
      <c r="B295" s="1" t="s">
        <v>1175</v>
      </c>
      <c r="C295" t="s">
        <v>1175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1" t="s">
        <v>344</v>
      </c>
      <c r="B296" s="1" t="s">
        <v>1175</v>
      </c>
      <c r="C296" t="s">
        <v>1175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1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1" t="s">
        <v>267</v>
      </c>
      <c r="B298" s="1" t="s">
        <v>191</v>
      </c>
      <c r="C298" t="s">
        <v>1175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H298" s="10" t="str">
        <f>IF(ISERROR(MATCH(A298,'SegEnds_Xtal_Prot#'!B:B, 0)), "NoXtal", "Xtal")</f>
        <v>NoXtal</v>
      </c>
      <c r="J298" s="3"/>
    </row>
    <row r="299" spans="1:10" x14ac:dyDescent="0.2">
      <c r="A299" s="1" t="s">
        <v>222</v>
      </c>
      <c r="B299" s="1" t="s">
        <v>1172</v>
      </c>
      <c r="C299" t="s">
        <v>1175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1" t="s">
        <v>323</v>
      </c>
      <c r="B300" s="1" t="s">
        <v>1176</v>
      </c>
      <c r="C300" t="s">
        <v>1175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1" t="s">
        <v>315</v>
      </c>
      <c r="B301" s="1" t="s">
        <v>314</v>
      </c>
      <c r="C301" t="s">
        <v>1175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1" t="s">
        <v>215</v>
      </c>
      <c r="B302" s="1" t="s">
        <v>311</v>
      </c>
      <c r="C302" t="s">
        <v>1175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1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1" t="s">
        <v>328</v>
      </c>
      <c r="B304" s="1" t="s">
        <v>325</v>
      </c>
      <c r="C304" t="s">
        <v>1176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1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1" t="s">
        <v>359</v>
      </c>
      <c r="B306" s="1" t="s">
        <v>364</v>
      </c>
      <c r="C306" t="s">
        <v>1176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1" t="s">
        <v>324</v>
      </c>
      <c r="B307" s="1" t="s">
        <v>133</v>
      </c>
      <c r="C307" t="s">
        <v>1176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1" t="s">
        <v>247</v>
      </c>
      <c r="B308" s="1" t="s">
        <v>191</v>
      </c>
      <c r="C308" t="s">
        <v>1176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1" t="s">
        <v>260</v>
      </c>
      <c r="B309" s="1" t="s">
        <v>35</v>
      </c>
      <c r="C309" t="s">
        <v>1176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H309" s="10" t="str">
        <f>IF(ISERROR(MATCH(A309,'SegEnds_Xtal_Prot#'!B:B, 0)), "NoXtal", "Xtal")</f>
        <v>NoXtal</v>
      </c>
      <c r="J309" s="3"/>
    </row>
    <row r="310" spans="1:10" x14ac:dyDescent="0.2">
      <c r="A310" s="1" t="s">
        <v>244</v>
      </c>
      <c r="B310" s="1" t="s">
        <v>132</v>
      </c>
      <c r="C310" t="s">
        <v>1176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H310" s="10" t="str">
        <f>IF(ISERROR(MATCH(A310,'SegEnds_Xtal_Prot#'!B:B, 0)), "NoXtal", "Xtal")</f>
        <v>NoXtal</v>
      </c>
      <c r="J310" s="3"/>
    </row>
    <row r="311" spans="1:10" x14ac:dyDescent="0.2">
      <c r="A311" s="1" t="s">
        <v>368</v>
      </c>
      <c r="B311" s="1" t="s">
        <v>325</v>
      </c>
      <c r="C311" t="s">
        <v>1176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1" t="s">
        <v>367</v>
      </c>
      <c r="B312" s="1" t="s">
        <v>325</v>
      </c>
      <c r="C312" t="s">
        <v>1176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1" t="s">
        <v>327</v>
      </c>
      <c r="B313" s="1" t="s">
        <v>325</v>
      </c>
      <c r="C313" t="s">
        <v>1176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1" t="s">
        <v>312</v>
      </c>
      <c r="B314" s="1" t="s">
        <v>312</v>
      </c>
      <c r="C314" t="s">
        <v>1176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H314" s="10" t="str">
        <f>IF(ISERROR(MATCH(A314,'SegEnds_Xtal_Prot#'!B:B, 0)), "NoXtal", "Xtal")</f>
        <v>Xtal</v>
      </c>
      <c r="J314" s="3"/>
    </row>
    <row r="315" spans="1:10" x14ac:dyDescent="0.2">
      <c r="A315" s="1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H315" s="10" t="str">
        <f>IF(ISERROR(MATCH(A315,'SegEnds_Xtal_Prot#'!B:B, 0)), "NoXtal", "Xtal")</f>
        <v>NoXtal</v>
      </c>
      <c r="J315" s="3"/>
    </row>
    <row r="316" spans="1:10" x14ac:dyDescent="0.2">
      <c r="A316" s="1" t="s">
        <v>167</v>
      </c>
      <c r="B316" s="1" t="s">
        <v>1175</v>
      </c>
      <c r="C316" t="s">
        <v>1176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1" t="s">
        <v>325</v>
      </c>
      <c r="B317" s="1" t="s">
        <v>325</v>
      </c>
      <c r="C317" t="s">
        <v>1176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H317" s="10" t="str">
        <f>IF(ISERROR(MATCH(A317,'SegEnds_Xtal_Prot#'!B:B, 0)), "NoXtal", "Xtal")</f>
        <v>Xtal</v>
      </c>
      <c r="J317" s="3"/>
    </row>
    <row r="318" spans="1:10" x14ac:dyDescent="0.2">
      <c r="A318" s="1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H318" s="10" t="str">
        <f>IF(ISERROR(MATCH(A318,'SegEnds_Xtal_Prot#'!B:B, 0)), "NoXtal", "Xtal")</f>
        <v>NoXtal</v>
      </c>
      <c r="J318" s="3"/>
    </row>
    <row r="319" spans="1:10" x14ac:dyDescent="0.2">
      <c r="A319" s="1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1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H320" s="10" t="str">
        <f>IF(ISERROR(MATCH(A320,'SegEnds_Xtal_Prot#'!B:B, 0)), "NoXtal", "Xtal")</f>
        <v>Xtal</v>
      </c>
      <c r="J320" s="3"/>
    </row>
    <row r="321" spans="1:10" x14ac:dyDescent="0.2">
      <c r="A321" s="1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H321" s="10" t="str">
        <f>IF(ISERROR(MATCH(A321,'SegEnds_Xtal_Prot#'!B:B, 0)), "NoXtal", "Xtal")</f>
        <v>NoXtal</v>
      </c>
      <c r="J321" s="3"/>
    </row>
    <row r="322" spans="1:10" x14ac:dyDescent="0.2">
      <c r="A322" s="1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1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8" si="5">OR(D323=F323,AND(D323="T",F323="A"),AND(D323="B2",F323="B1"),D323="O")</f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1" t="s">
        <v>314</v>
      </c>
      <c r="B324" s="1" t="s">
        <v>314</v>
      </c>
      <c r="C324" t="s">
        <v>1176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H324" s="10" t="str">
        <f>IF(ISERROR(MATCH(A324,'SegEnds_Xtal_Prot#'!B:B, 0)), "NoXtal", "Xtal")</f>
        <v>Xtal</v>
      </c>
      <c r="J324" s="3"/>
    </row>
    <row r="325" spans="1:10" x14ac:dyDescent="0.2">
      <c r="A325" s="1" t="s">
        <v>316</v>
      </c>
      <c r="B325" s="1" t="s">
        <v>314</v>
      </c>
      <c r="C325" t="s">
        <v>1176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H325" s="10" t="str">
        <f>IF(ISERROR(MATCH(A325,'SegEnds_Xtal_Prot#'!B:B, 0)), "NoXtal", "Xtal")</f>
        <v>NoXtal</v>
      </c>
      <c r="J325" s="3"/>
    </row>
    <row r="326" spans="1:10" x14ac:dyDescent="0.2">
      <c r="A326" s="1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1" t="s">
        <v>225</v>
      </c>
      <c r="B327" s="1" t="s">
        <v>1176</v>
      </c>
      <c r="C327" t="s">
        <v>1176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1" t="s">
        <v>313</v>
      </c>
      <c r="B328" s="1" t="s">
        <v>311</v>
      </c>
      <c r="C328" t="s">
        <v>1176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1" t="s">
        <v>329</v>
      </c>
      <c r="B329" s="1" t="s">
        <v>325</v>
      </c>
      <c r="C329" t="s">
        <v>1176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1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1" t="s">
        <v>350</v>
      </c>
      <c r="B331" s="1" t="s">
        <v>371</v>
      </c>
      <c r="C331" t="s">
        <v>345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1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1" t="s">
        <v>250</v>
      </c>
      <c r="B333" s="1" t="s">
        <v>916</v>
      </c>
      <c r="C333" t="s">
        <v>345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1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1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H335" s="10" t="str">
        <f>IF(ISERROR(MATCH(A335,'SegEnds_Xtal_Prot#'!B:B, 0)), "NoXtal", "Xtal")</f>
        <v>NoXtal</v>
      </c>
      <c r="J335" s="3"/>
    </row>
    <row r="336" spans="1:10" x14ac:dyDescent="0.2">
      <c r="A336" s="1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H336" s="10" t="str">
        <f>IF(ISERROR(MATCH(A336,'SegEnds_Xtal_Prot#'!B:B, 0)), "NoXtal", "Xtal")</f>
        <v>NoXtal</v>
      </c>
      <c r="J336" s="3"/>
    </row>
    <row r="337" spans="1:10" x14ac:dyDescent="0.2">
      <c r="A337" s="1" t="s">
        <v>179</v>
      </c>
      <c r="B337" s="1" t="s">
        <v>371</v>
      </c>
      <c r="C337" t="s">
        <v>345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H337" s="10" t="str">
        <f>IF(ISERROR(MATCH(A337,'SegEnds_Xtal_Prot#'!B:B, 0)), "NoXtal", "Xtal")</f>
        <v>NoXtal</v>
      </c>
      <c r="J337" s="3"/>
    </row>
    <row r="338" spans="1:10" x14ac:dyDescent="0.2">
      <c r="A338" s="1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H338" s="10" t="str">
        <f>IF(ISERROR(MATCH(A338,'SegEnds_Xtal_Prot#'!B:B, 0)), "NoXtal", "Xtal")</f>
        <v>NoXtal</v>
      </c>
      <c r="J338" s="3"/>
    </row>
    <row r="339" spans="1:10" x14ac:dyDescent="0.2">
      <c r="A339" s="1" t="s">
        <v>301</v>
      </c>
      <c r="B339" s="1" t="s">
        <v>165</v>
      </c>
      <c r="C339" t="s">
        <v>345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H339" s="10" t="str">
        <f>IF(ISERROR(MATCH(A339,'SegEnds_Xtal_Prot#'!B:B, 0)), "NoXtal", "Xtal")</f>
        <v>NoXtal</v>
      </c>
      <c r="J339" s="3"/>
    </row>
    <row r="340" spans="1:10" x14ac:dyDescent="0.2">
      <c r="A340" s="1" t="s">
        <v>241</v>
      </c>
      <c r="B340" s="1" t="s">
        <v>160</v>
      </c>
      <c r="C340" t="s">
        <v>345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1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1" t="s">
        <v>370</v>
      </c>
      <c r="B342" s="1" t="s">
        <v>371</v>
      </c>
      <c r="C342" t="s">
        <v>345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1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H343" s="10" t="str">
        <f>IF(ISERROR(MATCH(A343,'SegEnds_Xtal_Prot#'!B:B, 0)), "NoXtal", "Xtal")</f>
        <v>Xtal</v>
      </c>
      <c r="J343" s="3"/>
    </row>
    <row r="344" spans="1:10" x14ac:dyDescent="0.2">
      <c r="A344" s="1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H344" s="10" t="str">
        <f>IF(ISERROR(MATCH(A344,'SegEnds_Xtal_Prot#'!B:B, 0)), "NoXtal", "Xtal")</f>
        <v>NoXtal</v>
      </c>
      <c r="J344" s="3"/>
    </row>
    <row r="345" spans="1:10" x14ac:dyDescent="0.2">
      <c r="A345" s="1" t="s">
        <v>290</v>
      </c>
      <c r="B345" s="1" t="s">
        <v>371</v>
      </c>
      <c r="C345" t="s">
        <v>345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H345" s="10" t="str">
        <f>IF(ISERROR(MATCH(A345,'SegEnds_Xtal_Prot#'!B:B, 0)), "NoXtal", "Xtal")</f>
        <v>NoXtal</v>
      </c>
      <c r="J345" s="3"/>
    </row>
    <row r="346" spans="1:10" x14ac:dyDescent="0.2">
      <c r="A346" s="1" t="s">
        <v>1441</v>
      </c>
      <c r="B346" s="1" t="s">
        <v>1441</v>
      </c>
      <c r="C346" t="s">
        <v>1441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>OR(D346=F346,AND(D346="T",F346="A"),AND(D346="B2",F346="B1"),D346="O")</f>
        <v>1</v>
      </c>
      <c r="H346" s="10" t="str">
        <f>IF(ISERROR(MATCH(A346,'SegEnds_Xtal_Prot#'!B:B, 0)), "NoXtal", "Xtal")</f>
        <v>Xtal</v>
      </c>
      <c r="J346" s="3"/>
    </row>
    <row r="347" spans="1:10" x14ac:dyDescent="0.2">
      <c r="A347" s="1" t="s">
        <v>1452</v>
      </c>
      <c r="B347" s="1" t="s">
        <v>1452</v>
      </c>
      <c r="C347" t="s">
        <v>1452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>OR(D347=F347,AND(D347="T",F347="A"),AND(D347="B2",F347="B1"),D347="O")</f>
        <v>1</v>
      </c>
      <c r="H347" s="10" t="str">
        <f>IF(ISERROR(MATCH(A347,'SegEnds_Xtal_Prot#'!B:B, 0)), "NoXtal", "Xtal")</f>
        <v>Xtal</v>
      </c>
      <c r="J347" s="3"/>
    </row>
    <row r="348" spans="1:10" x14ac:dyDescent="0.2">
      <c r="A348" s="1" t="s">
        <v>303</v>
      </c>
      <c r="B348" s="1" t="s">
        <v>165</v>
      </c>
      <c r="C348" t="s">
        <v>345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H348" s="10" t="str">
        <f>IF(ISERROR(MATCH(A348,'SegEnds_Xtal_Prot#'!B:B, 0)), "NoXtal", "Xtal")</f>
        <v>NoXtal</v>
      </c>
      <c r="J348" s="3"/>
    </row>
    <row r="349" spans="1:10" x14ac:dyDescent="0.2">
      <c r="A349" s="1" t="s">
        <v>351</v>
      </c>
      <c r="B349" s="1" t="s">
        <v>345</v>
      </c>
      <c r="C349" t="s">
        <v>345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H349" s="10" t="str">
        <f>IF(ISERROR(MATCH(A349,'SegEnds_Xtal_Prot#'!B:B, 0)), "NoXtal", "Xtal")</f>
        <v>NoXtal</v>
      </c>
      <c r="J349" s="3"/>
    </row>
    <row r="350" spans="1:10" x14ac:dyDescent="0.2">
      <c r="A350" s="1" t="s">
        <v>288</v>
      </c>
      <c r="B350" s="1" t="s">
        <v>336</v>
      </c>
      <c r="C350" t="s">
        <v>345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1" t="s">
        <v>347</v>
      </c>
      <c r="B351" s="1" t="s">
        <v>345</v>
      </c>
      <c r="C351" t="s">
        <v>345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1" t="s">
        <v>295</v>
      </c>
      <c r="B352" s="1" t="s">
        <v>177</v>
      </c>
      <c r="C352" t="s">
        <v>345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1" t="s">
        <v>275</v>
      </c>
      <c r="B353" s="1" t="s">
        <v>345</v>
      </c>
      <c r="C353" t="s">
        <v>345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1" t="s">
        <v>276</v>
      </c>
      <c r="B354" s="1" t="s">
        <v>336</v>
      </c>
      <c r="C354" t="s">
        <v>345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1" t="s">
        <v>346</v>
      </c>
      <c r="B355" s="1" t="s">
        <v>345</v>
      </c>
      <c r="C355" t="s">
        <v>345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1" t="s">
        <v>214</v>
      </c>
      <c r="B356" s="1" t="s">
        <v>356</v>
      </c>
      <c r="C356" t="s">
        <v>345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1" t="s">
        <v>289</v>
      </c>
      <c r="B357" s="1" t="s">
        <v>356</v>
      </c>
      <c r="C357" t="s">
        <v>345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1" t="s">
        <v>257</v>
      </c>
      <c r="B358" s="1" t="s">
        <v>371</v>
      </c>
      <c r="C358" t="s">
        <v>345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1" t="s">
        <v>277</v>
      </c>
      <c r="B359" s="1" t="s">
        <v>345</v>
      </c>
      <c r="C359" t="s">
        <v>345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1" t="s">
        <v>229</v>
      </c>
      <c r="B360" s="1" t="s">
        <v>352</v>
      </c>
      <c r="C360" t="s">
        <v>352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1" t="s">
        <v>353</v>
      </c>
      <c r="B361" s="1" t="s">
        <v>352</v>
      </c>
      <c r="C361" t="s">
        <v>352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1" t="s">
        <v>354</v>
      </c>
      <c r="B362" s="1" t="s">
        <v>352</v>
      </c>
      <c r="C362" t="s">
        <v>352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1" t="s">
        <v>352</v>
      </c>
      <c r="B363" s="1" t="s">
        <v>352</v>
      </c>
      <c r="C363" t="s">
        <v>352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H363" s="10" t="str">
        <f>IF(ISERROR(MATCH(A363,'SegEnds_Xtal_Prot#'!B:B, 0)), "NoXtal", "Xtal")</f>
        <v>Xtal</v>
      </c>
      <c r="J363" s="3"/>
    </row>
    <row r="364" spans="1:10" x14ac:dyDescent="0.2">
      <c r="A364" s="1" t="s">
        <v>272</v>
      </c>
      <c r="B364" s="1" t="s">
        <v>352</v>
      </c>
      <c r="C364" t="s">
        <v>352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H364" s="10" t="str">
        <f>IF(ISERROR(MATCH(A364,'SegEnds_Xtal_Prot#'!B:B, 0)), "NoXtal", "Xtal")</f>
        <v>NoXtal</v>
      </c>
      <c r="J364" s="3"/>
    </row>
    <row r="365" spans="1:10" x14ac:dyDescent="0.2">
      <c r="A365" s="1" t="s">
        <v>307</v>
      </c>
      <c r="B365" s="1" t="s">
        <v>360</v>
      </c>
      <c r="C365" t="s">
        <v>352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H365" s="10" t="str">
        <f>IF(ISERROR(MATCH(A365,'SegEnds_Xtal_Prot#'!B:B, 0)), "NoXtal", "Xtal")</f>
        <v>NoXtal</v>
      </c>
      <c r="J365" s="3"/>
    </row>
    <row r="366" spans="1:10" x14ac:dyDescent="0.2">
      <c r="A366" s="1" t="s">
        <v>371</v>
      </c>
      <c r="B366" s="1" t="s">
        <v>371</v>
      </c>
      <c r="C366" t="s">
        <v>352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H366" s="10" t="str">
        <f>IF(ISERROR(MATCH(A366,'SegEnds_Xtal_Prot#'!B:B, 0)), "NoXtal", "Xtal")</f>
        <v>Xtal</v>
      </c>
      <c r="J366" s="3"/>
    </row>
    <row r="367" spans="1:10" x14ac:dyDescent="0.2">
      <c r="A367" s="1" t="s">
        <v>234</v>
      </c>
      <c r="B367" s="1" t="s">
        <v>336</v>
      </c>
      <c r="C367" t="s">
        <v>352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H367" s="10" t="str">
        <f>IF(ISERROR(MATCH(A367,'SegEnds_Xtal_Prot#'!B:B, 0)), "NoXtal", "Xtal")</f>
        <v>NoXtal</v>
      </c>
      <c r="J367" s="3"/>
    </row>
    <row r="368" spans="1:10" x14ac:dyDescent="0.2">
      <c r="A368" s="1" t="s">
        <v>365</v>
      </c>
      <c r="B368" s="1" t="s">
        <v>473</v>
      </c>
      <c r="C368" t="s">
        <v>352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H368" s="10" t="str">
        <f>IF(ISERROR(MATCH(A368,'SegEnds_Xtal_Prot#'!B:B, 0)), "NoXtal", "Xtal")</f>
        <v>NoXtal</v>
      </c>
      <c r="J368" s="3"/>
    </row>
    <row r="369" spans="1:10" x14ac:dyDescent="0.2">
      <c r="A369" s="1" t="s">
        <v>253</v>
      </c>
      <c r="B369" s="1" t="s">
        <v>371</v>
      </c>
      <c r="C369" t="s">
        <v>352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1" t="s">
        <v>364</v>
      </c>
      <c r="B370" s="1" t="s">
        <v>364</v>
      </c>
      <c r="C370" t="s">
        <v>352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H370" s="10" t="str">
        <f>IF(ISERROR(MATCH(A370,'SegEnds_Xtal_Prot#'!B:B, 0)), "NoXtal", "Xtal")</f>
        <v>Xtal</v>
      </c>
      <c r="J370" s="3"/>
    </row>
    <row r="371" spans="1:10" x14ac:dyDescent="0.2">
      <c r="A371" s="1" t="s">
        <v>357</v>
      </c>
      <c r="B371" s="1" t="s">
        <v>356</v>
      </c>
      <c r="C371" t="s">
        <v>355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H371" s="10" t="str">
        <f>IF(ISERROR(MATCH(A371,'SegEnds_Xtal_Prot#'!B:B, 0)), "NoXtal", "Xtal")</f>
        <v>NoXtal</v>
      </c>
      <c r="J371" s="3"/>
    </row>
    <row r="372" spans="1:10" x14ac:dyDescent="0.2">
      <c r="A372" s="1" t="s">
        <v>261</v>
      </c>
      <c r="B372" s="1" t="s">
        <v>336</v>
      </c>
      <c r="C372" t="s">
        <v>355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H372" s="10" t="str">
        <f>IF(ISERROR(MATCH(A372,'SegEnds_Xtal_Prot#'!B:B, 0)), "NoXtal", "Xtal")</f>
        <v>NoXtal</v>
      </c>
      <c r="J372" s="3"/>
    </row>
    <row r="373" spans="1:10" x14ac:dyDescent="0.2">
      <c r="A373" s="1" t="s">
        <v>254</v>
      </c>
      <c r="B373" s="1" t="s">
        <v>170</v>
      </c>
      <c r="C373" t="s">
        <v>355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1" t="s">
        <v>302</v>
      </c>
      <c r="B374" s="1" t="s">
        <v>1172</v>
      </c>
      <c r="C374" t="s">
        <v>355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1" t="s">
        <v>358</v>
      </c>
      <c r="B375" s="1" t="s">
        <v>356</v>
      </c>
      <c r="C375" t="s">
        <v>355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1" t="s">
        <v>356</v>
      </c>
      <c r="B376" s="1" t="s">
        <v>356</v>
      </c>
      <c r="C376" t="s">
        <v>356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H376" s="10" t="str">
        <f>IF(ISERROR(MATCH(A376,'SegEnds_Xtal_Prot#'!B:B, 0)), "NoXtal", "Xtal")</f>
        <v>Xtal</v>
      </c>
      <c r="J376" s="3"/>
    </row>
    <row r="377" spans="1:10" x14ac:dyDescent="0.2">
      <c r="A377" s="1" t="s">
        <v>355</v>
      </c>
      <c r="B377" s="1" t="s">
        <v>355</v>
      </c>
      <c r="C377" t="s">
        <v>355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H377" s="10" t="str">
        <f>IF(ISERROR(MATCH(A377,'SegEnds_Xtal_Prot#'!B:B, 0)), "NoXtal", "Xtal")</f>
        <v>Xtal</v>
      </c>
      <c r="J377" s="3"/>
    </row>
    <row r="378" spans="1:10" x14ac:dyDescent="0.2">
      <c r="A378" s="1" t="s">
        <v>243</v>
      </c>
      <c r="B378" s="1" t="s">
        <v>356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H378" s="10" t="str">
        <f>IF(ISERROR(MATCH(A378,'SegEnds_Xtal_Prot#'!B:B, 0)), "NoXtal", "Xtal")</f>
        <v>NoXtal</v>
      </c>
      <c r="J378" s="3"/>
    </row>
    <row r="379" spans="1:10" x14ac:dyDescent="0.2">
      <c r="A379" s="1" t="s">
        <v>349</v>
      </c>
      <c r="B379" s="1" t="s">
        <v>356</v>
      </c>
      <c r="C379" t="s">
        <v>355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H379" s="10" t="str">
        <f>IF(ISERROR(MATCH(A379,'SegEnds_Xtal_Prot#'!B:B, 0)), "NoXtal", "Xtal")</f>
        <v>NoXtal</v>
      </c>
      <c r="J379" s="3"/>
    </row>
    <row r="380" spans="1:10" x14ac:dyDescent="0.2">
      <c r="A380" s="1" t="s">
        <v>199</v>
      </c>
      <c r="B380" s="1" t="s">
        <v>355</v>
      </c>
      <c r="C380" t="s">
        <v>355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1" t="s">
        <v>258</v>
      </c>
      <c r="B381" s="1" t="s">
        <v>355</v>
      </c>
      <c r="C381" t="s">
        <v>355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1" t="s">
        <v>309</v>
      </c>
      <c r="B382" s="1" t="s">
        <v>104</v>
      </c>
      <c r="C382" t="s">
        <v>104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1" t="s">
        <v>151</v>
      </c>
      <c r="B383" s="1" t="s">
        <v>104</v>
      </c>
      <c r="C383" t="s">
        <v>104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1" t="s">
        <v>296</v>
      </c>
      <c r="B384" s="1" t="s">
        <v>103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1" t="s">
        <v>297</v>
      </c>
      <c r="B385" s="1" t="s">
        <v>104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1" t="s">
        <v>238</v>
      </c>
      <c r="B386" s="1" t="s">
        <v>103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1" t="s">
        <v>262</v>
      </c>
      <c r="B387" s="1" t="s">
        <v>104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H387" s="10" t="str">
        <f>IF(ISERROR(MATCH(A387,'SegEnds_Xtal_Prot#'!B:B, 0)), "NoXtal", "Xtal")</f>
        <v>NoXtal</v>
      </c>
      <c r="J387" s="3"/>
    </row>
    <row r="388" spans="1:10" x14ac:dyDescent="0.2">
      <c r="A388" s="1" t="s">
        <v>363</v>
      </c>
      <c r="B388" s="1" t="s">
        <v>363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H388" s="10" t="str">
        <f>IF(ISERROR(MATCH(A388,'SegEnds_Xtal_Prot#'!B:B, 0)), "NoXtal", "Xtal")</f>
        <v>Xtal</v>
      </c>
      <c r="J388" s="3"/>
    </row>
    <row r="389" spans="1:10" x14ac:dyDescent="0.2">
      <c r="A389" s="1" t="s">
        <v>473</v>
      </c>
      <c r="B389" s="1" t="s">
        <v>473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ref="G389:G408" si="6">OR(D389=F389,AND(D389="T",F389="A"),AND(D389="B2",F389="B1"),D389="O")</f>
        <v>1</v>
      </c>
      <c r="H389" s="10" t="str">
        <f>IF(ISERROR(MATCH(A389,'SegEnds_Xtal_Prot#'!B:B, 0)), "NoXtal", "Xtal")</f>
        <v>Xtal</v>
      </c>
      <c r="J389" s="3"/>
    </row>
    <row r="390" spans="1:10" x14ac:dyDescent="0.2">
      <c r="A390" s="1" t="s">
        <v>213</v>
      </c>
      <c r="B390" s="1" t="s">
        <v>138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H390" s="10" t="str">
        <f>IF(ISERROR(MATCH(A390,'SegEnds_Xtal_Prot#'!B:B, 0)), "NoXtal", "Xtal")</f>
        <v>NoXtal</v>
      </c>
      <c r="J390" s="3"/>
    </row>
    <row r="391" spans="1:10" x14ac:dyDescent="0.2">
      <c r="A391" s="1" t="s">
        <v>377</v>
      </c>
      <c r="B391" s="1" t="s">
        <v>104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si="6"/>
        <v>1</v>
      </c>
      <c r="H391" s="10" t="str">
        <f>IF(ISERROR(MATCH(A391,'SegEnds_Xtal_Prot#'!B:B, 0)), "NoXtal", "Xtal")</f>
        <v>NoXtal</v>
      </c>
      <c r="J391" s="3"/>
    </row>
    <row r="392" spans="1:10" x14ac:dyDescent="0.2">
      <c r="A392" s="1" t="s">
        <v>104</v>
      </c>
      <c r="B392" s="1" t="s">
        <v>104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6"/>
        <v>1</v>
      </c>
      <c r="H392" s="10" t="str">
        <f>IF(ISERROR(MATCH(A392,'SegEnds_Xtal_Prot#'!B:B, 0)), "NoXtal", "Xtal")</f>
        <v>Xtal</v>
      </c>
      <c r="J392" s="3"/>
    </row>
    <row r="393" spans="1:10" x14ac:dyDescent="0.2">
      <c r="A393" s="1" t="s">
        <v>379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6"/>
        <v>1</v>
      </c>
      <c r="H393" s="10" t="str">
        <f>IF(ISERROR(MATCH(A393,'SegEnds_Xtal_Prot#'!B:B, 0)), "NoXtal", "Xtal")</f>
        <v>NoXtal</v>
      </c>
      <c r="J393" s="3"/>
    </row>
    <row r="394" spans="1:10" x14ac:dyDescent="0.2">
      <c r="A394" s="1" t="s">
        <v>378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6"/>
        <v>1</v>
      </c>
      <c r="H394" s="10" t="str">
        <f>IF(ISERROR(MATCH(A394,'SegEnds_Xtal_Prot#'!B:B, 0)), "NoXtal", "Xtal")</f>
        <v>NoXtal</v>
      </c>
      <c r="J394" s="3"/>
    </row>
    <row r="395" spans="1:10" x14ac:dyDescent="0.2">
      <c r="A395" s="1" t="s">
        <v>380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6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1" t="s">
        <v>448</v>
      </c>
      <c r="B396" s="1" t="s">
        <v>450</v>
      </c>
      <c r="C396" t="s">
        <v>33</v>
      </c>
      <c r="D396" s="28" t="str">
        <f>VLOOKUP(A396,Classification!$A:$D,2,FALSE)</f>
        <v>F</v>
      </c>
      <c r="E396" s="49" t="str">
        <f>VLOOKUP(B396,Classification!$A:$D,2,FALSE)</f>
        <v>F</v>
      </c>
      <c r="F396" s="15" t="str">
        <f>VLOOKUP(C396,Classification!$A:$D,2,FALSE)</f>
        <v>F</v>
      </c>
      <c r="G396" s="15" t="b">
        <f t="shared" si="6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1" t="s">
        <v>453</v>
      </c>
      <c r="B397" s="1" t="s">
        <v>450</v>
      </c>
      <c r="C397" t="s">
        <v>33</v>
      </c>
      <c r="D397" s="28" t="str">
        <f>VLOOKUP(A397,Classification!$A:$D,2,FALSE)</f>
        <v>F</v>
      </c>
      <c r="E397" s="49" t="str">
        <f>VLOOKUP(B397,Classification!$A:$D,2,FALSE)</f>
        <v>F</v>
      </c>
      <c r="F397" s="15" t="str">
        <f>VLOOKUP(C397,Classification!$A:$D,2,FALSE)</f>
        <v>F</v>
      </c>
      <c r="G397" s="15" t="b">
        <f t="shared" si="6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1" t="s">
        <v>446</v>
      </c>
      <c r="B398" s="1" t="s">
        <v>450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6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1" t="s">
        <v>450</v>
      </c>
      <c r="B399" s="1" t="s">
        <v>450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6"/>
        <v>1</v>
      </c>
      <c r="H399" s="10" t="str">
        <f>IF(ISERROR(MATCH(A399,'SegEnds_Xtal_Prot#'!B:B, 0)), "NoXtal", "Xtal")</f>
        <v>Xtal</v>
      </c>
      <c r="J399" s="3"/>
    </row>
    <row r="400" spans="1:10" x14ac:dyDescent="0.2">
      <c r="A400" s="1" t="s">
        <v>447</v>
      </c>
      <c r="B400" s="1" t="s">
        <v>450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6"/>
        <v>1</v>
      </c>
      <c r="H400" s="10" t="str">
        <f>IF(ISERROR(MATCH(A400,'SegEnds_Xtal_Prot#'!B:B, 0)), "NoXtal", "Xtal")</f>
        <v>NoXtal</v>
      </c>
      <c r="J400" s="3"/>
    </row>
    <row r="401" spans="1:10" x14ac:dyDescent="0.2">
      <c r="A401" s="1" t="s">
        <v>455</v>
      </c>
      <c r="B401" s="1" t="s">
        <v>450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6"/>
        <v>1</v>
      </c>
      <c r="H401" s="10" t="str">
        <f>IF(ISERROR(MATCH(A401,'SegEnds_Xtal_Prot#'!B:B, 0)), "NoXtal", "Xtal")</f>
        <v>NoXtal</v>
      </c>
      <c r="J401" s="3"/>
    </row>
    <row r="402" spans="1:10" x14ac:dyDescent="0.2">
      <c r="A402" s="1" t="s">
        <v>451</v>
      </c>
      <c r="B402" s="1" t="s">
        <v>450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6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1" t="s">
        <v>454</v>
      </c>
      <c r="B403" s="1" t="s">
        <v>450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6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1" t="s">
        <v>449</v>
      </c>
      <c r="B404" s="1" t="s">
        <v>450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6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1" t="s">
        <v>452</v>
      </c>
      <c r="B405" s="1" t="s">
        <v>450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6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1" t="s">
        <v>33</v>
      </c>
      <c r="B406" s="1" t="s">
        <v>33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6"/>
        <v>1</v>
      </c>
      <c r="H406" s="10" t="str">
        <f>IF(ISERROR(MATCH(A406,'SegEnds_Xtal_Prot#'!B:B, 0)), "NoXtal", "Xtal")</f>
        <v>Xtal</v>
      </c>
      <c r="J406" s="3"/>
    </row>
    <row r="407" spans="1:10" x14ac:dyDescent="0.2">
      <c r="A407" s="1" t="s">
        <v>924</v>
      </c>
      <c r="B407" s="1" t="s">
        <v>924</v>
      </c>
      <c r="C407" t="s">
        <v>924</v>
      </c>
      <c r="D407" s="28" t="str">
        <f>VLOOKUP(A407,Classification!$A:$D,2,FALSE)</f>
        <v>A</v>
      </c>
      <c r="E407" s="49" t="str">
        <f>VLOOKUP(B407,Classification!$A:$D,2,FALSE)</f>
        <v>A</v>
      </c>
      <c r="F407" s="15" t="str">
        <f>VLOOKUP(C407,Classification!$A:$D,2,FALSE)</f>
        <v>A</v>
      </c>
      <c r="G407" s="15" t="b">
        <f t="shared" si="6"/>
        <v>1</v>
      </c>
      <c r="H407" s="10" t="str">
        <f>IF(ISERROR(MATCH(A407,'SegEnds_Xtal_Prot#'!B:B, 0)), "NoXtal", "Xtal")</f>
        <v>Xtal</v>
      </c>
      <c r="J407" s="3"/>
    </row>
    <row r="408" spans="1:10" x14ac:dyDescent="0.2">
      <c r="A408" s="1" t="s">
        <v>221</v>
      </c>
      <c r="B408" s="1" t="s">
        <v>104</v>
      </c>
      <c r="C408" t="s">
        <v>924</v>
      </c>
      <c r="D408" s="28" t="str">
        <f>VLOOKUP(A408,Classification!$A:$D,2,FALSE)</f>
        <v>A</v>
      </c>
      <c r="E408" s="49" t="str">
        <f>VLOOKUP(B408,Classification!$A:$D,2,FALSE)</f>
        <v>A</v>
      </c>
      <c r="F408" s="15" t="str">
        <f>VLOOKUP(C408,Classification!$A:$D,2,FALSE)</f>
        <v>A</v>
      </c>
      <c r="G408" s="15" t="b">
        <f t="shared" si="6"/>
        <v>1</v>
      </c>
      <c r="H408" s="10" t="str">
        <f>IF(ISERROR(MATCH(A408,'SegEnds_Xtal_Prot#'!B:B, 0)), "NoXtal", "Xtal")</f>
        <v>NoXtal</v>
      </c>
      <c r="J408" s="3"/>
    </row>
    <row r="409" spans="1:10" x14ac:dyDescent="0.2">
      <c r="A409" s="1" t="s">
        <v>1421</v>
      </c>
      <c r="B409" s="1" t="s">
        <v>1421</v>
      </c>
      <c r="C409" t="s">
        <v>1421</v>
      </c>
      <c r="D409" s="28" t="str">
        <f>VLOOKUP(A409,Classification!$A:$D,2,FALSE)</f>
        <v>B1</v>
      </c>
      <c r="E409" s="49" t="str">
        <f>VLOOKUP(B409,Classification!$A:$D,2,FALSE)</f>
        <v>B1</v>
      </c>
      <c r="F409" s="15" t="str">
        <f>VLOOKUP(C409,Classification!$A:$D,2,FALSE)</f>
        <v>B1</v>
      </c>
      <c r="G409" s="15" t="b">
        <f>OR(D409=F409,AND(D409="T",F409="A"),AND(D409="B2",F409="B1"),D409="O")</f>
        <v>1</v>
      </c>
      <c r="H409" s="10" t="str">
        <f>IF(ISERROR(MATCH(A409,'SegEnds_Xtal_Prot#'!B:B, 0)), "NoXtal", "Xtal")</f>
        <v>Xtal</v>
      </c>
    </row>
    <row r="410" spans="1:10" x14ac:dyDescent="0.2">
      <c r="A410" s="1" t="s">
        <v>1496</v>
      </c>
      <c r="B410" s="1" t="s">
        <v>1496</v>
      </c>
      <c r="C410" s="122" t="s">
        <v>1496</v>
      </c>
      <c r="D410" s="28" t="str">
        <f>VLOOKUP(A410,Classification!$A:$D,2,FALSE)</f>
        <v>F</v>
      </c>
      <c r="E410" s="49" t="str">
        <f>VLOOKUP(B410,Classification!$A:$D,2,FALSE)</f>
        <v>F</v>
      </c>
      <c r="F410" s="15" t="str">
        <f>VLOOKUP(C410,Classification!$A:$D,2,FALSE)</f>
        <v>F</v>
      </c>
      <c r="G410" s="15" t="b">
        <f>OR(D410=F410,AND(D410="T",F410="A"),AND(D410="B2",F410="B1"),D410="O")</f>
        <v>1</v>
      </c>
      <c r="H410" s="10" t="str">
        <f>IF(ISERROR(MATCH(A410,'SegEnds_Xtal_Prot#'!B:B, 0)), "NoXtal", "Xtal")</f>
        <v>Xtal</v>
      </c>
    </row>
    <row r="411" spans="1:10" x14ac:dyDescent="0.2">
      <c r="A411" s="1" t="s">
        <v>1508</v>
      </c>
      <c r="B411" s="1" t="s">
        <v>1508</v>
      </c>
      <c r="C411" s="122" t="s">
        <v>1508</v>
      </c>
      <c r="D411" s="28" t="str">
        <f>VLOOKUP(A411,Classification!$A:$D,2,FALSE)</f>
        <v>A</v>
      </c>
      <c r="E411" s="49" t="str">
        <f>VLOOKUP(B411,Classification!$A:$D,2,FALSE)</f>
        <v>A</v>
      </c>
      <c r="F411" s="15" t="str">
        <f>VLOOKUP(C411,Classification!$A:$D,2,FALSE)</f>
        <v>A</v>
      </c>
      <c r="G411" s="15" t="b">
        <f>OR(D411=F411,AND(D411="T",F411="A"),AND(D411="B2",F411="B1"),D411="O")</f>
        <v>1</v>
      </c>
      <c r="H411" s="10" t="str">
        <f>IF(ISERROR(MATCH(A411,'SegEnds_Xtal_Prot#'!B:B, 0)), "NoXtal", "Xtal")</f>
        <v>Xtal</v>
      </c>
    </row>
    <row r="434" spans="4:7" ht="17" customHeight="1" x14ac:dyDescent="0.2">
      <c r="D434" s="7"/>
      <c r="E434" s="7"/>
      <c r="F434" s="7"/>
      <c r="G434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12:G1048576">
    <cfRule type="cellIs" dxfId="9" priority="5" operator="equal">
      <formula>FALSE</formula>
    </cfRule>
  </conditionalFormatting>
  <conditionalFormatting sqref="G2:G411">
    <cfRule type="cellIs" dxfId="8" priority="4" operator="equal">
      <formula>FALSE</formula>
    </cfRule>
  </conditionalFormatting>
  <conditionalFormatting sqref="H2:H1048576">
    <cfRule type="cellIs" dxfId="7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3"/>
  <sheetViews>
    <sheetView workbookViewId="0">
      <pane ySplit="1" topLeftCell="A83" activePane="bottomLeft" state="frozenSplit"/>
      <selection pane="bottomLeft" activeCell="E106" sqref="E106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1414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1508</v>
      </c>
      <c r="B106" s="3" t="s">
        <v>1</v>
      </c>
      <c r="C106" s="3" t="s">
        <v>17</v>
      </c>
      <c r="D106" s="3" t="s">
        <v>933</v>
      </c>
    </row>
    <row r="107" spans="1:4" x14ac:dyDescent="0.2">
      <c r="A107" s="3" t="s">
        <v>400</v>
      </c>
      <c r="B107" s="3" t="s">
        <v>1</v>
      </c>
      <c r="C107" s="3" t="s">
        <v>29</v>
      </c>
      <c r="D107" s="3" t="s">
        <v>933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208</v>
      </c>
      <c r="B109" s="3" t="s">
        <v>1</v>
      </c>
      <c r="C109" s="3" t="s">
        <v>17</v>
      </c>
      <c r="D109" s="3" t="s">
        <v>954</v>
      </c>
    </row>
    <row r="110" spans="1:4" x14ac:dyDescent="0.2">
      <c r="A110" s="3" t="s">
        <v>197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212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214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215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216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217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218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219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220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221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222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223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224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225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226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227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228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229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230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231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232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233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234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237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238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239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240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242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243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244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245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246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247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248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249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250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251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252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253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254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255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256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257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259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260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262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263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264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265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266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267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268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269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270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271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272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273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283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284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285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294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295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301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302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303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304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305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306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307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308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313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331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349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350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370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388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389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390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391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392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393</v>
      </c>
      <c r="B190" s="3" t="s">
        <v>1</v>
      </c>
      <c r="C190" s="3" t="s">
        <v>945</v>
      </c>
      <c r="D190" s="3" t="s">
        <v>961</v>
      </c>
    </row>
    <row r="191" spans="1:4" x14ac:dyDescent="0.2">
      <c r="A191" s="3" t="s">
        <v>108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109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110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111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112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113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121</v>
      </c>
      <c r="B197" s="3" t="s">
        <v>27</v>
      </c>
      <c r="C197" s="3" t="s">
        <v>945</v>
      </c>
      <c r="D197" s="3" t="s">
        <v>974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949</v>
      </c>
    </row>
    <row r="201" spans="1:4" x14ac:dyDescent="0.2">
      <c r="A201" s="3" t="s">
        <v>38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403</v>
      </c>
      <c r="B202" s="3" t="s">
        <v>950</v>
      </c>
      <c r="C202" s="3" t="s">
        <v>17</v>
      </c>
      <c r="D202" s="3" t="s">
        <v>958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959</v>
      </c>
    </row>
    <row r="208" spans="1:4" x14ac:dyDescent="0.2">
      <c r="A208" s="3" t="s">
        <v>195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196</v>
      </c>
      <c r="B209" s="3" t="s">
        <v>1</v>
      </c>
      <c r="C209" s="3" t="s">
        <v>17</v>
      </c>
      <c r="D209" s="3" t="s">
        <v>960</v>
      </c>
    </row>
    <row r="210" spans="1:4" x14ac:dyDescent="0.2">
      <c r="A210" s="3" t="s">
        <v>236</v>
      </c>
      <c r="B210" s="3" t="s">
        <v>1</v>
      </c>
      <c r="C210" s="3" t="s">
        <v>975</v>
      </c>
      <c r="D210" s="3" t="s">
        <v>977</v>
      </c>
    </row>
    <row r="211" spans="1:4" x14ac:dyDescent="0.2">
      <c r="A211" s="3" t="s">
        <v>201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202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203</v>
      </c>
      <c r="B213" s="3" t="s">
        <v>1</v>
      </c>
      <c r="C213" s="3" t="s">
        <v>17</v>
      </c>
      <c r="D213" s="3" t="s">
        <v>963</v>
      </c>
    </row>
    <row r="214" spans="1:4" x14ac:dyDescent="0.2">
      <c r="A214" s="3" t="s">
        <v>1149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198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199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200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258</v>
      </c>
      <c r="B218" s="3" t="s">
        <v>1</v>
      </c>
      <c r="C218" s="3" t="s">
        <v>19</v>
      </c>
      <c r="D218" s="3" t="s">
        <v>962</v>
      </c>
    </row>
    <row r="219" spans="1:4" x14ac:dyDescent="0.2">
      <c r="A219" s="3" t="s">
        <v>446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447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448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449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450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451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452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453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454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455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33</v>
      </c>
      <c r="B229" s="3" t="s">
        <v>28</v>
      </c>
      <c r="C229" s="3" t="s">
        <v>29</v>
      </c>
      <c r="D229" s="3" t="s">
        <v>965</v>
      </c>
    </row>
    <row r="230" spans="1:4" x14ac:dyDescent="0.2">
      <c r="A230" s="122" t="s">
        <v>1496</v>
      </c>
      <c r="B230" s="3" t="s">
        <v>28</v>
      </c>
      <c r="C230" s="3" t="s">
        <v>29</v>
      </c>
      <c r="D230" s="3" t="s">
        <v>965</v>
      </c>
    </row>
    <row r="231" spans="1:4" x14ac:dyDescent="0.2">
      <c r="A231" s="3" t="s">
        <v>106</v>
      </c>
      <c r="B231" s="3" t="s">
        <v>27</v>
      </c>
      <c r="C231" s="3" t="s">
        <v>967</v>
      </c>
      <c r="D231" s="3" t="s">
        <v>968</v>
      </c>
    </row>
    <row r="232" spans="1:4" x14ac:dyDescent="0.2">
      <c r="A232" s="3" t="s">
        <v>107</v>
      </c>
      <c r="B232" s="3" t="s">
        <v>27</v>
      </c>
      <c r="C232" s="3" t="s">
        <v>967</v>
      </c>
      <c r="D232" s="3" t="s">
        <v>968</v>
      </c>
    </row>
    <row r="233" spans="1:4" x14ac:dyDescent="0.2">
      <c r="A233" s="3" t="s">
        <v>205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206</v>
      </c>
      <c r="B234" s="3" t="s">
        <v>1</v>
      </c>
      <c r="C234" s="3" t="s">
        <v>17</v>
      </c>
      <c r="D234" s="3" t="s">
        <v>969</v>
      </c>
    </row>
    <row r="235" spans="1:4" x14ac:dyDescent="0.2">
      <c r="A235" s="3" t="s">
        <v>207</v>
      </c>
      <c r="B235" s="3" t="s">
        <v>1</v>
      </c>
      <c r="C235" s="3" t="s">
        <v>17</v>
      </c>
      <c r="D235" s="3" t="s">
        <v>969</v>
      </c>
    </row>
    <row r="236" spans="1:4" x14ac:dyDescent="0.2">
      <c r="A236" s="3" t="s">
        <v>209</v>
      </c>
      <c r="B236" s="3" t="s">
        <v>1</v>
      </c>
      <c r="C236" s="3" t="s">
        <v>17</v>
      </c>
      <c r="D236" s="3" t="s">
        <v>971</v>
      </c>
    </row>
    <row r="237" spans="1:4" x14ac:dyDescent="0.2">
      <c r="A237" s="3" t="s">
        <v>404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405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406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407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32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411</v>
      </c>
      <c r="B242" s="3" t="s">
        <v>950</v>
      </c>
      <c r="C242" s="3" t="s">
        <v>17</v>
      </c>
      <c r="D242" s="3" t="s">
        <v>970</v>
      </c>
    </row>
    <row r="243" spans="1:4" x14ac:dyDescent="0.2">
      <c r="A243" s="3" t="s">
        <v>1421</v>
      </c>
      <c r="B243" s="3" t="s">
        <v>950</v>
      </c>
      <c r="C243" s="3" t="s">
        <v>17</v>
      </c>
      <c r="D243" s="3" t="s">
        <v>970</v>
      </c>
    </row>
    <row r="244" spans="1:4" x14ac:dyDescent="0.2">
      <c r="A244" s="3" t="s">
        <v>204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291</v>
      </c>
      <c r="B245" s="3" t="s">
        <v>1</v>
      </c>
      <c r="C245" s="3" t="s">
        <v>29</v>
      </c>
      <c r="D245" s="3" t="s">
        <v>964</v>
      </c>
    </row>
    <row r="246" spans="1:4" x14ac:dyDescent="0.2">
      <c r="A246" s="3" t="s">
        <v>395</v>
      </c>
      <c r="B246" s="3" t="s">
        <v>1</v>
      </c>
      <c r="C246" s="3" t="s">
        <v>29</v>
      </c>
      <c r="D246" s="3" t="s">
        <v>964</v>
      </c>
    </row>
    <row r="247" spans="1:4" x14ac:dyDescent="0.2">
      <c r="A247" s="3" t="s">
        <v>210</v>
      </c>
      <c r="B247" s="3" t="s">
        <v>1</v>
      </c>
      <c r="C247" s="3" t="s">
        <v>17</v>
      </c>
      <c r="D247" s="3" t="s">
        <v>972</v>
      </c>
    </row>
    <row r="248" spans="1:4" x14ac:dyDescent="0.2">
      <c r="A248" s="3" t="s">
        <v>211</v>
      </c>
      <c r="B248" s="3" t="s">
        <v>1</v>
      </c>
      <c r="C248" s="3" t="s">
        <v>17</v>
      </c>
      <c r="D248" s="3" t="s">
        <v>972</v>
      </c>
    </row>
    <row r="249" spans="1:4" x14ac:dyDescent="0.2">
      <c r="A249" s="3" t="s">
        <v>213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241</v>
      </c>
      <c r="B250" s="3" t="s">
        <v>1</v>
      </c>
      <c r="C250" s="3" t="s">
        <v>19</v>
      </c>
      <c r="D250" s="3" t="s">
        <v>973</v>
      </c>
    </row>
    <row r="251" spans="1:4" x14ac:dyDescent="0.2">
      <c r="A251" s="3" t="s">
        <v>261</v>
      </c>
      <c r="B251" s="3" t="s">
        <v>1</v>
      </c>
      <c r="C251" s="3" t="s">
        <v>19</v>
      </c>
      <c r="D251" s="3" t="s">
        <v>973</v>
      </c>
    </row>
    <row r="252" spans="1:4" x14ac:dyDescent="0.2">
      <c r="A252" s="3" t="s">
        <v>278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279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280</v>
      </c>
      <c r="B254" s="3" t="s">
        <v>1</v>
      </c>
      <c r="C254" s="3" t="s">
        <v>2</v>
      </c>
      <c r="D254" s="3" t="s">
        <v>981</v>
      </c>
    </row>
    <row r="255" spans="1:4" x14ac:dyDescent="0.2">
      <c r="A255" s="3" t="s">
        <v>281</v>
      </c>
      <c r="B255" s="3" t="s">
        <v>1</v>
      </c>
      <c r="C255" s="3" t="s">
        <v>2</v>
      </c>
      <c r="D255" s="3" t="s">
        <v>981</v>
      </c>
    </row>
    <row r="256" spans="1:4" x14ac:dyDescent="0.2">
      <c r="A256" s="3" t="s">
        <v>275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276</v>
      </c>
      <c r="B257" s="3" t="s">
        <v>1</v>
      </c>
      <c r="C257" s="3" t="s">
        <v>979</v>
      </c>
      <c r="D257" s="3" t="s">
        <v>980</v>
      </c>
    </row>
    <row r="258" spans="1:4" x14ac:dyDescent="0.2">
      <c r="A258" s="3" t="s">
        <v>277</v>
      </c>
      <c r="B258" s="3" t="s">
        <v>1</v>
      </c>
      <c r="C258" s="3" t="s">
        <v>979</v>
      </c>
      <c r="D258" s="3" t="s">
        <v>980</v>
      </c>
    </row>
    <row r="259" spans="1:4" x14ac:dyDescent="0.2">
      <c r="A259" s="3" t="s">
        <v>282</v>
      </c>
      <c r="B259" s="3" t="s">
        <v>1</v>
      </c>
      <c r="C259" s="3" t="s">
        <v>17</v>
      </c>
      <c r="D259" s="3" t="s">
        <v>982</v>
      </c>
    </row>
    <row r="260" spans="1:4" x14ac:dyDescent="0.2">
      <c r="A260" s="3" t="s">
        <v>179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180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292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293</v>
      </c>
      <c r="B263" s="3" t="s">
        <v>1</v>
      </c>
      <c r="C263" s="3" t="s">
        <v>19</v>
      </c>
      <c r="D263" s="3" t="s">
        <v>955</v>
      </c>
    </row>
    <row r="264" spans="1:4" x14ac:dyDescent="0.2">
      <c r="A264" s="3" t="s">
        <v>342</v>
      </c>
      <c r="B264" s="3" t="s">
        <v>1</v>
      </c>
      <c r="C264" s="3" t="s">
        <v>19</v>
      </c>
      <c r="D264" s="3" t="s">
        <v>955</v>
      </c>
    </row>
    <row r="265" spans="1:4" x14ac:dyDescent="0.2">
      <c r="A265" s="3" t="s">
        <v>1452</v>
      </c>
      <c r="B265" s="3" t="s">
        <v>1</v>
      </c>
      <c r="C265" s="3" t="s">
        <v>19</v>
      </c>
      <c r="D265" s="3" t="s">
        <v>955</v>
      </c>
    </row>
    <row r="266" spans="1:4" x14ac:dyDescent="0.2">
      <c r="A266" s="3" t="s">
        <v>103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286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287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288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289</v>
      </c>
      <c r="B270" s="3" t="s">
        <v>1</v>
      </c>
      <c r="C270" s="3" t="s">
        <v>19</v>
      </c>
      <c r="D270" s="3" t="s">
        <v>983</v>
      </c>
    </row>
    <row r="271" spans="1:4" x14ac:dyDescent="0.2">
      <c r="A271" s="3" t="s">
        <v>290</v>
      </c>
      <c r="B271" s="3" t="s">
        <v>1</v>
      </c>
      <c r="C271" s="3" t="s">
        <v>19</v>
      </c>
      <c r="D271" s="3" t="s">
        <v>983</v>
      </c>
    </row>
    <row r="272" spans="1:4" x14ac:dyDescent="0.2">
      <c r="A272" s="3" t="s">
        <v>1441</v>
      </c>
      <c r="B272" s="3" t="s">
        <v>1</v>
      </c>
      <c r="C272" s="3" t="s">
        <v>19</v>
      </c>
      <c r="D272" s="3" t="s">
        <v>983</v>
      </c>
    </row>
    <row r="273" spans="1:4" x14ac:dyDescent="0.2">
      <c r="A273" s="3" t="s">
        <v>104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377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378</v>
      </c>
      <c r="B275" s="3" t="s">
        <v>1</v>
      </c>
      <c r="C275" s="3" t="s">
        <v>19</v>
      </c>
      <c r="D275" s="3" t="s">
        <v>1009</v>
      </c>
    </row>
    <row r="276" spans="1:4" x14ac:dyDescent="0.2">
      <c r="A276" s="3" t="s">
        <v>379</v>
      </c>
      <c r="B276" s="3" t="s">
        <v>1</v>
      </c>
      <c r="C276" s="3" t="s">
        <v>19</v>
      </c>
      <c r="D276" s="3" t="s">
        <v>1009</v>
      </c>
    </row>
    <row r="277" spans="1:4" x14ac:dyDescent="0.2">
      <c r="A277" s="3" t="s">
        <v>380</v>
      </c>
      <c r="B277" s="3" t="s">
        <v>1</v>
      </c>
      <c r="C277" s="3" t="s">
        <v>19</v>
      </c>
      <c r="D277" s="3" t="s">
        <v>1009</v>
      </c>
    </row>
    <row r="278" spans="1:4" x14ac:dyDescent="0.2">
      <c r="A278" s="3" t="s">
        <v>299</v>
      </c>
      <c r="B278" s="3" t="s">
        <v>1</v>
      </c>
      <c r="C278" s="3" t="s">
        <v>17</v>
      </c>
      <c r="D278" s="3" t="s">
        <v>984</v>
      </c>
    </row>
    <row r="279" spans="1:4" x14ac:dyDescent="0.2">
      <c r="A279" s="3" t="s">
        <v>300</v>
      </c>
      <c r="B279" s="3" t="s">
        <v>1</v>
      </c>
      <c r="C279" s="3" t="s">
        <v>17</v>
      </c>
      <c r="D279" s="3" t="s">
        <v>984</v>
      </c>
    </row>
    <row r="280" spans="1:4" x14ac:dyDescent="0.2">
      <c r="A280" s="3" t="s">
        <v>151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296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297</v>
      </c>
      <c r="B282" s="3" t="s">
        <v>1</v>
      </c>
      <c r="C282" s="3" t="s">
        <v>17</v>
      </c>
      <c r="D282" s="3" t="s">
        <v>940</v>
      </c>
    </row>
    <row r="283" spans="1:4" x14ac:dyDescent="0.2">
      <c r="A283" s="3" t="s">
        <v>298</v>
      </c>
      <c r="B283" s="3" t="s">
        <v>1</v>
      </c>
      <c r="C283" s="3" t="s">
        <v>17</v>
      </c>
      <c r="D283" s="3" t="s">
        <v>940</v>
      </c>
    </row>
    <row r="284" spans="1:4" x14ac:dyDescent="0.2">
      <c r="A284" s="3" t="s">
        <v>309</v>
      </c>
      <c r="B284" s="3" t="s">
        <v>1</v>
      </c>
      <c r="C284" s="3" t="s">
        <v>17</v>
      </c>
      <c r="D284" s="3" t="s">
        <v>940</v>
      </c>
    </row>
    <row r="285" spans="1:4" x14ac:dyDescent="0.2">
      <c r="A285" s="3" t="s">
        <v>311</v>
      </c>
      <c r="B285" s="3" t="s">
        <v>1</v>
      </c>
      <c r="C285" s="3" t="s">
        <v>986</v>
      </c>
      <c r="D285" s="3" t="s">
        <v>986</v>
      </c>
    </row>
    <row r="286" spans="1:4" x14ac:dyDescent="0.2">
      <c r="A286" s="3" t="s">
        <v>312</v>
      </c>
      <c r="B286" s="3" t="s">
        <v>1</v>
      </c>
      <c r="C286" s="3" t="s">
        <v>986</v>
      </c>
      <c r="D286" s="3" t="s">
        <v>986</v>
      </c>
    </row>
    <row r="287" spans="1:4" x14ac:dyDescent="0.2">
      <c r="A287" s="3" t="s">
        <v>40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115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116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117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41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118</v>
      </c>
      <c r="B292" s="3" t="s">
        <v>27</v>
      </c>
      <c r="C292" s="3" t="s">
        <v>967</v>
      </c>
      <c r="D292" s="3" t="s">
        <v>978</v>
      </c>
    </row>
    <row r="293" spans="1:4" x14ac:dyDescent="0.2">
      <c r="A293" s="3" t="s">
        <v>119</v>
      </c>
      <c r="B293" s="3" t="s">
        <v>27</v>
      </c>
      <c r="C293" s="3" t="s">
        <v>967</v>
      </c>
      <c r="D293" s="3" t="s">
        <v>978</v>
      </c>
    </row>
    <row r="294" spans="1:4" x14ac:dyDescent="0.2">
      <c r="A294" s="3" t="s">
        <v>120</v>
      </c>
      <c r="B294" s="3" t="s">
        <v>27</v>
      </c>
      <c r="C294" s="3" t="s">
        <v>967</v>
      </c>
      <c r="D294" s="3" t="s">
        <v>978</v>
      </c>
    </row>
    <row r="295" spans="1:4" x14ac:dyDescent="0.2">
      <c r="A295" s="3" t="s">
        <v>310</v>
      </c>
      <c r="B295" s="3" t="s">
        <v>1</v>
      </c>
      <c r="C295" s="3" t="s">
        <v>17</v>
      </c>
      <c r="D295" s="3" t="s">
        <v>985</v>
      </c>
    </row>
    <row r="296" spans="1:4" x14ac:dyDescent="0.2">
      <c r="A296" s="3" t="s">
        <v>318</v>
      </c>
      <c r="B296" s="3" t="s">
        <v>1</v>
      </c>
      <c r="C296" s="3" t="s">
        <v>17</v>
      </c>
      <c r="D296" s="3" t="s">
        <v>988</v>
      </c>
    </row>
    <row r="297" spans="1:4" x14ac:dyDescent="0.2">
      <c r="A297" s="3" t="s">
        <v>319</v>
      </c>
      <c r="B297" s="3" t="s">
        <v>1</v>
      </c>
      <c r="C297" s="3" t="s">
        <v>17</v>
      </c>
      <c r="D297" s="3" t="s">
        <v>988</v>
      </c>
    </row>
    <row r="298" spans="1:4" x14ac:dyDescent="0.2">
      <c r="A298" s="3" t="s">
        <v>322</v>
      </c>
      <c r="B298" s="3" t="s">
        <v>1</v>
      </c>
      <c r="C298" s="3" t="s">
        <v>17</v>
      </c>
      <c r="D298" s="3" t="s">
        <v>990</v>
      </c>
    </row>
    <row r="299" spans="1:4" x14ac:dyDescent="0.2">
      <c r="A299" s="3" t="s">
        <v>323</v>
      </c>
      <c r="B299" s="3" t="s">
        <v>1</v>
      </c>
      <c r="C299" s="3" t="s">
        <v>17</v>
      </c>
      <c r="D299" s="3" t="s">
        <v>990</v>
      </c>
    </row>
    <row r="300" spans="1:4" x14ac:dyDescent="0.2">
      <c r="A300" s="3" t="s">
        <v>324</v>
      </c>
      <c r="B300" s="3" t="s">
        <v>1</v>
      </c>
      <c r="C300" s="3" t="s">
        <v>17</v>
      </c>
      <c r="D300" s="3" t="s">
        <v>991</v>
      </c>
    </row>
    <row r="301" spans="1:4" x14ac:dyDescent="0.2">
      <c r="A301" s="3" t="s">
        <v>320</v>
      </c>
      <c r="B301" s="3" t="s">
        <v>1</v>
      </c>
      <c r="C301" s="3" t="s">
        <v>17</v>
      </c>
      <c r="D301" s="3" t="s">
        <v>989</v>
      </c>
    </row>
    <row r="302" spans="1:4" x14ac:dyDescent="0.2">
      <c r="A302" s="3" t="s">
        <v>321</v>
      </c>
      <c r="B302" s="3" t="s">
        <v>1</v>
      </c>
      <c r="C302" s="3" t="s">
        <v>17</v>
      </c>
      <c r="D302" s="3" t="s">
        <v>989</v>
      </c>
    </row>
    <row r="303" spans="1:4" x14ac:dyDescent="0.2">
      <c r="A303" s="3" t="s">
        <v>325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326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327</v>
      </c>
      <c r="B305" s="3" t="s">
        <v>1</v>
      </c>
      <c r="C305" s="3" t="s">
        <v>17</v>
      </c>
      <c r="D305" s="3" t="s">
        <v>992</v>
      </c>
    </row>
    <row r="306" spans="1:4" x14ac:dyDescent="0.2">
      <c r="A306" s="3" t="s">
        <v>328</v>
      </c>
      <c r="B306" s="3" t="s">
        <v>1</v>
      </c>
      <c r="C306" s="3" t="s">
        <v>17</v>
      </c>
      <c r="D306" s="3" t="s">
        <v>992</v>
      </c>
    </row>
    <row r="307" spans="1:4" x14ac:dyDescent="0.2">
      <c r="A307" s="3" t="s">
        <v>329</v>
      </c>
      <c r="B307" s="3" t="s">
        <v>1</v>
      </c>
      <c r="C307" s="3" t="s">
        <v>17</v>
      </c>
      <c r="D307" s="3" t="s">
        <v>992</v>
      </c>
    </row>
    <row r="308" spans="1:4" x14ac:dyDescent="0.2">
      <c r="A308" s="3" t="s">
        <v>127</v>
      </c>
      <c r="B308" s="3" t="s">
        <v>1</v>
      </c>
      <c r="C308" s="3" t="s">
        <v>17</v>
      </c>
      <c r="D308" s="3" t="s">
        <v>993</v>
      </c>
    </row>
    <row r="309" spans="1:4" x14ac:dyDescent="0.2">
      <c r="A309" s="3" t="s">
        <v>46</v>
      </c>
      <c r="B309" s="3" t="s">
        <v>1</v>
      </c>
      <c r="C309" s="3" t="s">
        <v>17</v>
      </c>
      <c r="D309" s="3" t="s">
        <v>993</v>
      </c>
    </row>
    <row r="310" spans="1:4" x14ac:dyDescent="0.2">
      <c r="A310" s="3" t="s">
        <v>330</v>
      </c>
      <c r="B310" s="3" t="s">
        <v>1</v>
      </c>
      <c r="C310" s="3" t="s">
        <v>17</v>
      </c>
      <c r="D310" s="3" t="s">
        <v>993</v>
      </c>
    </row>
    <row r="311" spans="1:4" x14ac:dyDescent="0.2">
      <c r="A311" s="3" t="s">
        <v>335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45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336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337</v>
      </c>
      <c r="B314" s="3" t="s">
        <v>1</v>
      </c>
      <c r="C314" s="3" t="s">
        <v>17</v>
      </c>
      <c r="D314" s="3" t="s">
        <v>934</v>
      </c>
    </row>
    <row r="315" spans="1:4" x14ac:dyDescent="0.2">
      <c r="A315" s="3" t="s">
        <v>44</v>
      </c>
      <c r="B315" s="3" t="s">
        <v>1</v>
      </c>
      <c r="C315" s="3" t="s">
        <v>17</v>
      </c>
      <c r="D315" s="3" t="s">
        <v>934</v>
      </c>
    </row>
    <row r="316" spans="1:4" x14ac:dyDescent="0.2">
      <c r="A316" s="3" t="s">
        <v>1154</v>
      </c>
      <c r="B316" s="3" t="s">
        <v>1</v>
      </c>
      <c r="C316" s="3" t="s">
        <v>17</v>
      </c>
      <c r="D316" s="3" t="s">
        <v>934</v>
      </c>
    </row>
    <row r="317" spans="1:4" x14ac:dyDescent="0.2">
      <c r="A317" s="3" t="s">
        <v>332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333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334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338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43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339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98</v>
      </c>
      <c r="B323" s="3" t="s">
        <v>1</v>
      </c>
      <c r="C323" s="3" t="s">
        <v>994</v>
      </c>
      <c r="D323" s="3" t="s">
        <v>995</v>
      </c>
    </row>
    <row r="324" spans="1:4" x14ac:dyDescent="0.2">
      <c r="A324" s="3" t="s">
        <v>340</v>
      </c>
      <c r="B324" s="3" t="s">
        <v>1</v>
      </c>
      <c r="C324" s="3" t="s">
        <v>994</v>
      </c>
      <c r="D324" s="3" t="s">
        <v>995</v>
      </c>
    </row>
    <row r="325" spans="1:4" x14ac:dyDescent="0.2">
      <c r="A325" s="3" t="s">
        <v>341</v>
      </c>
      <c r="B325" s="3" t="s">
        <v>1</v>
      </c>
      <c r="C325" s="3" t="s">
        <v>994</v>
      </c>
      <c r="D325" s="3" t="s">
        <v>995</v>
      </c>
    </row>
    <row r="326" spans="1:4" x14ac:dyDescent="0.2">
      <c r="A326" s="3" t="s">
        <v>1155</v>
      </c>
      <c r="B326" s="3" t="s">
        <v>1</v>
      </c>
      <c r="C326" s="3" t="s">
        <v>17</v>
      </c>
      <c r="D326" s="3" t="s">
        <v>996</v>
      </c>
    </row>
    <row r="327" spans="1:4" x14ac:dyDescent="0.2">
      <c r="A327" s="3" t="s">
        <v>1156</v>
      </c>
      <c r="B327" s="3" t="s">
        <v>1</v>
      </c>
      <c r="C327" s="3" t="s">
        <v>17</v>
      </c>
      <c r="D327" s="3" t="s">
        <v>996</v>
      </c>
    </row>
    <row r="328" spans="1:4" x14ac:dyDescent="0.2">
      <c r="A328" s="3" t="s">
        <v>481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482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485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486</v>
      </c>
      <c r="B331" s="3" t="s">
        <v>931</v>
      </c>
      <c r="C331" s="3" t="s">
        <v>945</v>
      </c>
      <c r="D331" s="3" t="s">
        <v>966</v>
      </c>
    </row>
    <row r="332" spans="1:4" x14ac:dyDescent="0.2">
      <c r="A332" s="3" t="s">
        <v>483</v>
      </c>
      <c r="B332" s="3" t="s">
        <v>931</v>
      </c>
      <c r="C332" s="3" t="s">
        <v>945</v>
      </c>
      <c r="D332" s="3" t="s">
        <v>966</v>
      </c>
    </row>
    <row r="333" spans="1:4" x14ac:dyDescent="0.2">
      <c r="A333" s="3" t="s">
        <v>484</v>
      </c>
      <c r="B333" s="3" t="s">
        <v>931</v>
      </c>
      <c r="C333" s="3" t="s">
        <v>945</v>
      </c>
      <c r="D333" s="3" t="s">
        <v>966</v>
      </c>
    </row>
    <row r="334" spans="1:4" x14ac:dyDescent="0.2">
      <c r="A334" s="3" t="s">
        <v>343</v>
      </c>
      <c r="B334" s="3" t="s">
        <v>1</v>
      </c>
      <c r="C334" s="3" t="s">
        <v>979</v>
      </c>
      <c r="D334" s="3" t="s">
        <v>997</v>
      </c>
    </row>
    <row r="335" spans="1:4" x14ac:dyDescent="0.2">
      <c r="A335" s="3" t="s">
        <v>345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346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347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348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351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352</v>
      </c>
      <c r="B340" s="3" t="s">
        <v>1</v>
      </c>
      <c r="C340" s="3" t="s">
        <v>938</v>
      </c>
      <c r="D340" s="3" t="s">
        <v>999</v>
      </c>
    </row>
    <row r="341" spans="1:4" x14ac:dyDescent="0.2">
      <c r="A341" s="3" t="s">
        <v>353</v>
      </c>
      <c r="B341" s="3" t="s">
        <v>1</v>
      </c>
      <c r="C341" s="3" t="s">
        <v>938</v>
      </c>
      <c r="D341" s="3" t="s">
        <v>999</v>
      </c>
    </row>
    <row r="342" spans="1:4" x14ac:dyDescent="0.2">
      <c r="A342" s="3" t="s">
        <v>354</v>
      </c>
      <c r="B342" s="3" t="s">
        <v>1</v>
      </c>
      <c r="C342" s="3" t="s">
        <v>938</v>
      </c>
      <c r="D342" s="3" t="s">
        <v>999</v>
      </c>
    </row>
    <row r="343" spans="1:4" x14ac:dyDescent="0.2">
      <c r="A343" s="3" t="s">
        <v>409</v>
      </c>
      <c r="B343" s="3" t="s">
        <v>950</v>
      </c>
      <c r="C343" s="3" t="s">
        <v>17</v>
      </c>
      <c r="D343" s="3" t="s">
        <v>1006</v>
      </c>
    </row>
    <row r="344" spans="1:4" x14ac:dyDescent="0.2">
      <c r="A344" s="3" t="s">
        <v>410</v>
      </c>
      <c r="B344" s="3" t="s">
        <v>950</v>
      </c>
      <c r="C344" s="3" t="s">
        <v>17</v>
      </c>
      <c r="D344" s="3" t="s">
        <v>1006</v>
      </c>
    </row>
    <row r="345" spans="1:4" x14ac:dyDescent="0.2">
      <c r="A345" s="3" t="s">
        <v>372</v>
      </c>
      <c r="B345" s="3" t="s">
        <v>1</v>
      </c>
      <c r="C345" s="3" t="s">
        <v>17</v>
      </c>
      <c r="D345" s="3" t="s">
        <v>1007</v>
      </c>
    </row>
    <row r="346" spans="1:4" x14ac:dyDescent="0.2">
      <c r="A346" s="3" t="s">
        <v>371</v>
      </c>
      <c r="B346" s="3" t="s">
        <v>1</v>
      </c>
      <c r="C346" s="3" t="s">
        <v>19</v>
      </c>
      <c r="D346" s="3" t="s">
        <v>1005</v>
      </c>
    </row>
    <row r="347" spans="1:4" x14ac:dyDescent="0.2">
      <c r="A347" s="3" t="s">
        <v>367</v>
      </c>
      <c r="B347" s="3" t="s">
        <v>1</v>
      </c>
      <c r="C347" s="3" t="s">
        <v>29</v>
      </c>
      <c r="D347" s="3" t="s">
        <v>1003</v>
      </c>
    </row>
    <row r="348" spans="1:4" x14ac:dyDescent="0.2">
      <c r="A348" s="3" t="s">
        <v>368</v>
      </c>
      <c r="B348" s="3" t="s">
        <v>1</v>
      </c>
      <c r="C348" s="3" t="s">
        <v>29</v>
      </c>
      <c r="D348" s="3" t="s">
        <v>1003</v>
      </c>
    </row>
    <row r="349" spans="1:4" x14ac:dyDescent="0.2">
      <c r="A349" s="3" t="s">
        <v>369</v>
      </c>
      <c r="B349" s="3" t="s">
        <v>1</v>
      </c>
      <c r="C349" s="3" t="s">
        <v>17</v>
      </c>
      <c r="D349" s="3" t="s">
        <v>1004</v>
      </c>
    </row>
    <row r="350" spans="1:4" x14ac:dyDescent="0.2">
      <c r="A350" s="3" t="s">
        <v>359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360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361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362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363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364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365</v>
      </c>
      <c r="B356" s="3" t="s">
        <v>1</v>
      </c>
      <c r="C356" s="3" t="s">
        <v>19</v>
      </c>
      <c r="D356" s="3" t="s">
        <v>1002</v>
      </c>
    </row>
    <row r="357" spans="1:4" x14ac:dyDescent="0.2">
      <c r="A357" s="3" t="s">
        <v>366</v>
      </c>
      <c r="B357" s="3" t="s">
        <v>1</v>
      </c>
      <c r="C357" s="3" t="s">
        <v>19</v>
      </c>
      <c r="D357" s="3" t="s">
        <v>1002</v>
      </c>
    </row>
    <row r="358" spans="1:4" x14ac:dyDescent="0.2">
      <c r="A358" s="3" t="s">
        <v>473</v>
      </c>
      <c r="B358" s="3" t="s">
        <v>1</v>
      </c>
      <c r="C358" s="3" t="s">
        <v>19</v>
      </c>
      <c r="D358" s="3" t="s">
        <v>1002</v>
      </c>
    </row>
    <row r="359" spans="1:4" x14ac:dyDescent="0.2">
      <c r="A359" s="3" t="s">
        <v>355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356</v>
      </c>
      <c r="B360" s="3" t="s">
        <v>1</v>
      </c>
      <c r="C360" s="3" t="s">
        <v>17</v>
      </c>
      <c r="D360" s="3" t="s">
        <v>1001</v>
      </c>
    </row>
    <row r="361" spans="1:4" x14ac:dyDescent="0.2">
      <c r="A361" s="3" t="s">
        <v>357</v>
      </c>
      <c r="B361" s="3" t="s">
        <v>1</v>
      </c>
      <c r="C361" s="3" t="s">
        <v>17</v>
      </c>
      <c r="D361" s="3" t="s">
        <v>1001</v>
      </c>
    </row>
    <row r="362" spans="1:4" x14ac:dyDescent="0.2">
      <c r="A362" s="3" t="s">
        <v>358</v>
      </c>
      <c r="B362" s="3" t="s">
        <v>1</v>
      </c>
      <c r="C362" s="3" t="s">
        <v>17</v>
      </c>
      <c r="D362" s="3" t="s">
        <v>1001</v>
      </c>
    </row>
    <row r="363" spans="1:4" x14ac:dyDescent="0.2">
      <c r="A363" s="3" t="s">
        <v>373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374</v>
      </c>
      <c r="B364" s="3" t="s">
        <v>1</v>
      </c>
      <c r="C364" s="3" t="s">
        <v>17</v>
      </c>
      <c r="D364" s="3" t="s">
        <v>1008</v>
      </c>
    </row>
    <row r="365" spans="1:4" x14ac:dyDescent="0.2">
      <c r="A365" s="3" t="s">
        <v>375</v>
      </c>
      <c r="B365" s="3" t="s">
        <v>1</v>
      </c>
      <c r="C365" s="3" t="s">
        <v>17</v>
      </c>
      <c r="D365" s="3" t="s">
        <v>1008</v>
      </c>
    </row>
    <row r="366" spans="1:4" x14ac:dyDescent="0.2">
      <c r="A366" s="3" t="s">
        <v>376</v>
      </c>
      <c r="B366" s="3" t="s">
        <v>1</v>
      </c>
      <c r="C366" s="3" t="s">
        <v>17</v>
      </c>
      <c r="D366" s="3" t="s">
        <v>1008</v>
      </c>
    </row>
    <row r="367" spans="1:4" x14ac:dyDescent="0.2">
      <c r="A367" s="3" t="s">
        <v>381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382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383</v>
      </c>
      <c r="B369" s="3" t="s">
        <v>1</v>
      </c>
      <c r="C369" s="3" t="s">
        <v>17</v>
      </c>
      <c r="D369" s="3" t="s">
        <v>1010</v>
      </c>
    </row>
    <row r="370" spans="1:4" x14ac:dyDescent="0.2">
      <c r="A370" s="3" t="s">
        <v>384</v>
      </c>
      <c r="B370" s="3" t="s">
        <v>1</v>
      </c>
      <c r="C370" s="3" t="s">
        <v>17</v>
      </c>
      <c r="D370" s="3" t="s">
        <v>1010</v>
      </c>
    </row>
    <row r="371" spans="1:4" x14ac:dyDescent="0.2">
      <c r="A371" s="3" t="s">
        <v>385</v>
      </c>
      <c r="B371" s="3" t="s">
        <v>1</v>
      </c>
      <c r="C371" s="3" t="s">
        <v>17</v>
      </c>
      <c r="D371" s="3" t="s">
        <v>1010</v>
      </c>
    </row>
    <row r="372" spans="1:4" x14ac:dyDescent="0.2">
      <c r="A372" s="3" t="s">
        <v>386</v>
      </c>
      <c r="B372" s="3" t="s">
        <v>1</v>
      </c>
      <c r="C372" s="3" t="s">
        <v>979</v>
      </c>
      <c r="D372" s="3" t="s">
        <v>1011</v>
      </c>
    </row>
    <row r="373" spans="1:4" x14ac:dyDescent="0.2">
      <c r="A373" s="3" t="s">
        <v>314</v>
      </c>
      <c r="B373" s="3" t="s">
        <v>1</v>
      </c>
      <c r="C373" s="3" t="s">
        <v>17</v>
      </c>
      <c r="D373" s="3" t="s">
        <v>987</v>
      </c>
    </row>
    <row r="374" spans="1:4" x14ac:dyDescent="0.2">
      <c r="A374" s="3" t="s">
        <v>315</v>
      </c>
      <c r="B374" s="3" t="s">
        <v>1</v>
      </c>
      <c r="C374" s="3" t="s">
        <v>17</v>
      </c>
      <c r="D374" s="3" t="s">
        <v>987</v>
      </c>
    </row>
    <row r="375" spans="1:4" x14ac:dyDescent="0.2">
      <c r="A375" s="3" t="s">
        <v>316</v>
      </c>
      <c r="B375" s="3" t="s">
        <v>1</v>
      </c>
      <c r="C375" s="3" t="s">
        <v>17</v>
      </c>
      <c r="D375" s="3" t="s">
        <v>987</v>
      </c>
    </row>
    <row r="376" spans="1:4" x14ac:dyDescent="0.2">
      <c r="A376" s="3" t="s">
        <v>122</v>
      </c>
      <c r="B376" s="3" t="s">
        <v>27</v>
      </c>
      <c r="C376" s="3" t="s">
        <v>994</v>
      </c>
      <c r="D376" s="3" t="s">
        <v>1015</v>
      </c>
    </row>
    <row r="377" spans="1:4" x14ac:dyDescent="0.2">
      <c r="A377" s="3" t="s">
        <v>123</v>
      </c>
      <c r="B377" s="3" t="s">
        <v>27</v>
      </c>
      <c r="C377" s="3" t="s">
        <v>994</v>
      </c>
      <c r="D377" s="3" t="s">
        <v>1015</v>
      </c>
    </row>
    <row r="378" spans="1:4" x14ac:dyDescent="0.2">
      <c r="A378" s="3" t="s">
        <v>124</v>
      </c>
      <c r="B378" s="3" t="s">
        <v>27</v>
      </c>
      <c r="C378" s="3" t="s">
        <v>994</v>
      </c>
      <c r="D378" s="3" t="s">
        <v>1015</v>
      </c>
    </row>
    <row r="379" spans="1:4" x14ac:dyDescent="0.2">
      <c r="A379" s="3" t="s">
        <v>456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457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458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459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461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462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463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464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465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466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467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468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469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930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470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471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472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474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475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476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7" t="s">
        <v>477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478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479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480</v>
      </c>
      <c r="B402" s="3" t="s">
        <v>1159</v>
      </c>
      <c r="C402" s="3" t="s">
        <v>994</v>
      </c>
      <c r="D402" s="3" t="s">
        <v>1012</v>
      </c>
    </row>
    <row r="403" spans="1:4" x14ac:dyDescent="0.2">
      <c r="A403" s="3" t="s">
        <v>929</v>
      </c>
      <c r="B403" s="3" t="s">
        <v>1159</v>
      </c>
      <c r="C403" s="3" t="s">
        <v>994</v>
      </c>
      <c r="D403" s="3" t="s">
        <v>1012</v>
      </c>
    </row>
    <row r="404" spans="1:4" x14ac:dyDescent="0.2">
      <c r="A404" s="3" t="s">
        <v>928</v>
      </c>
      <c r="B404" s="3" t="s">
        <v>1159</v>
      </c>
      <c r="C404" s="3" t="s">
        <v>994</v>
      </c>
      <c r="D404" s="3" t="s">
        <v>1012</v>
      </c>
    </row>
    <row r="405" spans="1:4" x14ac:dyDescent="0.2">
      <c r="A405" s="3" t="s">
        <v>394</v>
      </c>
      <c r="B405" s="3" t="s">
        <v>1</v>
      </c>
      <c r="C405" s="3" t="s">
        <v>17</v>
      </c>
      <c r="D405" s="3" t="s">
        <v>1014</v>
      </c>
    </row>
    <row r="406" spans="1:4" x14ac:dyDescent="0.2">
      <c r="A406" s="3" t="s">
        <v>387</v>
      </c>
      <c r="B406" s="3" t="s">
        <v>1</v>
      </c>
      <c r="C406" s="3" t="s">
        <v>2</v>
      </c>
      <c r="D406" s="3" t="s">
        <v>1013</v>
      </c>
    </row>
    <row r="407" spans="1:4" x14ac:dyDescent="0.2">
      <c r="A407" s="3" t="s">
        <v>926</v>
      </c>
      <c r="B407" s="3" t="s">
        <v>1</v>
      </c>
      <c r="C407" s="3" t="s">
        <v>22</v>
      </c>
      <c r="D407" s="3" t="s">
        <v>1017</v>
      </c>
    </row>
    <row r="408" spans="1:4" x14ac:dyDescent="0.2">
      <c r="A408" s="3" t="s">
        <v>396</v>
      </c>
      <c r="B408" s="3" t="s">
        <v>1</v>
      </c>
      <c r="C408" s="3" t="s">
        <v>17</v>
      </c>
      <c r="D408" s="3" t="s">
        <v>1016</v>
      </c>
    </row>
    <row r="409" spans="1:4" x14ac:dyDescent="0.2">
      <c r="A409" s="3" t="s">
        <v>344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397</v>
      </c>
      <c r="B410" s="3" t="s">
        <v>1</v>
      </c>
      <c r="C410" s="3" t="s">
        <v>17</v>
      </c>
      <c r="D410" s="3" t="s">
        <v>998</v>
      </c>
    </row>
    <row r="411" spans="1:4" x14ac:dyDescent="0.2">
      <c r="A411" s="3" t="s">
        <v>398</v>
      </c>
      <c r="B411" s="3" t="s">
        <v>1</v>
      </c>
      <c r="C411" s="3" t="s">
        <v>17</v>
      </c>
      <c r="D411" s="3" t="s">
        <v>998</v>
      </c>
    </row>
    <row r="412" spans="1:4" x14ac:dyDescent="0.2">
      <c r="A412" s="3" t="s">
        <v>399</v>
      </c>
      <c r="B412" s="3" t="s">
        <v>1</v>
      </c>
      <c r="C412" s="3" t="s">
        <v>17</v>
      </c>
      <c r="D412" s="3" t="s">
        <v>998</v>
      </c>
    </row>
    <row r="413" spans="1:4" x14ac:dyDescent="0.2">
      <c r="A413" s="3" t="s">
        <v>408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3" t="s">
        <v>927</v>
      </c>
      <c r="B414" s="3" t="s">
        <v>950</v>
      </c>
      <c r="C414" s="3" t="s">
        <v>17</v>
      </c>
      <c r="D414" s="3" t="s">
        <v>1000</v>
      </c>
    </row>
    <row r="415" spans="1:4" x14ac:dyDescent="0.2">
      <c r="A415" s="25" t="s">
        <v>412</v>
      </c>
      <c r="B415" s="3" t="s">
        <v>950</v>
      </c>
      <c r="C415" s="3" t="s">
        <v>17</v>
      </c>
      <c r="D415" s="3" t="s">
        <v>1000</v>
      </c>
    </row>
    <row r="416" spans="1:4" x14ac:dyDescent="0.2">
      <c r="A416" s="3" t="s">
        <v>413</v>
      </c>
      <c r="B416" s="3" t="s">
        <v>950</v>
      </c>
      <c r="C416" s="3" t="s">
        <v>17</v>
      </c>
      <c r="D416" s="3" t="s">
        <v>1000</v>
      </c>
    </row>
    <row r="417" spans="1:4" x14ac:dyDescent="0.2">
      <c r="A417" s="25" t="s">
        <v>884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7" t="s">
        <v>885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886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887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888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1" t="s">
        <v>889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1" t="s">
        <v>890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891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7" t="s">
        <v>892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7" t="s">
        <v>893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894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895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896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897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898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899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900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901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902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903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904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905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906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1" t="s">
        <v>907</v>
      </c>
      <c r="B440" s="3" t="s">
        <v>944</v>
      </c>
      <c r="C440" s="3" t="s">
        <v>945</v>
      </c>
      <c r="D440" s="3" t="s">
        <v>946</v>
      </c>
    </row>
    <row r="441" spans="1:4" x14ac:dyDescent="0.2">
      <c r="A441" s="1" t="s">
        <v>908</v>
      </c>
      <c r="B441" s="3" t="s">
        <v>944</v>
      </c>
      <c r="C441" s="3" t="s">
        <v>945</v>
      </c>
      <c r="D441" s="3" t="s">
        <v>946</v>
      </c>
    </row>
    <row r="442" spans="1:4" x14ac:dyDescent="0.2">
      <c r="A442" s="1" t="s">
        <v>909</v>
      </c>
      <c r="B442" s="3" t="s">
        <v>944</v>
      </c>
      <c r="C442" s="3" t="s">
        <v>945</v>
      </c>
      <c r="D442" s="3" t="s">
        <v>946</v>
      </c>
    </row>
    <row r="443" spans="1:4" x14ac:dyDescent="0.2">
      <c r="A443" s="7" t="s">
        <v>460</v>
      </c>
      <c r="B443" s="3" t="s">
        <v>1159</v>
      </c>
      <c r="C443" s="3" t="s">
        <v>994</v>
      </c>
      <c r="D443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3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6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1326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26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2019-06-25T12:18:24Z</dcterms:modified>
  <cp:category/>
  <cp:contentStatus/>
</cp:coreProperties>
</file>